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activeTab="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7" r:id="rId18"/>
  </pivotCaches>
</workbook>
</file>

<file path=xl/calcChain.xml><?xml version="1.0" encoding="utf-8"?>
<calcChain xmlns="http://schemas.openxmlformats.org/spreadsheetml/2006/main">
  <c r="T240" i="31" l="1"/>
  <c r="AP7" i="29"/>
  <c r="AV5" i="29" l="1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AV20" i="29"/>
  <c r="AW20" i="29"/>
  <c r="BD20" i="29" s="1"/>
  <c r="BE20" i="29" s="1"/>
  <c r="BF20" i="29" s="1"/>
  <c r="BL20" i="29" s="1"/>
  <c r="AX20" i="29"/>
  <c r="AY20" i="29"/>
  <c r="AZ20" i="29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D18" i="29" l="1"/>
  <c r="BE18" i="29" s="1"/>
  <c r="BF18" i="29" s="1"/>
  <c r="BH18" i="29" s="1"/>
  <c r="BD7" i="29"/>
  <c r="BE7" i="29" s="1"/>
  <c r="BF7" i="29" s="1"/>
  <c r="BL7" i="29" s="1"/>
  <c r="BG21" i="29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K14" i="29"/>
  <c r="BJ14" i="29"/>
  <c r="BL14" i="29"/>
  <c r="BG14" i="29"/>
  <c r="BI14" i="29"/>
  <c r="BG13" i="29"/>
  <c r="BL13" i="29"/>
  <c r="BK13" i="29"/>
  <c r="BG12" i="29"/>
  <c r="BI8" i="29"/>
  <c r="BJ8" i="29"/>
  <c r="BH8" i="29"/>
  <c r="BK8" i="29"/>
  <c r="BL8" i="29"/>
  <c r="BG8" i="29"/>
  <c r="BI17" i="29"/>
  <c r="BJ17" i="29"/>
  <c r="BG17" i="29"/>
  <c r="BK17" i="29"/>
  <c r="BL17" i="29"/>
  <c r="BL5" i="29"/>
  <c r="BG5" i="29"/>
  <c r="BH5" i="29"/>
  <c r="BI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K18" i="29" l="1"/>
  <c r="BG18" i="29"/>
  <c r="BL18" i="29"/>
  <c r="BJ18" i="29"/>
  <c r="BI18" i="29"/>
  <c r="BK7" i="29"/>
  <c r="BH7" i="29"/>
  <c r="BG7" i="29"/>
  <c r="BJ7" i="29"/>
  <c r="BI7" i="29"/>
  <c r="BI19" i="29"/>
  <c r="BH19" i="29"/>
  <c r="BH11" i="29"/>
  <c r="BJ19" i="29"/>
  <c r="BK19" i="29"/>
  <c r="BG11" i="29"/>
  <c r="BL11" i="29"/>
  <c r="BI9" i="29"/>
  <c r="BG9" i="29"/>
  <c r="BG1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V15" i="18"/>
  <c r="B15" i="18"/>
  <c r="BF3" i="18" l="1"/>
  <c r="V16" i="18" s="1"/>
  <c r="BE3" i="18"/>
  <c r="U16" i="18" s="1"/>
  <c r="BI2" i="18"/>
  <c r="Y15" i="18" s="1"/>
  <c r="BH2" i="18"/>
  <c r="X15" i="18" s="1"/>
  <c r="BG2" i="18"/>
  <c r="W15" i="18" s="1"/>
  <c r="BE2" i="18"/>
  <c r="U15" i="18" s="1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M159" i="33" s="1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W159" i="33" s="1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E156" i="33" s="1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W155" i="33" s="1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A95" i="33"/>
  <c r="CA94" i="33"/>
  <c r="CA93" i="33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BJ89" i="33" s="1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J159" i="33"/>
  <c r="BI159" i="33"/>
  <c r="BF159" i="33"/>
  <c r="BB159" i="33"/>
  <c r="BA159" i="33"/>
  <c r="AZ159" i="33"/>
  <c r="AX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CY96" i="33" l="1"/>
  <c r="CM89" i="33"/>
  <c r="AZ89" i="33"/>
  <c r="BI89" i="33"/>
  <c r="CF91" i="33"/>
  <c r="CP91" i="33"/>
  <c r="CX93" i="33"/>
  <c r="D59" i="33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BO35" i="30" s="1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R98" i="30" s="1"/>
  <c r="BQ46" i="30"/>
  <c r="BP46" i="30"/>
  <c r="BO46" i="30"/>
  <c r="BN46" i="30"/>
  <c r="BN98" i="30" s="1"/>
  <c r="BM46" i="30"/>
  <c r="BL46" i="30"/>
  <c r="BL98" i="30" s="1"/>
  <c r="BK46" i="30"/>
  <c r="BJ46" i="30"/>
  <c r="BJ98" i="30" s="1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B98" i="30" s="1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R97" i="30" s="1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J97" i="30" s="1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B97" i="30" s="1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R96" i="30" s="1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J96" i="30" s="1"/>
  <c r="BI44" i="30"/>
  <c r="BH44" i="30"/>
  <c r="BG44" i="30"/>
  <c r="BF44" i="30"/>
  <c r="BF96" i="30" s="1"/>
  <c r="BE44" i="30"/>
  <c r="BD44" i="30"/>
  <c r="BD96" i="30" s="1"/>
  <c r="BC44" i="30"/>
  <c r="BB44" i="30"/>
  <c r="BB96" i="30" s="1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R95" i="30" s="1"/>
  <c r="BQ42" i="30"/>
  <c r="BP42" i="30"/>
  <c r="BO42" i="30"/>
  <c r="BN42" i="30"/>
  <c r="BN95" i="30" s="1"/>
  <c r="BM42" i="30"/>
  <c r="BL42" i="30"/>
  <c r="BL95" i="30" s="1"/>
  <c r="BK42" i="30"/>
  <c r="BJ42" i="30"/>
  <c r="BJ95" i="30" s="1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B95" i="30" s="1"/>
  <c r="BA42" i="30"/>
  <c r="AZ42" i="30"/>
  <c r="AY42" i="30"/>
  <c r="AX42" i="30"/>
  <c r="AX95" i="30" s="1"/>
  <c r="AW42" i="30"/>
  <c r="AV42" i="30"/>
  <c r="AV95" i="30" s="1"/>
  <c r="BS41" i="30"/>
  <c r="BR41" i="30"/>
  <c r="BR94" i="30" s="1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J94" i="30" s="1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B94" i="30" s="1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C40" i="30"/>
  <c r="BB40" i="30"/>
  <c r="BB93" i="30" s="1"/>
  <c r="BA40" i="30"/>
  <c r="AZ40" i="30"/>
  <c r="AY40" i="30"/>
  <c r="AX40" i="30"/>
  <c r="AW40" i="30"/>
  <c r="AV40" i="30"/>
  <c r="BS39" i="30"/>
  <c r="BR39" i="30"/>
  <c r="BR92" i="30" s="1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J90" i="30" s="1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12" i="30" s="1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AT15" i="30" s="1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L23" i="30" s="1"/>
  <c r="BK12" i="30"/>
  <c r="BJ12" i="30"/>
  <c r="BI12" i="30"/>
  <c r="BH12" i="30"/>
  <c r="BH23" i="30" s="1"/>
  <c r="BG12" i="30"/>
  <c r="BF12" i="30"/>
  <c r="BF23" i="30" s="1"/>
  <c r="BE12" i="30"/>
  <c r="BD12" i="30"/>
  <c r="BD23" i="30" s="1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AV23" i="30" s="1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L22" i="30" s="1"/>
  <c r="BK11" i="30"/>
  <c r="BJ11" i="30"/>
  <c r="BI11" i="30"/>
  <c r="BH11" i="30"/>
  <c r="BH22" i="30" s="1"/>
  <c r="BG11" i="30"/>
  <c r="BF11" i="30"/>
  <c r="BF22" i="30" s="1"/>
  <c r="BE11" i="30"/>
  <c r="BD11" i="30"/>
  <c r="BD22" i="30" s="1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AV22" i="30" s="1"/>
  <c r="BS10" i="30"/>
  <c r="BR10" i="30"/>
  <c r="BQ10" i="30"/>
  <c r="BP10" i="30"/>
  <c r="BP21" i="30" s="1"/>
  <c r="BO10" i="30"/>
  <c r="BN10" i="30"/>
  <c r="BN21" i="30" s="1"/>
  <c r="BM10" i="30"/>
  <c r="BL10" i="30"/>
  <c r="BL21" i="30" s="1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D21" i="30" s="1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AV21" i="30" s="1"/>
  <c r="BS9" i="30"/>
  <c r="BR9" i="30"/>
  <c r="BQ9" i="30"/>
  <c r="BP9" i="30"/>
  <c r="BP20" i="30" s="1"/>
  <c r="BO9" i="30"/>
  <c r="BN9" i="30"/>
  <c r="BM9" i="30"/>
  <c r="BL9" i="30"/>
  <c r="BL20" i="30" s="1"/>
  <c r="BK9" i="30"/>
  <c r="BJ9" i="30"/>
  <c r="BI9" i="30"/>
  <c r="BH9" i="30"/>
  <c r="BH20" i="30" s="1"/>
  <c r="BG9" i="30"/>
  <c r="BF9" i="30"/>
  <c r="BF20" i="30" s="1"/>
  <c r="BE9" i="30"/>
  <c r="BD9" i="30"/>
  <c r="BD20" i="30" s="1"/>
  <c r="BC9" i="30"/>
  <c r="BB9" i="30"/>
  <c r="BA9" i="30"/>
  <c r="AZ9" i="30"/>
  <c r="AZ20" i="30" s="1"/>
  <c r="AY9" i="30"/>
  <c r="AX9" i="30"/>
  <c r="AX20" i="30" s="1"/>
  <c r="AW9" i="30"/>
  <c r="AV9" i="30"/>
  <c r="AV20" i="30" s="1"/>
  <c r="BS8" i="30"/>
  <c r="BR8" i="30"/>
  <c r="BQ8" i="30"/>
  <c r="BP8" i="30"/>
  <c r="BP19" i="30" s="1"/>
  <c r="BO8" i="30"/>
  <c r="BN8" i="30"/>
  <c r="BN19" i="30" s="1"/>
  <c r="BN75" i="30" s="1"/>
  <c r="BM8" i="30"/>
  <c r="BL8" i="30"/>
  <c r="BL19" i="30" s="1"/>
  <c r="BK8" i="30"/>
  <c r="BJ8" i="30"/>
  <c r="BI8" i="30"/>
  <c r="BH8" i="30"/>
  <c r="BH19" i="30" s="1"/>
  <c r="BG8" i="30"/>
  <c r="BF8" i="30"/>
  <c r="BF19" i="30" s="1"/>
  <c r="BF75" i="30" s="1"/>
  <c r="BE8" i="30"/>
  <c r="BD8" i="30"/>
  <c r="BD19" i="30" s="1"/>
  <c r="BC8" i="30"/>
  <c r="BB8" i="30"/>
  <c r="BA8" i="30"/>
  <c r="AZ8" i="30"/>
  <c r="AZ19" i="30" s="1"/>
  <c r="AY8" i="30"/>
  <c r="AX8" i="30"/>
  <c r="AX19" i="30" s="1"/>
  <c r="AX75" i="30" s="1"/>
  <c r="AW8" i="30"/>
  <c r="AV8" i="30"/>
  <c r="AV19" i="30" s="1"/>
  <c r="BS7" i="30"/>
  <c r="BR7" i="30"/>
  <c r="BQ7" i="30"/>
  <c r="BP7" i="30"/>
  <c r="BP18" i="30" s="1"/>
  <c r="BO7" i="30"/>
  <c r="BN7" i="30"/>
  <c r="BN18" i="30" s="1"/>
  <c r="BM7" i="30"/>
  <c r="BL7" i="30"/>
  <c r="BL18" i="30" s="1"/>
  <c r="BK7" i="30"/>
  <c r="BJ7" i="30"/>
  <c r="BI7" i="30"/>
  <c r="BH7" i="30"/>
  <c r="BH18" i="30" s="1"/>
  <c r="BG7" i="30"/>
  <c r="BF7" i="30"/>
  <c r="BF18" i="30" s="1"/>
  <c r="BE7" i="30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Q98" i="30"/>
  <c r="BP98" i="30"/>
  <c r="BO98" i="30"/>
  <c r="BM98" i="30"/>
  <c r="BK98" i="30"/>
  <c r="BI98" i="30"/>
  <c r="BH98" i="30"/>
  <c r="BG98" i="30"/>
  <c r="BE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Q97" i="30"/>
  <c r="BP97" i="30"/>
  <c r="BO97" i="30"/>
  <c r="BM97" i="30"/>
  <c r="BI97" i="30"/>
  <c r="BH97" i="30"/>
  <c r="BG97" i="30"/>
  <c r="BE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Q96" i="30"/>
  <c r="BP96" i="30"/>
  <c r="BO96" i="30"/>
  <c r="BM96" i="30"/>
  <c r="BI96" i="30"/>
  <c r="BH96" i="30"/>
  <c r="BG96" i="30"/>
  <c r="BE96" i="30"/>
  <c r="BC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Q95" i="30"/>
  <c r="BP95" i="30"/>
  <c r="BO95" i="30"/>
  <c r="BM95" i="30"/>
  <c r="BK95" i="30"/>
  <c r="BI95" i="30"/>
  <c r="BH95" i="30"/>
  <c r="BG95" i="30"/>
  <c r="BE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Q94" i="30"/>
  <c r="BP94" i="30"/>
  <c r="BO94" i="30"/>
  <c r="BM94" i="30"/>
  <c r="BI94" i="30"/>
  <c r="BH94" i="30"/>
  <c r="BG94" i="30"/>
  <c r="BE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Q93" i="30"/>
  <c r="BP93" i="30"/>
  <c r="BO93" i="30"/>
  <c r="BM93" i="30"/>
  <c r="BK93" i="30"/>
  <c r="BI93" i="30"/>
  <c r="BG93" i="30"/>
  <c r="BE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Q92" i="30"/>
  <c r="BO92" i="30"/>
  <c r="BI92" i="30"/>
  <c r="BG92" i="30"/>
  <c r="BE92" i="30"/>
  <c r="BC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M91" i="30"/>
  <c r="BI91" i="30"/>
  <c r="BH91" i="30"/>
  <c r="BG91" i="30"/>
  <c r="BE91" i="30"/>
  <c r="BA91" i="30"/>
  <c r="AZ91" i="30"/>
  <c r="AY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I90" i="30"/>
  <c r="BH90" i="30"/>
  <c r="BG90" i="30"/>
  <c r="BE90" i="30"/>
  <c r="BA90" i="30"/>
  <c r="AY90" i="30"/>
  <c r="AW90" i="30"/>
  <c r="AV90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J21" i="30"/>
  <c r="BB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J23" i="30"/>
  <c r="BG23" i="30"/>
  <c r="BE23" i="30"/>
  <c r="BB23" i="30"/>
  <c r="AY23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K20" i="30"/>
  <c r="BI20" i="30"/>
  <c r="BG20" i="30"/>
  <c r="BE20" i="30"/>
  <c r="BC20" i="30"/>
  <c r="BA20" i="30"/>
  <c r="AY20" i="30"/>
  <c r="AW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J18" i="30"/>
  <c r="BE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J17" i="30"/>
  <c r="BE17" i="30"/>
  <c r="BB17" i="30"/>
  <c r="AW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M15" i="30"/>
  <c r="BL15" i="30"/>
  <c r="BH15" i="30"/>
  <c r="BF15" i="30"/>
  <c r="BE15" i="30"/>
  <c r="BD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20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K29" i="29" s="1"/>
  <c r="C25" i="29"/>
  <c r="C29" i="29" s="1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Z169" i="28" l="1"/>
  <c r="T169" i="28"/>
  <c r="Y169" i="28"/>
  <c r="AB169" i="28" s="1"/>
  <c r="X169" i="28"/>
  <c r="AA169" i="28" s="1"/>
  <c r="Z169" i="31"/>
  <c r="T169" i="31"/>
  <c r="AI169" i="31" s="1"/>
  <c r="Y169" i="31"/>
  <c r="AB169" i="31" s="1"/>
  <c r="X169" i="31"/>
  <c r="AA169" i="31" s="1"/>
  <c r="S3" i="29"/>
  <c r="S4" i="29"/>
  <c r="AT23" i="30"/>
  <c r="F75" i="29"/>
  <c r="AY35" i="30"/>
  <c r="G75" i="29"/>
  <c r="BP35" i="30"/>
  <c r="I75" i="29"/>
  <c r="M75" i="29"/>
  <c r="AZ35" i="30"/>
  <c r="BR35" i="30"/>
  <c r="BC91" i="30"/>
  <c r="BC93" i="30"/>
  <c r="O75" i="29"/>
  <c r="AT97" i="30"/>
  <c r="BB35" i="30"/>
  <c r="BD90" i="30"/>
  <c r="AV91" i="30"/>
  <c r="AV99" i="30" s="1"/>
  <c r="AV100" i="30" s="1"/>
  <c r="AV101" i="30" s="1"/>
  <c r="BD91" i="30"/>
  <c r="AV93" i="30"/>
  <c r="BD93" i="30"/>
  <c r="Q75" i="29"/>
  <c r="BE35" i="30"/>
  <c r="AW91" i="30"/>
  <c r="S75" i="29"/>
  <c r="AT90" i="30"/>
  <c r="BF27" i="30"/>
  <c r="BG35" i="30"/>
  <c r="BB90" i="30"/>
  <c r="BF90" i="30"/>
  <c r="BN90" i="30"/>
  <c r="AX91" i="30"/>
  <c r="AX93" i="30"/>
  <c r="E75" i="29"/>
  <c r="U75" i="29"/>
  <c r="BH35" i="30"/>
  <c r="BB91" i="30"/>
  <c r="BN35" i="30"/>
  <c r="BJ35" i="30"/>
  <c r="AW35" i="30"/>
  <c r="BQ91" i="30"/>
  <c r="S8" i="29"/>
  <c r="I220" i="33"/>
  <c r="I221" i="33" s="1"/>
  <c r="BG27" i="30"/>
  <c r="BL27" i="30"/>
  <c r="BN27" i="30"/>
  <c r="AV27" i="30"/>
  <c r="BO27" i="30"/>
  <c r="AX27" i="30"/>
  <c r="AY27" i="30"/>
  <c r="AY72" i="30" s="1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AC189" i="31" s="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BC99" i="30" s="1"/>
  <c r="BC100" i="30" s="1"/>
  <c r="BC101" i="30" s="1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AX99" i="30" s="1"/>
  <c r="AX100" i="30" s="1"/>
  <c r="AX101" i="30" s="1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AZ74" i="30" s="1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Z29" i="29" s="1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30" i="29" s="1"/>
  <c r="Y25" i="29"/>
  <c r="Y29" i="29" s="1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D29" i="29" s="1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112" i="30" s="1"/>
  <c r="AX77" i="30"/>
  <c r="BF66" i="30"/>
  <c r="BF112" i="30" s="1"/>
  <c r="BF77" i="30"/>
  <c r="BN66" i="30"/>
  <c r="BN112" i="30" s="1"/>
  <c r="BN77" i="30"/>
  <c r="CC77" i="30"/>
  <c r="CK77" i="30"/>
  <c r="CS77" i="30"/>
  <c r="DE77" i="30"/>
  <c r="DM77" i="30"/>
  <c r="DU77" i="30"/>
  <c r="BC67" i="30"/>
  <c r="BC113" i="30" s="1"/>
  <c r="BC78" i="30"/>
  <c r="BK67" i="30"/>
  <c r="BK113" i="30" s="1"/>
  <c r="BK78" i="30"/>
  <c r="BS67" i="30"/>
  <c r="BS113" i="30" s="1"/>
  <c r="BS78" i="30"/>
  <c r="CH78" i="30"/>
  <c r="CP78" i="30"/>
  <c r="CX78" i="30"/>
  <c r="DJ78" i="30"/>
  <c r="DR78" i="30"/>
  <c r="DZ78" i="30"/>
  <c r="AZ68" i="30"/>
  <c r="AZ114" i="30" s="1"/>
  <c r="AZ79" i="30"/>
  <c r="BH68" i="30"/>
  <c r="BH114" i="30" s="1"/>
  <c r="BH79" i="30"/>
  <c r="BP68" i="30"/>
  <c r="BP114" i="30" s="1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A111" i="30" s="1"/>
  <c r="BI65" i="30"/>
  <c r="BI111" i="30" s="1"/>
  <c r="BI76" i="30"/>
  <c r="BQ65" i="30"/>
  <c r="BQ111" i="30" s="1"/>
  <c r="BQ76" i="30"/>
  <c r="CF76" i="30"/>
  <c r="CN76" i="30"/>
  <c r="CV76" i="30"/>
  <c r="DH76" i="30"/>
  <c r="DP76" i="30"/>
  <c r="DX76" i="30"/>
  <c r="AY77" i="30"/>
  <c r="AY66" i="30"/>
  <c r="AY112" i="30" s="1"/>
  <c r="BG77" i="30"/>
  <c r="BG66" i="30"/>
  <c r="BG112" i="30" s="1"/>
  <c r="BO77" i="30"/>
  <c r="BO66" i="30"/>
  <c r="BO112" i="30" s="1"/>
  <c r="CD77" i="30"/>
  <c r="CL77" i="30"/>
  <c r="CT77" i="30"/>
  <c r="DF77" i="30"/>
  <c r="DN77" i="30"/>
  <c r="DV77" i="30"/>
  <c r="BF80" i="30"/>
  <c r="BN80" i="30"/>
  <c r="BN69" i="30"/>
  <c r="BN115" i="30" s="1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AW113" i="30" s="1"/>
  <c r="BE78" i="30"/>
  <c r="BE67" i="30"/>
  <c r="BE113" i="30" s="1"/>
  <c r="BM78" i="30"/>
  <c r="BM67" i="30"/>
  <c r="BM113" i="30" s="1"/>
  <c r="CB78" i="30"/>
  <c r="CJ78" i="30"/>
  <c r="CR78" i="30"/>
  <c r="DL78" i="30"/>
  <c r="DT78" i="30"/>
  <c r="EB78" i="30"/>
  <c r="BB79" i="30"/>
  <c r="BB68" i="30"/>
  <c r="BB114" i="30" s="1"/>
  <c r="BJ79" i="30"/>
  <c r="BJ68" i="30"/>
  <c r="BJ114" i="30" s="1"/>
  <c r="BR79" i="30"/>
  <c r="BR68" i="30"/>
  <c r="BR114" i="30" s="1"/>
  <c r="CG79" i="30"/>
  <c r="CO79" i="30"/>
  <c r="CW79" i="30"/>
  <c r="DI79" i="30"/>
  <c r="DQ79" i="30"/>
  <c r="DY79" i="30"/>
  <c r="AY80" i="30"/>
  <c r="AY69" i="30"/>
  <c r="AY115" i="30" s="1"/>
  <c r="BG80" i="30"/>
  <c r="BG69" i="30"/>
  <c r="BG115" i="30" s="1"/>
  <c r="BO80" i="30"/>
  <c r="BO69" i="30"/>
  <c r="BO115" i="30" s="1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C111" i="30" s="1"/>
  <c r="BK76" i="30"/>
  <c r="BK65" i="30"/>
  <c r="BK111" i="30" s="1"/>
  <c r="BS76" i="30"/>
  <c r="BS65" i="30"/>
  <c r="BS111" i="30" s="1"/>
  <c r="CH76" i="30"/>
  <c r="CP76" i="30"/>
  <c r="CX76" i="30"/>
  <c r="DJ76" i="30"/>
  <c r="DR76" i="30"/>
  <c r="DZ76" i="30"/>
  <c r="BA77" i="30"/>
  <c r="BA66" i="30"/>
  <c r="BA112" i="30" s="1"/>
  <c r="BI77" i="30"/>
  <c r="BI66" i="30"/>
  <c r="BI112" i="30" s="1"/>
  <c r="BQ77" i="30"/>
  <c r="BQ66" i="30"/>
  <c r="BQ112" i="30" s="1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AV111" i="30" s="1"/>
  <c r="BD76" i="30"/>
  <c r="BD65" i="30"/>
  <c r="BD111" i="30" s="1"/>
  <c r="BL76" i="30"/>
  <c r="BL65" i="30"/>
  <c r="BL111" i="30" s="1"/>
  <c r="CI76" i="30"/>
  <c r="CQ76" i="30"/>
  <c r="CY76" i="30"/>
  <c r="DK76" i="30"/>
  <c r="DS76" i="30"/>
  <c r="EA76" i="30"/>
  <c r="AY78" i="30"/>
  <c r="AY67" i="30"/>
  <c r="AY113" i="30" s="1"/>
  <c r="BG78" i="30"/>
  <c r="BG67" i="30"/>
  <c r="BG113" i="30" s="1"/>
  <c r="BO78" i="30"/>
  <c r="BO67" i="30"/>
  <c r="BO113" i="30" s="1"/>
  <c r="CD78" i="30"/>
  <c r="CL78" i="30"/>
  <c r="CT78" i="30"/>
  <c r="DF78" i="30"/>
  <c r="DN78" i="30"/>
  <c r="DV78" i="30"/>
  <c r="AV79" i="30"/>
  <c r="AV68" i="30"/>
  <c r="AV114" i="30" s="1"/>
  <c r="BD79" i="30"/>
  <c r="BD68" i="30"/>
  <c r="BD114" i="30" s="1"/>
  <c r="BL79" i="30"/>
  <c r="BL68" i="30"/>
  <c r="BL114" i="30" s="1"/>
  <c r="CI79" i="30"/>
  <c r="CQ79" i="30"/>
  <c r="CY79" i="30"/>
  <c r="DK79" i="30"/>
  <c r="DS79" i="30"/>
  <c r="EA79" i="30"/>
  <c r="BB60" i="30"/>
  <c r="BB106" i="30" s="1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AW111" i="30" s="1"/>
  <c r="BE76" i="30"/>
  <c r="BE65" i="30"/>
  <c r="BE111" i="30" s="1"/>
  <c r="BM76" i="30"/>
  <c r="BM65" i="30"/>
  <c r="BM111" i="30" s="1"/>
  <c r="CB76" i="30"/>
  <c r="CJ76" i="30"/>
  <c r="CR76" i="30"/>
  <c r="DL76" i="30"/>
  <c r="DT76" i="30"/>
  <c r="EB76" i="30"/>
  <c r="BC77" i="30"/>
  <c r="BC66" i="30"/>
  <c r="BC112" i="30" s="1"/>
  <c r="BK77" i="30"/>
  <c r="BK66" i="30"/>
  <c r="BK112" i="30" s="1"/>
  <c r="BS66" i="30"/>
  <c r="BS112" i="30" s="1"/>
  <c r="BS77" i="30"/>
  <c r="CH77" i="30"/>
  <c r="CP77" i="30"/>
  <c r="CX77" i="30"/>
  <c r="DJ77" i="30"/>
  <c r="DR77" i="30"/>
  <c r="DZ77" i="30"/>
  <c r="AZ78" i="30"/>
  <c r="AZ67" i="30"/>
  <c r="AZ113" i="30" s="1"/>
  <c r="BH67" i="30"/>
  <c r="BH113" i="30" s="1"/>
  <c r="BH78" i="30"/>
  <c r="BP78" i="30"/>
  <c r="BP67" i="30"/>
  <c r="BP113" i="30" s="1"/>
  <c r="CE78" i="30"/>
  <c r="CM78" i="30"/>
  <c r="CU78" i="30"/>
  <c r="DG78" i="30"/>
  <c r="DO78" i="30"/>
  <c r="DW78" i="30"/>
  <c r="AW68" i="30"/>
  <c r="AW114" i="30" s="1"/>
  <c r="AW79" i="30"/>
  <c r="BE79" i="30"/>
  <c r="BE68" i="30"/>
  <c r="BE114" i="30" s="1"/>
  <c r="BM79" i="30"/>
  <c r="BM68" i="30"/>
  <c r="BM114" i="30" s="1"/>
  <c r="CB79" i="30"/>
  <c r="CJ79" i="30"/>
  <c r="CR79" i="30"/>
  <c r="DL79" i="30"/>
  <c r="DT79" i="30"/>
  <c r="EB79" i="30"/>
  <c r="BB80" i="30"/>
  <c r="BB69" i="30"/>
  <c r="BB115" i="30" s="1"/>
  <c r="BJ80" i="30"/>
  <c r="BJ69" i="30"/>
  <c r="BJ115" i="30" s="1"/>
  <c r="BR69" i="30"/>
  <c r="BR115" i="30" s="1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AX111" i="30" s="1"/>
  <c r="BF76" i="30"/>
  <c r="BF65" i="30"/>
  <c r="BF111" i="30" s="1"/>
  <c r="BN76" i="30"/>
  <c r="BN65" i="30"/>
  <c r="BN111" i="30" s="1"/>
  <c r="CC76" i="30"/>
  <c r="CK76" i="30"/>
  <c r="CS76" i="30"/>
  <c r="DE76" i="30"/>
  <c r="DM76" i="30"/>
  <c r="DU76" i="30"/>
  <c r="BA78" i="30"/>
  <c r="BA67" i="30"/>
  <c r="BA113" i="30" s="1"/>
  <c r="BI78" i="30"/>
  <c r="BI67" i="30"/>
  <c r="BI113" i="30" s="1"/>
  <c r="BQ78" i="30"/>
  <c r="BQ67" i="30"/>
  <c r="BQ113" i="30" s="1"/>
  <c r="CF78" i="30"/>
  <c r="CN78" i="30"/>
  <c r="CV78" i="30"/>
  <c r="DH78" i="30"/>
  <c r="DP78" i="30"/>
  <c r="DX78" i="30"/>
  <c r="AX79" i="30"/>
  <c r="AX68" i="30"/>
  <c r="AX114" i="30" s="1"/>
  <c r="BF79" i="30"/>
  <c r="BF68" i="30"/>
  <c r="BF114" i="30" s="1"/>
  <c r="BN79" i="30"/>
  <c r="BN68" i="30"/>
  <c r="BN114" i="30" s="1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111" i="30" s="1"/>
  <c r="AY76" i="30"/>
  <c r="BG65" i="30"/>
  <c r="BG111" i="30" s="1"/>
  <c r="BG76" i="30"/>
  <c r="BO76" i="30"/>
  <c r="BO65" i="30"/>
  <c r="BO111" i="30" s="1"/>
  <c r="CD76" i="30"/>
  <c r="CL76" i="30"/>
  <c r="CT76" i="30"/>
  <c r="DF76" i="30"/>
  <c r="DN76" i="30"/>
  <c r="DV76" i="30"/>
  <c r="AW66" i="30"/>
  <c r="AW112" i="30" s="1"/>
  <c r="AW77" i="30"/>
  <c r="BE66" i="30"/>
  <c r="BE112" i="30" s="1"/>
  <c r="BE77" i="30"/>
  <c r="BM77" i="30"/>
  <c r="BM66" i="30"/>
  <c r="BM112" i="30" s="1"/>
  <c r="CB77" i="30"/>
  <c r="CJ77" i="30"/>
  <c r="CR77" i="30"/>
  <c r="DL77" i="30"/>
  <c r="DT77" i="30"/>
  <c r="EB77" i="30"/>
  <c r="BB78" i="30"/>
  <c r="BB67" i="30"/>
  <c r="BB113" i="30" s="1"/>
  <c r="BJ67" i="30"/>
  <c r="BJ113" i="30" s="1"/>
  <c r="BJ78" i="30"/>
  <c r="BR78" i="30"/>
  <c r="BR67" i="30"/>
  <c r="BR113" i="30" s="1"/>
  <c r="CG78" i="30"/>
  <c r="CO78" i="30"/>
  <c r="CW78" i="30"/>
  <c r="DI78" i="30"/>
  <c r="DQ78" i="30"/>
  <c r="DY78" i="30"/>
  <c r="AY68" i="30"/>
  <c r="AY114" i="30" s="1"/>
  <c r="AY79" i="30"/>
  <c r="BG79" i="30"/>
  <c r="BG68" i="30"/>
  <c r="BG114" i="30" s="1"/>
  <c r="BO79" i="30"/>
  <c r="BO68" i="30"/>
  <c r="BO114" i="30" s="1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W76" i="30"/>
  <c r="BB77" i="30"/>
  <c r="BB66" i="30"/>
  <c r="BB112" i="30" s="1"/>
  <c r="BJ77" i="30"/>
  <c r="BJ66" i="30"/>
  <c r="BJ112" i="30" s="1"/>
  <c r="CG77" i="30"/>
  <c r="CO77" i="30"/>
  <c r="CW77" i="30"/>
  <c r="DI77" i="30"/>
  <c r="DQ77" i="30"/>
  <c r="DY77" i="30"/>
  <c r="AV78" i="30"/>
  <c r="AV67" i="30"/>
  <c r="AV113" i="30" s="1"/>
  <c r="BD78" i="30"/>
  <c r="BD67" i="30"/>
  <c r="BD113" i="30" s="1"/>
  <c r="BL78" i="30"/>
  <c r="BL67" i="30"/>
  <c r="BL113" i="30" s="1"/>
  <c r="CI78" i="30"/>
  <c r="CQ78" i="30"/>
  <c r="DK78" i="30"/>
  <c r="DS78" i="30"/>
  <c r="EA78" i="30"/>
  <c r="BA79" i="30"/>
  <c r="BA68" i="30"/>
  <c r="BA114" i="30" s="1"/>
  <c r="BI79" i="30"/>
  <c r="BI68" i="30"/>
  <c r="BI114" i="30" s="1"/>
  <c r="BQ79" i="30"/>
  <c r="BQ68" i="30"/>
  <c r="BQ114" i="30" s="1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BB111" i="30" s="1"/>
  <c r="AZ66" i="30"/>
  <c r="AZ112" i="30" s="1"/>
  <c r="AX67" i="30"/>
  <c r="AX113" i="30" s="1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J111" i="30" s="1"/>
  <c r="BR76" i="30"/>
  <c r="BR65" i="30"/>
  <c r="BR111" i="30" s="1"/>
  <c r="CG76" i="30"/>
  <c r="CO76" i="30"/>
  <c r="CW76" i="30"/>
  <c r="DI76" i="30"/>
  <c r="DQ76" i="30"/>
  <c r="AV77" i="30"/>
  <c r="AV66" i="30"/>
  <c r="AV112" i="30" s="1"/>
  <c r="BD77" i="30"/>
  <c r="BD66" i="30"/>
  <c r="BD112" i="30" s="1"/>
  <c r="BL77" i="30"/>
  <c r="BL66" i="30"/>
  <c r="BL112" i="30" s="1"/>
  <c r="CI77" i="30"/>
  <c r="CY77" i="30"/>
  <c r="DK77" i="30"/>
  <c r="DS77" i="30"/>
  <c r="EA77" i="30"/>
  <c r="BF78" i="30"/>
  <c r="BF67" i="30"/>
  <c r="BF113" i="30" s="1"/>
  <c r="BN78" i="30"/>
  <c r="BN67" i="30"/>
  <c r="BN113" i="30" s="1"/>
  <c r="CC78" i="30"/>
  <c r="CK78" i="30"/>
  <c r="CS78" i="30"/>
  <c r="DE78" i="30"/>
  <c r="DM78" i="30"/>
  <c r="BC79" i="30"/>
  <c r="BC68" i="30"/>
  <c r="BC114" i="30" s="1"/>
  <c r="BK79" i="30"/>
  <c r="BK68" i="30"/>
  <c r="BK114" i="30" s="1"/>
  <c r="BS79" i="30"/>
  <c r="BS68" i="30"/>
  <c r="BS114" i="30" s="1"/>
  <c r="CH79" i="30"/>
  <c r="CP79" i="30"/>
  <c r="CX79" i="30"/>
  <c r="DR79" i="30"/>
  <c r="DZ79" i="30"/>
  <c r="AZ80" i="30"/>
  <c r="AZ69" i="30"/>
  <c r="AZ115" i="30" s="1"/>
  <c r="BH80" i="30"/>
  <c r="BH69" i="30"/>
  <c r="BH115" i="30" s="1"/>
  <c r="BP80" i="30"/>
  <c r="BP69" i="30"/>
  <c r="BP115" i="30" s="1"/>
  <c r="CM80" i="30"/>
  <c r="DO80" i="30"/>
  <c r="DW80" i="30"/>
  <c r="BZ26" i="30"/>
  <c r="BZ90" i="30" s="1"/>
  <c r="BC31" i="30"/>
  <c r="BK31" i="30"/>
  <c r="BS31" i="30"/>
  <c r="BZ65" i="30"/>
  <c r="BR66" i="30"/>
  <c r="BR112" i="30" s="1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BI115" i="30" s="1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H112" i="30" s="1"/>
  <c r="BP77" i="30"/>
  <c r="BP66" i="30"/>
  <c r="BP112" i="30" s="1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AW115" i="30" s="1"/>
  <c r="BE80" i="30"/>
  <c r="BE69" i="30"/>
  <c r="BE115" i="30" s="1"/>
  <c r="BM69" i="30"/>
  <c r="BM115" i="30" s="1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K99" i="30"/>
  <c r="BK100" i="30" s="1"/>
  <c r="BK101" i="30" s="1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C115" i="30" s="1"/>
  <c r="BK35" i="30"/>
  <c r="BK80" i="30" s="1"/>
  <c r="BS35" i="30"/>
  <c r="BS80" i="30" s="1"/>
  <c r="CG80" i="30"/>
  <c r="CW80" i="30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AV115" i="30" s="1"/>
  <c r="BD35" i="30"/>
  <c r="BD69" i="30" s="1"/>
  <c r="BD115" i="30" s="1"/>
  <c r="BL35" i="30"/>
  <c r="BL69" i="30" s="1"/>
  <c r="BL115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F115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AB24" i="28" l="1"/>
  <c r="BF99" i="30"/>
  <c r="BF100" i="30" s="1"/>
  <c r="BF101" i="30" s="1"/>
  <c r="AY61" i="30"/>
  <c r="AY107" i="30" s="1"/>
  <c r="Y72" i="30"/>
  <c r="P72" i="30"/>
  <c r="C30" i="29"/>
  <c r="C32" i="29" s="1"/>
  <c r="C34" i="29" s="1"/>
  <c r="N72" i="30"/>
  <c r="J8" i="29"/>
  <c r="J201" i="29" s="1"/>
  <c r="N8" i="29"/>
  <c r="N201" i="29" s="1"/>
  <c r="R72" i="30"/>
  <c r="O8" i="29"/>
  <c r="O201" i="29" s="1"/>
  <c r="S72" i="30"/>
  <c r="K8" i="29"/>
  <c r="K201" i="29" s="1"/>
  <c r="O72" i="30"/>
  <c r="C8" i="29"/>
  <c r="C201" i="29" s="1"/>
  <c r="C212" i="29" s="1"/>
  <c r="G72" i="30"/>
  <c r="Y8" i="29"/>
  <c r="Y201" i="29" s="1"/>
  <c r="AC72" i="30"/>
  <c r="M72" i="30"/>
  <c r="I8" i="29"/>
  <c r="I201" i="29" s="1"/>
  <c r="T72" i="30"/>
  <c r="P8" i="29"/>
  <c r="P201" i="29" s="1"/>
  <c r="I72" i="30"/>
  <c r="E8" i="29"/>
  <c r="E201" i="29" s="1"/>
  <c r="E212" i="29" s="1"/>
  <c r="T8" i="29"/>
  <c r="T201" i="29" s="1"/>
  <c r="X72" i="30"/>
  <c r="H72" i="30"/>
  <c r="D8" i="29"/>
  <c r="D201" i="29" s="1"/>
  <c r="Z72" i="30"/>
  <c r="F8" i="29"/>
  <c r="F201" i="29" s="1"/>
  <c r="J72" i="30"/>
  <c r="L72" i="30"/>
  <c r="H8" i="29"/>
  <c r="H201" i="29" s="1"/>
  <c r="W8" i="29"/>
  <c r="W201" i="29" s="1"/>
  <c r="AA72" i="30"/>
  <c r="G8" i="29"/>
  <c r="G201" i="29" s="1"/>
  <c r="K72" i="30"/>
  <c r="V72" i="30"/>
  <c r="R8" i="29"/>
  <c r="R201" i="29" s="1"/>
  <c r="M8" i="29"/>
  <c r="M201" i="29" s="1"/>
  <c r="Q72" i="30"/>
  <c r="X8" i="29"/>
  <c r="X201" i="29" s="1"/>
  <c r="AB72" i="30"/>
  <c r="U72" i="30"/>
  <c r="Q8" i="29"/>
  <c r="Q201" i="29" s="1"/>
  <c r="AD72" i="30"/>
  <c r="W72" i="30"/>
  <c r="Z24" i="28"/>
  <c r="Z34" i="28" s="1"/>
  <c r="K37" i="28" s="1"/>
  <c r="C93" i="33" s="1"/>
  <c r="W24" i="28"/>
  <c r="X24" i="28"/>
  <c r="X34" i="28" s="1"/>
  <c r="K35" i="28" s="1"/>
  <c r="C91" i="33" s="1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T273" i="3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BB82" i="30" s="1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15" i="30" s="1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BA115" i="30" s="1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BS115" i="30" s="1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BK115" i="30" s="1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Q115" i="30" s="1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B83" i="30" l="1"/>
  <c r="BB84" i="30"/>
  <c r="BB81" i="30"/>
  <c r="BB85" i="30" s="1"/>
  <c r="S64" i="29"/>
  <c r="AK224" i="33"/>
  <c r="AO224" i="33" s="1"/>
  <c r="C11" i="29"/>
  <c r="C13" i="29" s="1"/>
  <c r="F72" i="30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N85" i="30" l="1"/>
  <c r="B109" i="30"/>
  <c r="B112" i="30" s="1"/>
  <c r="C191" i="33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AN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S102" i="30" s="1"/>
  <c r="X10" i="30" s="1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A76" i="33" l="1"/>
  <c r="BA152" i="33"/>
  <c r="AZ76" i="33"/>
  <c r="AZ152" i="33"/>
  <c r="AW76" i="33"/>
  <c r="AW133" i="33" s="1"/>
  <c r="AW152" i="33"/>
  <c r="BC76" i="33"/>
  <c r="BC133" i="33" s="1"/>
  <c r="BC152" i="33"/>
  <c r="BS76" i="33"/>
  <c r="BS152" i="33"/>
  <c r="AX76" i="33"/>
  <c r="AX152" i="33"/>
  <c r="BD76" i="33"/>
  <c r="BD133" i="33" s="1"/>
  <c r="BD152" i="33"/>
  <c r="BR76" i="33"/>
  <c r="BR122" i="33" s="1"/>
  <c r="BR168" i="33" s="1"/>
  <c r="BR152" i="33"/>
  <c r="AY76" i="33"/>
  <c r="AY152" i="33"/>
  <c r="BB76" i="33"/>
  <c r="BB152" i="33"/>
  <c r="AV76" i="33"/>
  <c r="AV133" i="33" s="1"/>
  <c r="AV152" i="33"/>
  <c r="BQ76" i="33"/>
  <c r="BQ152" i="33"/>
  <c r="AW78" i="33"/>
  <c r="AW154" i="33"/>
  <c r="BA78" i="33"/>
  <c r="BA154" i="33"/>
  <c r="AV78" i="33"/>
  <c r="AV124" i="33" s="1"/>
  <c r="AV170" i="33" s="1"/>
  <c r="AV154" i="33"/>
  <c r="BP78" i="33"/>
  <c r="BP135" i="33" s="1"/>
  <c r="BP154" i="33"/>
  <c r="BS78" i="33"/>
  <c r="BS154" i="33"/>
  <c r="AY78" i="33"/>
  <c r="AY154" i="33"/>
  <c r="BD78" i="33"/>
  <c r="BD135" i="33" s="1"/>
  <c r="BD154" i="33"/>
  <c r="BC78" i="33"/>
  <c r="BC124" i="33" s="1"/>
  <c r="BC170" i="33" s="1"/>
  <c r="BC154" i="33"/>
  <c r="AZ78" i="33"/>
  <c r="AZ154" i="33"/>
  <c r="BB78" i="33"/>
  <c r="BB154" i="33"/>
  <c r="BO78" i="33"/>
  <c r="BO124" i="33" s="1"/>
  <c r="BO170" i="33" s="1"/>
  <c r="BO154" i="33"/>
  <c r="BQ78" i="33"/>
  <c r="BQ135" i="33" s="1"/>
  <c r="BQ154" i="33"/>
  <c r="AX78" i="33"/>
  <c r="AX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AV122" i="33" l="1"/>
  <c r="AV168" i="33" s="1"/>
  <c r="BC122" i="33"/>
  <c r="BC168" i="33" s="1"/>
  <c r="BQ124" i="33"/>
  <c r="BQ170" i="33" s="1"/>
  <c r="BR133" i="33"/>
  <c r="BD122" i="33"/>
  <c r="BD168" i="33" s="1"/>
  <c r="AW122" i="33"/>
  <c r="AW168" i="33" s="1"/>
  <c r="BD124" i="33"/>
  <c r="BD170" i="33" s="1"/>
  <c r="BO135" i="33"/>
  <c r="AV135" i="33"/>
  <c r="BP124" i="33"/>
  <c r="BP170" i="33" s="1"/>
  <c r="BC135" i="33"/>
  <c r="BC160" i="33"/>
  <c r="BC161" i="33" s="1"/>
  <c r="BC162" i="33" s="1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P76" i="33" l="1"/>
  <c r="BP122" i="33" s="1"/>
  <c r="BP168" i="33" s="1"/>
  <c r="BP152" i="33"/>
  <c r="BP160" i="33" s="1"/>
  <c r="BP161" i="33" s="1"/>
  <c r="BP162" i="33" s="1"/>
  <c r="BO76" i="33"/>
  <c r="BO152" i="33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K142" i="33"/>
  <c r="BO151" i="33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AA69" i="29"/>
  <c r="BP5" i="30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P133" i="33" l="1"/>
  <c r="BP145" i="33" s="1"/>
  <c r="BO160" i="33"/>
  <c r="BO161" i="33" s="1"/>
  <c r="BO162" i="33" s="1"/>
  <c r="BP16" i="30"/>
  <c r="BP91" i="30"/>
  <c r="BP99" i="30" s="1"/>
  <c r="BP100" i="30" s="1"/>
  <c r="BP101" i="30" s="1"/>
  <c r="BO16" i="30"/>
  <c r="BO91" i="30"/>
  <c r="CE146" i="33"/>
  <c r="CE147" i="33" s="1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8" i="33"/>
  <c r="DO147" i="33"/>
  <c r="AX146" i="33"/>
  <c r="BP178" i="33"/>
  <c r="BI146" i="33"/>
  <c r="BM146" i="33"/>
  <c r="BG146" i="33"/>
  <c r="BP143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BP144" i="33" l="1"/>
  <c r="BP142" i="33"/>
  <c r="CE148" i="33"/>
  <c r="AY148" i="33"/>
  <c r="AY163" i="33" s="1"/>
  <c r="CF148" i="33"/>
  <c r="CF163" i="33" s="1"/>
  <c r="CB148" i="33"/>
  <c r="CB163" i="33" s="1"/>
  <c r="AZ147" i="33"/>
  <c r="AZ163" i="33" s="1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C180" i="29" l="1"/>
  <c r="C195" i="29" s="1"/>
  <c r="G75" i="30" s="1"/>
  <c r="BR87" i="30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Q162" i="24"/>
  <c r="P162" i="24"/>
  <c r="O162" i="24"/>
  <c r="N162" i="24"/>
  <c r="M162" i="24"/>
  <c r="L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X248" i="31"/>
  <c r="J141" i="31"/>
  <c r="C219" i="33" s="1"/>
  <c r="D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AL207" i="33" l="1"/>
  <c r="D210" i="33" s="1"/>
  <c r="K175" i="24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R201" i="24" l="1"/>
  <c r="R211" i="24" s="1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U185" i="24" l="1"/>
  <c r="U216" i="24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220" i="24" l="1"/>
  <c r="C300" i="33" s="1"/>
  <c r="AA219" i="24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49" i="18" l="1"/>
  <c r="D156" i="33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A49" i="18" l="1"/>
  <c r="D159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T5" i="7"/>
  <c r="BB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V175" i="18" l="1"/>
  <c r="V162" i="18"/>
  <c r="O201" i="18"/>
  <c r="O162" i="18"/>
  <c r="O172" i="18" s="1"/>
  <c r="O215" i="18" s="1"/>
  <c r="T5" i="22" s="1"/>
  <c r="R201" i="18"/>
  <c r="R211" i="18" s="1"/>
  <c r="R218" i="18" s="1"/>
  <c r="W9" i="22" s="1"/>
  <c r="R162" i="18"/>
  <c r="R172" i="18" s="1"/>
  <c r="R215" i="18" s="1"/>
  <c r="W5" i="22" s="1"/>
  <c r="P201" i="18"/>
  <c r="P211" i="18" s="1"/>
  <c r="P218" i="18" s="1"/>
  <c r="U9" i="22" s="1"/>
  <c r="P162" i="18"/>
  <c r="P172" i="18" s="1"/>
  <c r="P215" i="18" s="1"/>
  <c r="U5" i="22" s="1"/>
  <c r="S201" i="18"/>
  <c r="S211" i="18" s="1"/>
  <c r="S218" i="18" s="1"/>
  <c r="X9" i="22" s="1"/>
  <c r="S162" i="18"/>
  <c r="S172" i="18" s="1"/>
  <c r="S215" i="18" s="1"/>
  <c r="X5" i="22" s="1"/>
  <c r="BJ15" i="23" s="1"/>
  <c r="BJ21" i="23" s="1"/>
  <c r="N201" i="18"/>
  <c r="N162" i="18"/>
  <c r="N172" i="18" s="1"/>
  <c r="N215" i="18" s="1"/>
  <c r="S5" i="22" s="1"/>
  <c r="Q201" i="18"/>
  <c r="Q162" i="18"/>
  <c r="Q172" i="18" s="1"/>
  <c r="Q215" i="18" s="1"/>
  <c r="V5" i="22" s="1"/>
  <c r="M201" i="18"/>
  <c r="M211" i="18" s="1"/>
  <c r="M218" i="18" s="1"/>
  <c r="R9" i="22" s="1"/>
  <c r="M162" i="18"/>
  <c r="M172" i="18" s="1"/>
  <c r="M215" i="18" s="1"/>
  <c r="R5" i="22" s="1"/>
  <c r="B167" i="31"/>
  <c r="J167" i="31" s="1"/>
  <c r="C235" i="33" s="1"/>
  <c r="C236" i="33" s="1"/>
  <c r="C192" i="33"/>
  <c r="C276" i="33" s="1"/>
  <c r="C293" i="33" s="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<sst xmlns="http://schemas.openxmlformats.org/spreadsheetml/2006/main" count="3091" uniqueCount="1466">
  <si>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</si>
  <si>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</si>
  <si>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</si>
  <si>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</si>
  <si>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</si>
  <si>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</si>
  <si>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</si>
  <si>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</si>
  <si>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</si>
  <si>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</si>
  <si>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</si>
  <si>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</si>
  <si>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</si>
  <si>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</si>
  <si>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</si>
  <si>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</si>
  <si>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</si>
  <si>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</si>
  <si>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</si>
  <si>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</si>
  <si>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</si>
  <si>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</si>
  <si>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</si>
  <si>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</si>
  <si>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</si>
  <si>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</si>
  <si>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</si>
  <si>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</si>
  <si>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</si>
  <si>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</si>
  <si>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</si>
  <si>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</si>
  <si>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</si>
  <si>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</si>
  <si>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</si>
  <si>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</si>
  <si>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</si>
  <si>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</si>
  <si>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</si>
  <si>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</si>
  <si>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</si>
  <si>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</si>
  <si>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</si>
  <si>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</si>
  <si>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</si>
  <si>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</si>
  <si>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</si>
  <si>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</si>
  <si>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</si>
  <si>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</si>
  <si>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</si>
  <si>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</si>
  <si>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</si>
  <si>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</si>
  <si>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</si>
  <si>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</si>
  <si>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</si>
  <si>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</si>
  <si>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</si>
  <si>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</si>
  <si>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</si>
  <si>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</si>
  <si>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</si>
  <si>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</si>
  <si>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</si>
  <si>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</si>
  <si>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</si>
  <si>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</si>
  <si>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</si>
  <si>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</si>
  <si>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</si>
  <si>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</si>
  <si>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</si>
  <si>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</si>
  <si>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</si>
  <si>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</si>
  <si>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</si>
  <si>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</si>
  <si>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</si>
  <si>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</si>
  <si>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</si>
  <si>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</si>
  <si>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</si>
  <si>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</si>
  <si>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</si>
  <si>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</si>
  <si>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</si>
  <si>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</si>
  <si>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</si>
  <si>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</si>
  <si>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</si>
  <si>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</si>
  <si>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</si>
  <si>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</si>
  <si>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</si>
  <si>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</si>
  <si>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</si>
  <si>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</si>
  <si>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</si>
  <si>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</si>
  <si>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</si>
  <si>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</si>
  <si>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</si>
  <si>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</si>
  <si>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</si>
  <si>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</si>
  <si>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</si>
  <si>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</si>
  <si>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</si>
  <si>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</si>
  <si>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</si>
  <si>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</si>
  <si>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</si>
  <si>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</si>
  <si>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</si>
  <si>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</si>
  <si>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</si>
  <si>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</si>
  <si>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</si>
  <si>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</si>
  <si>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</si>
  <si>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</si>
  <si>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</si>
  <si>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</si>
  <si>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</si>
  <si>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</si>
  <si>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</si>
  <si>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</si>
  <si>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</si>
  <si>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</si>
  <si>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</si>
  <si>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</si>
  <si>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</si>
  <si>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</si>
  <si>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</si>
  <si>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</si>
  <si>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</si>
  <si>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</si>
  <si>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</si>
  <si>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</si>
  <si>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</si>
  <si>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</si>
  <si>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</si>
  <si>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</si>
  <si>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</si>
  <si>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</si>
  <si>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</si>
  <si>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</si>
  <si>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</si>
  <si>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</si>
  <si>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</si>
  <si>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</si>
  <si>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</si>
  <si>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</si>
  <si>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</si>
  <si>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</si>
  <si>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</si>
  <si>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</si>
  <si>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</si>
  <si>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</si>
  <si>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</si>
  <si>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</si>
  <si>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</si>
  <si>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</si>
  <si>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</si>
  <si>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</si>
  <si>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</si>
  <si>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</si>
  <si>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</si>
  <si>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</si>
  <si>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</si>
  <si>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</si>
  <si>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</si>
  <si>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</si>
  <si>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</si>
  <si>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</si>
  <si>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</si>
  <si>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</si>
  <si>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</si>
  <si>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</si>
  <si>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</si>
  <si>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</si>
  <si>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</si>
  <si>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</si>
  <si>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</si>
  <si>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</si>
  <si>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</si>
  <si>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</si>
  <si>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</si>
  <si>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</si>
  <si>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</si>
  <si>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</si>
  <si>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</si>
  <si>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</si>
  <si>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</si>
  <si>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</si>
  <si>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</si>
  <si>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</si>
  <si>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</si>
  <si>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</si>
  <si>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</si>
  <si>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</si>
  <si>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</si>
  <si>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</si>
  <si>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</si>
  <si>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</si>
  <si>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</si>
  <si>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</si>
  <si>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</si>
  <si>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</si>
  <si>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</si>
  <si>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</si>
  <si>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</si>
  <si>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</si>
  <si>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</si>
  <si>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</si>
  <si>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</si>
  <si>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</si>
  <si>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</si>
  <si>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</si>
  <si>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</si>
  <si>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</si>
  <si>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</si>
  <si>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</si>
  <si>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</si>
  <si>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</si>
  <si>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</si>
  <si>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</si>
  <si>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</si>
  <si>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</si>
  <si>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</si>
  <si>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</si>
  <si>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</si>
  <si>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</si>
  <si>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</si>
  <si>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</si>
  <si>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</si>
  <si>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</si>
  <si>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</si>
  <si>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</si>
  <si>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</si>
  <si>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</si>
  <si>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</si>
  <si>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</si>
  <si>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</si>
  <si>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</si>
  <si>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</si>
  <si>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</si>
  <si>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</si>
  <si>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</si>
  <si>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</si>
  <si>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</si>
  <si>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</si>
  <si>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</si>
  <si>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</si>
  <si>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</si>
  <si>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</si>
  <si>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</si>
  <si>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</si>
  <si>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</si>
  <si>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</si>
  <si>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</si>
  <si>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</si>
  <si>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</si>
  <si>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</si>
  <si>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</si>
  <si>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</si>
  <si>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</si>
  <si>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</si>
  <si>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</si>
  <si>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</si>
  <si>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</si>
  <si>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</si>
  <si>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</si>
  <si>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</si>
  <si>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</si>
  <si>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</si>
  <si>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</si>
  <si>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</si>
  <si>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</si>
  <si>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</si>
  <si>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</si>
  <si>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</si>
  <si>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</si>
  <si>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</si>
  <si>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</si>
  <si>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</si>
  <si>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</si>
  <si>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</si>
  <si>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</si>
  <si>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</si>
  <si>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</si>
  <si>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</si>
  <si>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</si>
  <si>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</si>
  <si>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</si>
  <si>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</si>
  <si>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</si>
  <si>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</si>
  <si>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</si>
  <si>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</si>
  <si>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</si>
  <si>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</si>
  <si>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</si>
  <si>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</si>
  <si>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</si>
  <si>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</si>
  <si>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</si>
  <si>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</si>
  <si>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</si>
  <si>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</si>
  <si>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</si>
  <si>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</si>
  <si>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</si>
  <si>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</si>
  <si>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</si>
  <si>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</si>
  <si>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</si>
  <si>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</si>
  <si>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</si>
  <si>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</si>
  <si>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</si>
  <si>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</si>
  <si>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</si>
  <si>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</si>
  <si>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</si>
  <si>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</si>
  <si>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</si>
  <si>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</si>
  <si>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</si>
  <si>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</si>
  <si>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</si>
  <si>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</si>
  <si>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</si>
  <si>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</si>
  <si>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</si>
  <si>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</si>
  <si>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</si>
  <si>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</si>
  <si>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</si>
  <si>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</si>
  <si>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</si>
  <si>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</si>
  <si>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</si>
  <si>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</si>
  <si>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</si>
  <si>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</si>
  <si>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</si>
  <si>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</si>
  <si>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</si>
  <si>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</si>
  <si>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</si>
  <si>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</si>
  <si>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</si>
  <si>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</si>
  <si>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</si>
  <si>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</si>
  <si>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</si>
  <si>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</si>
  <si>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</si>
  <si>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</si>
  <si>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</si>
  <si>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</si>
  <si>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</si>
  <si>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</si>
  <si>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</si>
  <si>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</si>
  <si>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</si>
  <si>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</si>
  <si>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</si>
  <si>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</si>
  <si>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</si>
  <si>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</si>
  <si>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</si>
  <si>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</si>
  <si>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</si>
  <si>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</si>
  <si>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</si>
  <si>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</si>
  <si>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</si>
  <si>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</si>
  <si>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</si>
  <si>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</si>
  <si>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</si>
  <si>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</si>
  <si>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</si>
  <si>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</si>
  <si>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</si>
  <si>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</si>
  <si>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</si>
  <si>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</si>
  <si>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</si>
  <si>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</si>
  <si>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</si>
  <si>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</si>
  <si>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</si>
  <si>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</si>
  <si>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</si>
  <si>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</si>
  <si>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</si>
  <si>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</si>
  <si>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</si>
  <si>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</si>
  <si>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</si>
  <si>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</si>
  <si>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</si>
  <si>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</si>
  <si>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</si>
  <si>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</si>
  <si>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</si>
  <si>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</si>
  <si>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</si>
  <si>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</si>
  <si>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</si>
  <si>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</si>
  <si>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</si>
  <si>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</si>
  <si>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</si>
  <si>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</si>
  <si>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</si>
  <si>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</si>
  <si>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</si>
  <si>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</si>
  <si>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</si>
  <si>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</si>
  <si>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</si>
  <si>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</si>
  <si>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</si>
  <si>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</si>
  <si>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</si>
  <si>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</si>
  <si>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</si>
  <si>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</si>
  <si>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</si>
  <si>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</si>
  <si>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</si>
  <si>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</si>
  <si>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</si>
  <si>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</si>
  <si>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</si>
  <si>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</si>
  <si>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</si>
  <si>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</si>
  <si>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</si>
  <si>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</si>
  <si>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</si>
  <si>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</si>
  <si>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</si>
  <si>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</si>
  <si>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</si>
  <si>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</si>
  <si>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</si>
  <si>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</si>
  <si>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</si>
  <si>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</si>
  <si>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</si>
  <si>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</si>
  <si>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</si>
  <si>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</si>
  <si>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</si>
  <si>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</si>
  <si>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</si>
  <si>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</si>
  <si>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</si>
  <si>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</si>
  <si>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</si>
  <si>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</si>
  <si>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</si>
  <si>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</si>
  <si>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</si>
  <si>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</si>
  <si>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</si>
  <si>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</si>
  <si>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</si>
  <si>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</si>
  <si>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</si>
  <si>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</si>
  <si>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</si>
  <si>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</si>
  <si>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</si>
  <si>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</si>
  <si>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</si>
  <si>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</si>
  <si>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</si>
  <si>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</si>
  <si>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</si>
  <si>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</si>
  <si>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</si>
  <si>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</si>
  <si>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</si>
  <si>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</si>
  <si>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</si>
  <si>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</si>
  <si>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</si>
  <si>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</si>
  <si>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</si>
  <si>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</si>
  <si>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</si>
  <si>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</si>
  <si>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</si>
  <si>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</si>
  <si>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</si>
  <si>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</si>
  <si>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</si>
  <si>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</si>
  <si>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</si>
  <si>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</si>
  <si>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</si>
  <si>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</si>
  <si>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</si>
  <si>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</si>
  <si>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</si>
  <si>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</si>
  <si>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</si>
  <si>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</si>
  <si>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</si>
  <si>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</si>
  <si>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</si>
  <si>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</si>
  <si>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</si>
  <si>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</si>
  <si>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</si>
  <si>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</si>
  <si>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</si>
  <si>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</si>
  <si>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</si>
  <si>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</si>
  <si>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</si>
  <si>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</si>
  <si>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</si>
  <si>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</si>
  <si>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</si>
  <si>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</si>
  <si>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</si>
  <si>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</si>
  <si>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</si>
  <si>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</si>
  <si>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</si>
  <si>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</si>
  <si>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</si>
  <si>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</si>
  <si>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</si>
  <si>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</si>
  <si>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</si>
  <si>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</si>
  <si>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</si>
  <si>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</si>
  <si>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</si>
  <si>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</si>
  <si>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</si>
  <si>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</si>
  <si>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</si>
  <si>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</si>
  <si>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</si>
  <si>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</si>
  <si>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</si>
  <si>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</si>
  <si>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</si>
  <si>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</si>
  <si>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</si>
  <si>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</si>
  <si>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</si>
  <si>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</si>
  <si>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</si>
  <si>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</si>
  <si>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</si>
  <si>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</si>
  <si>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</si>
  <si>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</si>
  <si>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</si>
  <si>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</si>
  <si>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</si>
  <si>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</si>
  <si>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</si>
  <si>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</si>
  <si>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</si>
  <si>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</si>
  <si>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</si>
  <si>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</si>
  <si>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</si>
  <si>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</si>
  <si>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</si>
  <si>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</si>
  <si>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</si>
  <si>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</si>
  <si>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</si>
  <si>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</si>
  <si>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</si>
  <si>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</si>
  <si>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</si>
  <si>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</si>
  <si>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</si>
  <si>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</si>
  <si>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</si>
  <si>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</si>
  <si>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</si>
  <si>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</si>
  <si>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</si>
  <si>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</si>
  <si>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</si>
  <si>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</si>
  <si>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</si>
  <si>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</si>
  <si>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</si>
  <si>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</si>
  <si>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</si>
  <si>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</si>
  <si>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</si>
  <si>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</si>
  <si>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</si>
  <si>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</si>
  <si>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</si>
  <si>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</si>
  <si>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</si>
  <si>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</si>
  <si>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</si>
  <si>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</si>
  <si>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</si>
  <si>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</si>
  <si>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</si>
  <si>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</si>
  <si>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</si>
  <si>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</si>
  <si>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</si>
  <si>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</si>
  <si>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</si>
  <si>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</si>
  <si>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</si>
  <si>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</si>
  <si>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</si>
  <si>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</si>
  <si>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</si>
  <si>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</si>
  <si>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</si>
  <si>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</si>
  <si>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</si>
  <si>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</si>
  <si>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</si>
  <si>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</si>
  <si>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</si>
  <si>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</si>
  <si>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</si>
  <si>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</si>
  <si>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</si>
  <si>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</si>
  <si>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</si>
  <si>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</si>
  <si>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</si>
  <si>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</si>
  <si>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</si>
  <si>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</si>
  <si>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</si>
  <si>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</si>
  <si>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</si>
  <si>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</si>
  <si>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</si>
  <si>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</si>
  <si>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</si>
  <si>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</si>
  <si>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</si>
  <si>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</si>
  <si>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</si>
  <si>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</si>
  <si>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</si>
  <si>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</si>
  <si>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</si>
  <si>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</si>
  <si>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</si>
  <si>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</si>
  <si>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</si>
  <si>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</si>
  <si>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</si>
  <si>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</si>
  <si>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</si>
  <si>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</si>
  <si>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</si>
  <si>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</si>
  <si>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</si>
  <si>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</si>
  <si>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</si>
  <si>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</si>
  <si>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</si>
  <si>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</si>
  <si>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</si>
  <si>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</si>
  <si>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</si>
  <si>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</si>
  <si>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</si>
  <si>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</si>
  <si>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</si>
  <si>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</si>
  <si>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</si>
  <si>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</si>
  <si>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</si>
  <si>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</si>
  <si>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</si>
  <si>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</si>
  <si>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</si>
  <si>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</si>
  <si>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</si>
  <si>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</si>
  <si>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</si>
  <si>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</si>
  <si>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</si>
  <si>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</si>
  <si>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</si>
  <si>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</si>
  <si>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</si>
  <si>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</si>
  <si>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</si>
  <si>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</si>
  <si>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</si>
  <si>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</si>
  <si>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</si>
  <si>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</si>
  <si>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</si>
  <si>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</si>
  <si>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</si>
  <si>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</si>
  <si>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</si>
  <si>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</si>
  <si>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</si>
  <si>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</si>
  <si>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</si>
  <si>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</si>
  <si>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</si>
  <si>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</si>
  <si>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</si>
  <si>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</si>
  <si>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</si>
  <si>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</si>
  <si>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</si>
  <si>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</si>
  <si>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</si>
  <si>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</si>
  <si>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</si>
  <si>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</si>
  <si>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</si>
  <si>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</si>
  <si>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</si>
  <si>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</si>
  <si>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</si>
  <si>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</si>
  <si>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</si>
  <si>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</si>
  <si>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</si>
  <si>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</si>
  <si>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</si>
  <si>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</si>
  <si>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</si>
  <si>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</si>
  <si>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</si>
  <si>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</si>
  <si>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</si>
  <si>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</si>
  <si>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</si>
  <si>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</si>
  <si>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</si>
  <si>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</si>
  <si>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</si>
  <si>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</si>
  <si>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</si>
  <si>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</si>
  <si>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</si>
  <si>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</si>
  <si>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</si>
  <si>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</si>
  <si>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</si>
  <si>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</si>
  <si>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</si>
  <si>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</si>
  <si>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</si>
  <si>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</si>
  <si>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</si>
  <si>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</si>
  <si>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</si>
  <si>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</si>
  <si>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</si>
  <si>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</si>
  <si>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</si>
  <si>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</si>
  <si>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</si>
  <si>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</si>
  <si>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</si>
  <si>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</si>
  <si>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</si>
  <si>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</si>
  <si>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</si>
  <si>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</si>
  <si>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</si>
  <si>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</si>
  <si>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</si>
  <si>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</si>
  <si>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</si>
  <si>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</si>
  <si>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</si>
  <si>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</si>
  <si>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</si>
  <si>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</si>
  <si>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</si>
  <si>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</si>
  <si>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</si>
  <si>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</si>
  <si>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</si>
  <si>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</si>
  <si>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</si>
  <si>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</si>
  <si>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</si>
  <si>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</si>
  <si>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</si>
  <si>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</si>
  <si>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</si>
  <si>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</si>
  <si>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</si>
  <si>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</si>
  <si>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</si>
  <si>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</si>
  <si>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</si>
  <si>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</si>
  <si>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</si>
  <si>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</si>
  <si>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</si>
  <si>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</si>
  <si>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</si>
  <si>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</si>
  <si>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</si>
  <si>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</si>
  <si>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</si>
  <si>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</si>
  <si>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</si>
  <si>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</si>
  <si>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</si>
  <si>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</si>
  <si>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</si>
  <si>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</si>
  <si>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</si>
  <si>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</si>
  <si>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</si>
  <si>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</si>
  <si>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</si>
  <si>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</si>
  <si>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</si>
  <si>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</si>
  <si>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</si>
  <si>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</si>
  <si>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</si>
  <si>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</si>
  <si>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</si>
  <si>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</si>
  <si>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</si>
  <si>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</si>
  <si>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</si>
  <si>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</si>
  <si>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</si>
  <si>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</si>
  <si>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</si>
  <si>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</si>
  <si>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</si>
  <si>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</si>
  <si>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</si>
  <si>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</si>
  <si>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</si>
  <si>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</si>
  <si>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</si>
  <si>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</si>
  <si>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</si>
  <si>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</si>
  <si>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</si>
  <si>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</si>
  <si>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</si>
  <si>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</si>
  <si>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</si>
  <si>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</si>
  <si>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</si>
  <si>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</si>
  <si>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</si>
  <si>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</si>
  <si>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</si>
  <si>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</si>
  <si>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</si>
  <si>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</si>
  <si>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</si>
  <si>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</si>
  <si>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</si>
  <si>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</si>
  <si>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</si>
  <si>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</si>
  <si>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</si>
  <si>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</si>
  <si>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</si>
  <si>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</si>
  <si>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</si>
  <si>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</si>
  <si>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</si>
  <si>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</si>
  <si>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</si>
  <si>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</si>
  <si>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</si>
  <si>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</si>
  <si>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</si>
  <si>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</si>
  <si>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</si>
  <si>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</si>
  <si>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</si>
  <si>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</si>
  <si>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</si>
  <si>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</si>
  <si>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</si>
  <si>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</si>
  <si>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</si>
  <si>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</si>
  <si>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</si>
  <si>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</si>
  <si>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</si>
  <si>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</si>
  <si>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</si>
  <si>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</si>
  <si>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</si>
  <si>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</si>
  <si>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</si>
  <si>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</si>
  <si>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</si>
  <si>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</si>
  <si>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</si>
  <si>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</si>
  <si>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</si>
  <si>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</si>
  <si>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</si>
  <si>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</si>
  <si>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</si>
  <si>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</si>
  <si>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</si>
  <si>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</si>
  <si>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</si>
  <si>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</si>
  <si>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</si>
  <si>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</si>
  <si>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</si>
  <si>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</si>
  <si>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</si>
  <si>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</si>
  <si>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</si>
  <si>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</si>
  <si>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</si>
  <si>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</si>
  <si>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</si>
  <si>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</si>
  <si>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</si>
  <si>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</si>
  <si>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</si>
  <si>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</si>
  <si>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</si>
  <si>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</si>
  <si>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</si>
  <si>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</si>
  <si>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</si>
  <si>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</si>
  <si>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</si>
  <si>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</si>
  <si>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</si>
  <si>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</si>
  <si>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</si>
  <si>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</si>
  <si>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</si>
  <si>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</si>
  <si>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</si>
  <si>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</si>
  <si>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</si>
  <si>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</si>
  <si>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</si>
  <si>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</si>
  <si>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</si>
  <si>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</si>
  <si>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</si>
  <si>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</si>
  <si>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</si>
  <si>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</si>
  <si>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</si>
  <si>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</si>
  <si>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</si>
  <si>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</si>
  <si>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</si>
  <si>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</si>
  <si>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</si>
  <si>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</si>
  <si>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</si>
  <si>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</si>
  <si>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</si>
  <si>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</si>
  <si>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</si>
  <si>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</si>
  <si>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</si>
  <si>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</si>
  <si>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</si>
  <si>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</si>
  <si>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</si>
  <si>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</si>
  <si>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</si>
  <si>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</si>
  <si>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</si>
  <si>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</si>
  <si>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</si>
  <si>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</si>
  <si>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</si>
  <si>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</si>
  <si>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</si>
  <si>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</si>
  <si>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</si>
  <si>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</si>
  <si>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</si>
  <si>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</si>
  <si>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</si>
  <si>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</si>
  <si>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</si>
  <si>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</si>
  <si>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</si>
  <si>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</si>
  <si>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</si>
  <si>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</si>
  <si>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</si>
  <si>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</si>
  <si>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</si>
  <si>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</si>
  <si>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</si>
  <si>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</si>
  <si>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</si>
  <si>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</si>
  <si>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</si>
  <si>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</si>
  <si>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</si>
  <si>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</si>
  <si>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</si>
  <si>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</si>
  <si>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</si>
  <si>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</si>
  <si>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</si>
  <si>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</si>
  <si>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</si>
  <si>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</si>
  <si>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</si>
  <si>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</si>
  <si>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</si>
  <si>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</si>
  <si>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</si>
  <si>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</si>
  <si>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</si>
  <si>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</si>
  <si>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</si>
  <si>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</si>
  <si>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</si>
  <si>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</si>
  <si>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</si>
  <si>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</si>
  <si>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</si>
  <si>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</si>
  <si>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</si>
  <si>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</si>
  <si>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</si>
  <si>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</si>
  <si>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</si>
  <si>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</si>
  <si>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</si>
  <si>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</si>
  <si>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</si>
  <si>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</si>
  <si>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</si>
  <si>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</si>
  <si>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</si>
  <si>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</si>
  <si>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</si>
  <si>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</si>
  <si>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</si>
  <si>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</si>
  <si>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</si>
  <si>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</si>
  <si>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</si>
  <si>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</si>
  <si>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</si>
  <si>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</si>
  <si>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</si>
  <si>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</si>
  <si>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</si>
  <si>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</si>
  <si>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</si>
  <si>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</si>
  <si>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</si>
  <si>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</si>
  <si>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</si>
  <si>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</si>
  <si>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</si>
  <si>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</si>
  <si>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</si>
  <si>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</si>
  <si>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</si>
  <si>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</si>
  <si>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</si>
  <si>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</si>
  <si>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</si>
  <si>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</si>
  <si>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</si>
  <si>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</si>
  <si>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</si>
  <si>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</si>
  <si>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</si>
  <si>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</si>
  <si>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</si>
  <si>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</si>
  <si>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</si>
  <si>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</si>
  <si>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</si>
  <si>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</si>
  <si>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</si>
  <si>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</si>
  <si>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</si>
  <si>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</si>
  <si>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</si>
  <si>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</si>
  <si>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</si>
  <si>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</si>
  <si>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</si>
  <si>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</si>
  <si>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</si>
  <si>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</si>
  <si>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</si>
  <si>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</si>
  <si>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</si>
  <si>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</si>
  <si>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</si>
  <si>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</si>
  <si>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</si>
  <si>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</si>
  <si>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</si>
  <si>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</si>
  <si>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</si>
  <si>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</si>
  <si>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</si>
  <si>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</si>
  <si>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</si>
  <si>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</si>
  <si>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</si>
  <si>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</si>
  <si>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</si>
  <si>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</si>
  <si>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</si>
  <si>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</si>
  <si>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</si>
  <si>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</si>
  <si>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</si>
  <si>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</si>
  <si>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</si>
  <si>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</si>
  <si>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</si>
  <si>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</si>
  <si>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</si>
  <si>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</si>
  <si>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</si>
  <si>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</si>
  <si>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</si>
  <si>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</si>
  <si>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</si>
  <si>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</si>
  <si>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</si>
  <si>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</si>
  <si>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</si>
  <si>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</si>
  <si>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</si>
  <si>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</si>
  <si>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</si>
  <si>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</si>
  <si>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</si>
  <si>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</si>
  <si>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</si>
  <si>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</si>
  <si>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</si>
  <si>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</si>
  <si>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</si>
  <si>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</si>
  <si>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</si>
  <si>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</si>
  <si>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</si>
  <si>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</si>
  <si>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</si>
  <si>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</si>
  <si>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</si>
  <si>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</si>
  <si>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</si>
  <si>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</si>
  <si>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</si>
  <si>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</si>
  <si>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</si>
  <si>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</si>
  <si>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</si>
  <si>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</si>
  <si>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</si>
  <si>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</si>
  <si>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</si>
  <si>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</si>
  <si>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</si>
  <si>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</si>
  <si>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</si>
  <si>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</si>
  <si>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</si>
  <si>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</si>
  <si>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</si>
  <si>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</si>
  <si>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</si>
  <si>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</si>
  <si>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</si>
  <si>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</si>
  <si>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</si>
  <si>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</si>
  <si>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</si>
  <si>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</si>
  <si>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</si>
  <si>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</si>
  <si>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</si>
  <si>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</si>
  <si>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</si>
  <si>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</si>
  <si>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</si>
  <si>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</si>
  <si>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</si>
  <si>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</si>
  <si>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</si>
  <si>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</si>
  <si>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</si>
  <si>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</si>
  <si>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</si>
  <si>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</si>
  <si>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</si>
  <si>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</si>
  <si>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</si>
  <si>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</si>
  <si>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</si>
  <si>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</si>
  <si>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</si>
  <si>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</si>
  <si>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</si>
  <si>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</si>
  <si>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</si>
  <si>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</si>
  <si>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</si>
  <si>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</si>
  <si>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</si>
  <si>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</si>
  <si>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</si>
  <si>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</si>
  <si>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</si>
  <si>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</si>
  <si>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</si>
  <si>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</si>
  <si>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</si>
  <si>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</si>
  <si>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</si>
  <si>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</si>
  <si>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</si>
  <si>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</si>
  <si>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</si>
  <si>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</si>
  <si>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</si>
  <si>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</si>
  <si>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</si>
  <si>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</si>
  <si>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</si>
  <si>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</si>
  <si>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</si>
  <si>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</si>
  <si>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</si>
  <si>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</si>
  <si>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</si>
  <si>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</si>
  <si>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</si>
  <si>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</si>
  <si>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</si>
  <si>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</si>
  <si>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</si>
  <si>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</si>
  <si>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</si>
  <si>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</si>
  <si>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</si>
  <si>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</si>
  <si>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</si>
  <si>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</si>
  <si>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</si>
  <si>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</si>
  <si>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</si>
  <si>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</si>
  <si>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</si>
  <si>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</si>
  <si>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</si>
  <si>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</si>
  <si>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</si>
  <si>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</si>
  <si>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</si>
  <si>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</si>
  <si>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</si>
  <si>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</si>
  <si>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</si>
  <si>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</si>
  <si>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</si>
  <si>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</si>
  <si>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</si>
  <si>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</si>
  <si>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</si>
  <si>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</si>
  <si>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</si>
  <si>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</si>
  <si>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</si>
  <si>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</si>
  <si>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</si>
  <si>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</si>
  <si>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</si>
  <si>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</si>
  <si>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</si>
  <si>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</si>
  <si>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</si>
  <si>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</si>
  <si>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</si>
  <si>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</si>
  <si>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</si>
  <si>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</si>
  <si>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</si>
  <si>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</si>
  <si>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</si>
  <si>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</si>
  <si>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</si>
  <si>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</si>
  <si>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</si>
  <si>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</si>
  <si>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</si>
  <si>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</si>
  <si>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</si>
  <si>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</si>
  <si>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</si>
  <si>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</si>
  <si>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</si>
  <si>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</si>
  <si>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</si>
  <si>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</si>
  <si>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</si>
  <si>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</si>
  <si>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</si>
  <si>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</si>
  <si>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</si>
  <si>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</si>
  <si>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</si>
  <si>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</si>
  <si>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</si>
  <si>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</si>
  <si>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</si>
  <si>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</si>
  <si>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</si>
  <si>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</si>
  <si>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</si>
  <si>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</si>
  <si>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</si>
  <si>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</si>
  <si>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</si>
  <si>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</si>
  <si>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</si>
  <si>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</si>
  <si>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</si>
  <si>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</si>
  <si>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</si>
  <si>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</si>
  <si>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</si>
  <si>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</si>
  <si>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</si>
  <si>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</si>
  <si>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</si>
  <si>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</si>
  <si>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</si>
  <si>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</si>
  <si>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</si>
  <si>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</si>
  <si>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</si>
  <si>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</si>
  <si>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</si>
  <si>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</si>
  <si>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</si>
  <si>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</si>
  <si>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</si>
  <si>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</si>
  <si>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</si>
  <si>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</si>
  <si>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</si>
  <si>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</si>
  <si>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</si>
  <si>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</si>
  <si>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</si>
  <si>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</si>
  <si>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</si>
  <si>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</si>
  <si>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</si>
  <si>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</si>
  <si>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</si>
  <si>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</si>
  <si>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</si>
  <si>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</si>
  <si>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</si>
  <si>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</si>
  <si>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</si>
  <si>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</si>
  <si>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</si>
  <si>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</si>
  <si>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</si>
  <si>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</si>
  <si>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</si>
  <si>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</si>
  <si>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</si>
  <si>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</si>
  <si>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</si>
  <si>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</si>
  <si>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</si>
  <si>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</si>
  <si>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</si>
  <si>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</si>
  <si>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</si>
  <si>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</si>
  <si>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</si>
  <si>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</si>
  <si>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</si>
  <si>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</si>
  <si>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</si>
  <si>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</si>
  <si>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</si>
  <si>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</si>
  <si>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</si>
  <si>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</si>
  <si>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</si>
  <si>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</si>
  <si>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</si>
  <si>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</si>
  <si>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</si>
  <si>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</si>
  <si>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</si>
  <si>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</si>
  <si>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</si>
  <si>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</si>
  <si>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</si>
  <si>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</si>
  <si>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</si>
  <si>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</si>
  <si>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</si>
  <si>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</si>
  <si>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</si>
  <si>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</si>
  <si>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</si>
  <si>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</si>
  <si>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</si>
  <si>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</si>
  <si>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</si>
  <si>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</si>
  <si>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</si>
  <si>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</si>
  <si>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</si>
  <si>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</si>
  <si>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</si>
  <si>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</si>
  <si>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</si>
  <si>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</si>
  <si>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</si>
  <si>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</si>
  <si>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choix moyen de protection sur ESTIVE pour OL</t>
  </si>
  <si>
    <t>Z1_OLBV_T3_Ms3</t>
  </si>
  <si>
    <t>suppression de la formule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</si>
</sst>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21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196.00181973535274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0.70843895652173916</v>
      </c>
      <c r="H5" s="142">
        <f>CdTrp1!C215+CdTrp2!C215+CdTrp3!C215+CdTrp4!C215</f>
        <v>0.70843895652173916</v>
      </c>
      <c r="I5" s="142">
        <f>CdTrp1!D215+CdTrp2!D215+CdTrp3!D215+CdTrp4!D215</f>
        <v>0.63988034782608705</v>
      </c>
      <c r="J5" s="142">
        <f>CdTrp1!E215+CdTrp2!E215+CdTrp3!E215+CdTrp4!E215</f>
        <v>0.63988034782608705</v>
      </c>
      <c r="K5" s="142">
        <f>CdTrp1!F215+CdTrp2!F215+CdTrp3!F215+CdTrp4!F215</f>
        <v>0.70843895652173916</v>
      </c>
      <c r="L5" s="142">
        <f>CdTrp1!G215+CdTrp2!G215+CdTrp3!G215+CdTrp4!G215</f>
        <v>3.3970680507826092</v>
      </c>
      <c r="M5" s="142">
        <f>CdTrp1!H215+CdTrp2!H215+CdTrp3!H215+CdTrp4!H215</f>
        <v>3.2740038678260888</v>
      </c>
      <c r="N5" s="142">
        <f>CdTrp1!I215+CdTrp2!I215+CdTrp3!I215+CdTrp4!I215</f>
        <v>3.2605225252173922</v>
      </c>
      <c r="O5" s="142">
        <f>CdTrp1!J215+CdTrp2!J215+CdTrp3!J215+CdTrp4!J215</f>
        <v>6.3571569180000012</v>
      </c>
      <c r="P5" s="142">
        <f>CdTrp1!K215+CdTrp2!K215+CdTrp3!K215+CdTrp4!K215</f>
        <v>6.7724168734782619</v>
      </c>
      <c r="Q5" s="142">
        <f>CdTrp1!L215+CdTrp2!L215+CdTrp3!L215+CdTrp4!L215</f>
        <v>3.8237943130434786</v>
      </c>
      <c r="R5" s="142">
        <f>CdTrp1!M215+CdTrp2!M215+CdTrp3!M215+CdTrp4!M215</f>
        <v>5.4421466400000007</v>
      </c>
      <c r="S5" s="142">
        <f>CdTrp1!N215+CdTrp2!N215+CdTrp3!N215+CdTrp4!N215</f>
        <v>5.623551528000001</v>
      </c>
      <c r="T5" s="142">
        <f>CdTrp1!O215+CdTrp2!O215+CdTrp3!O215+CdTrp4!O215</f>
        <v>5.623551528000001</v>
      </c>
      <c r="U5" s="142">
        <f>CdTrp1!P215+CdTrp2!P215+CdTrp3!P215+CdTrp4!P215</f>
        <v>5.623551528000001</v>
      </c>
      <c r="V5" s="142">
        <f>CdTrp1!Q215+CdTrp2!Q215+CdTrp3!Q215+CdTrp4!Q215</f>
        <v>3.9512541234782614</v>
      </c>
      <c r="W5" s="142">
        <f>CdTrp1!R215+CdTrp2!R215+CdTrp3!R215+CdTrp4!R215</f>
        <v>2.744892761739131</v>
      </c>
      <c r="X5" s="142">
        <f>CdTrp1!S215+CdTrp2!S215+CdTrp3!S215+CdTrp4!S215</f>
        <v>2.744892761739131</v>
      </c>
      <c r="Y5" s="142">
        <f>CdTrp1!T215+CdTrp2!T215+CdTrp3!T215+CdTrp4!T215</f>
        <v>4.0156106248695655</v>
      </c>
      <c r="Z5" s="142">
        <f>CdTrp1!U215+CdTrp2!U215+CdTrp3!U215+CdTrp4!U215</f>
        <v>5.0803792808695656</v>
      </c>
      <c r="AA5" s="142">
        <f>CdTrp1!V215+CdTrp2!V215+CdTrp3!V215+CdTrp4!V215</f>
        <v>2.4406148869565221</v>
      </c>
      <c r="AB5" s="142">
        <f>CdTrp1!W215+CdTrp2!W215+CdTrp3!W215+CdTrp4!W215</f>
        <v>2.4422570869565221</v>
      </c>
      <c r="AC5" s="142">
        <f>CdTrp1!X215+CdTrp2!X215+CdTrp3!X215+CdTrp4!X215</f>
        <v>0.70843895652173916</v>
      </c>
      <c r="AD5" s="142">
        <f>CdTrp1!Y215+CdTrp2!Y215+CdTrp3!Y215+CdTrp4!Y215</f>
        <v>0.70843895652173916</v>
      </c>
      <c r="AE5" s="152"/>
      <c r="AF5" s="143">
        <f>AF8+AF9</f>
        <v>101.9528367772174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1.5069599999999999</v>
      </c>
      <c r="N6" s="142">
        <f>CdTrp1!I216+CdTrp2!I216+CdTrp3!I216+CdTrp4!I216</f>
        <v>1.5069599999999999</v>
      </c>
      <c r="O6" s="142">
        <f>CdTrp1!J216+CdTrp2!J216+CdTrp3!J216+CdTrp4!J216</f>
        <v>1.5571919999999997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</v>
      </c>
      <c r="AA6" s="142">
        <f>CdTrp1!V216+CdTrp2!V216+CdTrp3!V216+CdTrp4!V216</f>
        <v>1.5069599999999999</v>
      </c>
      <c r="AB6" s="142">
        <f>CdTrp1!W216+CdTrp2!W216+CdTrp3!W216+CdTrp4!W216</f>
        <v>1.5069599999999999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294</v>
      </c>
      <c r="C7" s="143">
        <f>ROUNDUP(C4-C6-0.9*C5,1)</f>
        <v>196.1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1.5571919999999997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0.70843895652173916</v>
      </c>
      <c r="H8" s="142">
        <f t="shared" ref="H8:AD8" si="0">SUM(H5:H7)</f>
        <v>0.70843895652173916</v>
      </c>
      <c r="I8" s="142">
        <f t="shared" si="0"/>
        <v>0.63988034782608705</v>
      </c>
      <c r="J8" s="142">
        <f t="shared" si="0"/>
        <v>0.63988034782608705</v>
      </c>
      <c r="K8" s="142">
        <f t="shared" si="0"/>
        <v>0.70843895652173916</v>
      </c>
      <c r="L8" s="142">
        <f t="shared" si="0"/>
        <v>3.3970680507826092</v>
      </c>
      <c r="M8" s="142">
        <f t="shared" si="0"/>
        <v>4.7809638678260882</v>
      </c>
      <c r="N8" s="142">
        <f t="shared" si="0"/>
        <v>4.7674825252173925</v>
      </c>
      <c r="O8" s="142">
        <f t="shared" si="0"/>
        <v>7.9143489180000008</v>
      </c>
      <c r="P8" s="142">
        <f t="shared" si="0"/>
        <v>8.3296088734782607</v>
      </c>
      <c r="Q8" s="142">
        <f t="shared" si="0"/>
        <v>5.330754313043478</v>
      </c>
      <c r="R8" s="142">
        <f t="shared" si="0"/>
        <v>6.9491066400000001</v>
      </c>
      <c r="S8" s="142">
        <f t="shared" si="0"/>
        <v>7.1807435280000007</v>
      </c>
      <c r="T8" s="142">
        <f t="shared" si="0"/>
        <v>7.1807435280000007</v>
      </c>
      <c r="U8" s="142">
        <f t="shared" si="0"/>
        <v>7.1807435280000007</v>
      </c>
      <c r="V8" s="142">
        <f t="shared" si="0"/>
        <v>5.5084461234782616</v>
      </c>
      <c r="W8" s="142">
        <f t="shared" si="0"/>
        <v>4.2518527617391308</v>
      </c>
      <c r="X8" s="142">
        <f t="shared" si="0"/>
        <v>4.2518527617391308</v>
      </c>
      <c r="Y8" s="142">
        <f t="shared" si="0"/>
        <v>5.5728026248695652</v>
      </c>
      <c r="Z8" s="142">
        <f t="shared" si="0"/>
        <v>6.6375712808695653</v>
      </c>
      <c r="AA8" s="142">
        <f t="shared" si="0"/>
        <v>3.9475748869565219</v>
      </c>
      <c r="AB8" s="142">
        <f t="shared" si="0"/>
        <v>3.949217086956522</v>
      </c>
      <c r="AC8" s="142">
        <f t="shared" si="0"/>
        <v>0.70843895652173916</v>
      </c>
      <c r="AD8" s="142">
        <f t="shared" si="0"/>
        <v>0.70843895652173916</v>
      </c>
      <c r="AE8" s="152"/>
      <c r="AF8" s="143">
        <f>SUM(G8:AD8)</f>
        <v>101.9528367772174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0</v>
      </c>
      <c r="S9" s="142">
        <f>CdTrp1!N218+CdTrp2!N218+CdTrp3!N218+CdTrp4!N218</f>
        <v>0</v>
      </c>
      <c r="T9" s="142">
        <f>CdTrp1!O218+CdTrp2!O218+CdTrp3!O218+CdTrp4!O218</f>
        <v>0</v>
      </c>
      <c r="U9" s="142">
        <f>CdTrp1!P218+CdTrp2!P218+CdTrp3!P218+CdTrp4!P218</f>
        <v>0</v>
      </c>
      <c r="V9" s="142">
        <f>CdTrp1!Q218+CdTrp2!Q218+CdTrp3!Q218+CdTrp4!Q218</f>
        <v>0</v>
      </c>
      <c r="W9" s="142">
        <f>CdTrp1!R218+CdTrp2!R218+CdTrp3!R218+CdTrp4!R218</f>
        <v>0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42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30</v>
      </c>
      <c r="H18" s="157">
        <f>G18/G17</f>
        <v>0.7142857142857143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6</v>
      </c>
      <c r="H19" s="157">
        <f>G19/G17</f>
        <v>0.14285714285714285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2</v>
      </c>
      <c r="H20" s="157">
        <f>G20/G17</f>
        <v>4.7619047619047616E-2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9" zoomScale="90" zoomScaleNormal="90" workbookViewId="0">
      <selection activeCell="R10" sqref="R10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0.70843895652173916</v>
      </c>
      <c r="AX5" s="13">
        <f>'Conduite Trp'!L8</f>
        <v>3.3970680507826092</v>
      </c>
      <c r="AY5" s="13">
        <f>'Conduite Trp'!M8</f>
        <v>4.7809638678260882</v>
      </c>
      <c r="AZ5" s="13">
        <f>'Conduite Trp'!N8</f>
        <v>4.7674825252173925</v>
      </c>
      <c r="BA5" s="13">
        <f>'Conduite Trp'!O8</f>
        <v>7.9143489180000008</v>
      </c>
      <c r="BB5" s="13">
        <f>'Conduite Trp'!P8</f>
        <v>8.3296088734782607</v>
      </c>
      <c r="BC5" s="13">
        <f>'Conduite Trp'!Q8</f>
        <v>5.330754313043478</v>
      </c>
      <c r="BD5" s="13">
        <f>'Conduite Trp'!R8</f>
        <v>6.9491066400000001</v>
      </c>
      <c r="BE5" s="13">
        <f>'Conduite Trp'!S8</f>
        <v>7.1807435280000007</v>
      </c>
      <c r="BF5" s="13">
        <f>'Conduite Trp'!T8</f>
        <v>7.1807435280000007</v>
      </c>
      <c r="BG5" s="13">
        <f>'Conduite Trp'!U8</f>
        <v>7.1807435280000007</v>
      </c>
      <c r="BH5" s="13">
        <f>'Conduite Trp'!V8</f>
        <v>5.5084461234782616</v>
      </c>
      <c r="BI5" s="13">
        <f>'Conduite Trp'!W8</f>
        <v>4.2518527617391308</v>
      </c>
      <c r="BJ5" s="13">
        <f>'Conduite Trp'!X8</f>
        <v>4.2518527617391308</v>
      </c>
      <c r="BK5" s="13">
        <f>'Conduite Trp'!Y8</f>
        <v>5.5728026248695652</v>
      </c>
      <c r="BL5" s="13">
        <f>'Conduite Trp'!Z8</f>
        <v>6.6375712808695653</v>
      </c>
      <c r="BM5" s="13">
        <f>'Conduite Trp'!AA8</f>
        <v>3.9475748869565219</v>
      </c>
      <c r="BN5" s="13">
        <f>'Conduite Trp'!AB8</f>
        <v>3.949217086956522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/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4.7809638678260882</v>
      </c>
      <c r="AZ7" s="60">
        <f t="shared" si="7"/>
        <v>4.7674825252173925</v>
      </c>
      <c r="BA7" s="60">
        <f t="shared" si="7"/>
        <v>7.9143489180000008</v>
      </c>
      <c r="BB7" s="60">
        <f t="shared" si="7"/>
        <v>8.3296088734782607</v>
      </c>
      <c r="BC7" s="60">
        <f t="shared" si="7"/>
        <v>5.330754313043478</v>
      </c>
      <c r="BD7" s="60">
        <f t="shared" si="7"/>
        <v>6.9491066400000001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38.072265137565225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>
        <v>0.6</v>
      </c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0.6</v>
      </c>
      <c r="AG8" s="60">
        <f t="shared" si="2"/>
        <v>0.6</v>
      </c>
      <c r="AH8" s="60">
        <f t="shared" si="3"/>
        <v>0.3</v>
      </c>
      <c r="AI8" s="60">
        <f t="shared" si="4"/>
        <v>0.42</v>
      </c>
      <c r="AJ8" s="60">
        <f t="shared" si="5"/>
        <v>0</v>
      </c>
      <c r="AK8" s="140"/>
      <c r="AL8" s="60">
        <f t="shared" si="6"/>
        <v>3.78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7.1807435280000007</v>
      </c>
      <c r="BF8" s="60">
        <f t="shared" si="8"/>
        <v>7.1807435280000007</v>
      </c>
      <c r="BG8" s="60">
        <f t="shared" si="8"/>
        <v>7.1807435280000007</v>
      </c>
      <c r="BH8" s="60">
        <f t="shared" si="8"/>
        <v>5.5084461234782616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27.050676707478264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2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3.6</v>
      </c>
      <c r="AF9" s="60">
        <f t="shared" si="1"/>
        <v>2.4</v>
      </c>
      <c r="AG9" s="60">
        <f t="shared" si="2"/>
        <v>3.6</v>
      </c>
      <c r="AH9" s="60">
        <f t="shared" si="3"/>
        <v>1</v>
      </c>
      <c r="AI9" s="60">
        <f t="shared" si="4"/>
        <v>1.4</v>
      </c>
      <c r="AJ9" s="60">
        <f t="shared" si="5"/>
        <v>0</v>
      </c>
      <c r="AK9" s="140"/>
      <c r="AL9" s="60">
        <f t="shared" si="6"/>
        <v>7.6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4.2518527617391308</v>
      </c>
      <c r="BJ9" s="60">
        <f t="shared" si="10"/>
        <v>4.2518527617391308</v>
      </c>
      <c r="BK9" s="60">
        <f t="shared" si="10"/>
        <v>5.5728026248695652</v>
      </c>
      <c r="BL9" s="60">
        <f t="shared" si="10"/>
        <v>6.6375712808695653</v>
      </c>
      <c r="BM9" s="60">
        <f t="shared" si="10"/>
        <v>3.9475748869565219</v>
      </c>
      <c r="BN9" s="60">
        <f t="shared" si="10"/>
        <v>3.949217086956522</v>
      </c>
      <c r="BO9" s="60">
        <f t="shared" si="10"/>
        <v>0</v>
      </c>
      <c r="BP9" s="60">
        <f t="shared" si="10"/>
        <v>0</v>
      </c>
      <c r="BR9" s="60">
        <f t="shared" si="9"/>
        <v>28.610871403130439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/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0</v>
      </c>
      <c r="AF10" s="60">
        <f t="shared" si="1"/>
        <v>0</v>
      </c>
      <c r="AG10" s="60">
        <f t="shared" si="2"/>
        <v>0</v>
      </c>
      <c r="AH10" s="60">
        <f t="shared" si="3"/>
        <v>0</v>
      </c>
      <c r="AI10" s="60">
        <f t="shared" si="4"/>
        <v>0</v>
      </c>
      <c r="AJ10" s="60">
        <f t="shared" si="5"/>
        <v>0</v>
      </c>
      <c r="AK10" s="140"/>
      <c r="AL10" s="60">
        <f t="shared" si="6"/>
        <v>0</v>
      </c>
      <c r="AQ10" s="32"/>
      <c r="AR10" s="69">
        <v>4</v>
      </c>
      <c r="AS10" s="60">
        <f>IF(AS$4=4,AS$5,0)</f>
        <v>0.70843895652173916</v>
      </c>
      <c r="AT10" s="60">
        <f t="shared" ref="AT10:BP10" si="11">IF(AT$4=4,AT$5,0)</f>
        <v>0.70843895652173916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0.70843895652173916</v>
      </c>
      <c r="BP10" s="60">
        <f t="shared" si="11"/>
        <v>0.70843895652173916</v>
      </c>
      <c r="BR10" s="60">
        <f t="shared" si="9"/>
        <v>2.8337558260869566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7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23.099999999999998</v>
      </c>
      <c r="AF11" s="60">
        <f t="shared" si="1"/>
        <v>14</v>
      </c>
      <c r="AG11" s="60">
        <f t="shared" si="2"/>
        <v>10.5</v>
      </c>
      <c r="AH11" s="60">
        <f t="shared" si="3"/>
        <v>7</v>
      </c>
      <c r="AI11" s="60">
        <f t="shared" si="4"/>
        <v>4.8999999999999995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0.63988034782608705</v>
      </c>
      <c r="AV11" s="60">
        <f t="shared" si="12"/>
        <v>0.63988034782608705</v>
      </c>
      <c r="AW11" s="60">
        <f t="shared" si="12"/>
        <v>0.70843895652173916</v>
      </c>
      <c r="AX11" s="60">
        <f t="shared" si="12"/>
        <v>3.3970680507826092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5.3852677029565221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>
        <v>266</v>
      </c>
      <c r="R12" s="39">
        <v>1.5</v>
      </c>
      <c r="S12" s="287" t="str">
        <f>VLOOKUP($Q12,[1]MEP!$A$5:$D$300,3)</f>
        <v>PP EXCELLENTE PATUREE</v>
      </c>
      <c r="T12" s="75" t="str">
        <f>VLOOKUP($Q12,[1]MEP!$A$5:$D$300,4)</f>
        <v>zone 1</v>
      </c>
      <c r="U12" s="75" t="str">
        <f>VLOOKUP($Q12,[1]MEP!$A$4:$K$300,2)</f>
        <v>P</v>
      </c>
      <c r="V12" s="75">
        <f>VLOOKUP($Q12,[1]MEP!$A$4:$K$300,5)</f>
        <v>3.3</v>
      </c>
      <c r="W12" s="75">
        <f>VLOOKUP($Q12,[1]MEP!$A$4:$K$300,6)</f>
        <v>3</v>
      </c>
      <c r="X12" s="75">
        <f>VLOOKUP($Q12,[1]MEP!$A$4:$K$300,7)</f>
        <v>2.2999999999999998</v>
      </c>
      <c r="Y12" s="75">
        <f>VLOOKUP($Q12,[1]MEP!$A$4:$K$300,8)</f>
        <v>0.5</v>
      </c>
      <c r="Z12" s="75">
        <f>VLOOKUP($Q12,[1]MEP!$A$4:$K$300,9)</f>
        <v>0.7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4.9499999999999993</v>
      </c>
      <c r="AF12" s="60">
        <f t="shared" si="1"/>
        <v>4.5</v>
      </c>
      <c r="AG12" s="60">
        <f t="shared" si="2"/>
        <v>3.4499999999999997</v>
      </c>
      <c r="AH12" s="60">
        <f t="shared" si="3"/>
        <v>0.75</v>
      </c>
      <c r="AI12" s="60">
        <f t="shared" si="4"/>
        <v>1.0499999999999998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3.3970680507826092</v>
      </c>
      <c r="AY15" s="13">
        <f>'Conduite Trp'!M5</f>
        <v>3.2740038678260888</v>
      </c>
      <c r="AZ15" s="13">
        <f>'Conduite Trp'!N5</f>
        <v>3.2605225252173922</v>
      </c>
      <c r="BA15" s="13">
        <f>'Conduite Trp'!O5</f>
        <v>6.3571569180000012</v>
      </c>
      <c r="BB15" s="13">
        <f>'Conduite Trp'!P5</f>
        <v>6.7724168734782619</v>
      </c>
      <c r="BC15" s="13">
        <f>'Conduite Trp'!Q5</f>
        <v>3.8237943130434786</v>
      </c>
      <c r="BD15" s="13">
        <f>'Conduite Trp'!R5</f>
        <v>5.4421466400000007</v>
      </c>
      <c r="BE15" s="13">
        <f>'Conduite Trp'!S5</f>
        <v>5.623551528000001</v>
      </c>
      <c r="BF15" s="13">
        <f>'Conduite Trp'!T5</f>
        <v>5.623551528000001</v>
      </c>
      <c r="BG15" s="13">
        <f>'Conduite Trp'!U5</f>
        <v>5.623551528000001</v>
      </c>
      <c r="BH15" s="13">
        <f>'Conduite Trp'!V5</f>
        <v>3.9512541234782614</v>
      </c>
      <c r="BI15" s="13">
        <f>'Conduite Trp'!W5</f>
        <v>2.744892761739131</v>
      </c>
      <c r="BJ15" s="13">
        <f>'Conduite Trp'!X5</f>
        <v>2.744892761739131</v>
      </c>
      <c r="BK15" s="13">
        <f>'Conduite Trp'!Y5</f>
        <v>4.0156106248695655</v>
      </c>
      <c r="BL15" s="13">
        <f>'Conduite Trp'!Z5</f>
        <v>5.0803792808695656</v>
      </c>
      <c r="BM15" s="13">
        <f>'Conduite Trp'!AA5</f>
        <v>2.4406148869565221</v>
      </c>
      <c r="BN15" s="13">
        <f>'Conduite Trp'!AB5</f>
        <v>2.4422570869565221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1.5069599999999999</v>
      </c>
      <c r="AZ16" s="13">
        <f>'Conduite Trp'!N6</f>
        <v>1.5069599999999999</v>
      </c>
      <c r="BA16" s="13">
        <f>'Conduite Trp'!O6</f>
        <v>1.5571919999999997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</v>
      </c>
      <c r="BM16" s="13">
        <f>'Conduite Trp'!AA6</f>
        <v>1.5069599999999999</v>
      </c>
      <c r="BN16" s="13">
        <f>'Conduite Trp'!AB6</f>
        <v>1.5069599999999999</v>
      </c>
      <c r="BO16" s="13">
        <f>'Conduite Trp'!AC6</f>
        <v>0</v>
      </c>
      <c r="BP16" s="13">
        <f>'Conduite Trp'!AD6</f>
        <v>0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1.5571919999999997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3.2740038678260888</v>
      </c>
      <c r="AZ19" s="60">
        <f t="shared" si="15"/>
        <v>3.2605225252173922</v>
      </c>
      <c r="BA19" s="60">
        <f t="shared" si="15"/>
        <v>6.3571569180000012</v>
      </c>
      <c r="BB19" s="60">
        <f t="shared" si="15"/>
        <v>6.7724168734782619</v>
      </c>
      <c r="BC19" s="60">
        <f t="shared" si="15"/>
        <v>3.8237943130434786</v>
      </c>
      <c r="BD19" s="60">
        <f t="shared" si="15"/>
        <v>5.4421466400000007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28.930041137565222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5.623551528000001</v>
      </c>
      <c r="BF20" s="60">
        <f t="shared" si="16"/>
        <v>5.623551528000001</v>
      </c>
      <c r="BG20" s="60">
        <f t="shared" si="16"/>
        <v>5.623551528000001</v>
      </c>
      <c r="BH20" s="60">
        <f t="shared" si="16"/>
        <v>3.9512541234782614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20.821908707478265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2.744892761739131</v>
      </c>
      <c r="BJ21" s="60">
        <f t="shared" si="18"/>
        <v>2.744892761739131</v>
      </c>
      <c r="BK21" s="60">
        <f t="shared" si="18"/>
        <v>4.0156106248695655</v>
      </c>
      <c r="BL21" s="60">
        <f t="shared" si="18"/>
        <v>5.0803792808695656</v>
      </c>
      <c r="BM21" s="60">
        <f t="shared" si="18"/>
        <v>2.4406148869565221</v>
      </c>
      <c r="BN21" s="60">
        <f t="shared" si="18"/>
        <v>2.4422570869565221</v>
      </c>
      <c r="BO21" s="60">
        <f t="shared" si="18"/>
        <v>0</v>
      </c>
      <c r="BP21" s="60">
        <f t="shared" si="18"/>
        <v>0</v>
      </c>
      <c r="BR21" s="60">
        <f t="shared" si="17"/>
        <v>19.468647403130436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0.70843895652173916</v>
      </c>
      <c r="AT22" s="60">
        <f t="shared" ref="AT22:BP22" si="19">IF(AT$4=4,AT$15,0)</f>
        <v>0.70843895652173916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0.70843895652173916</v>
      </c>
      <c r="BP22" s="60">
        <f t="shared" si="19"/>
        <v>0.70843895652173916</v>
      </c>
      <c r="BR22" s="60">
        <f t="shared" si="17"/>
        <v>2.8337558260869566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0.63988034782608705</v>
      </c>
      <c r="AV23" s="60">
        <f t="shared" si="20"/>
        <v>0.63988034782608705</v>
      </c>
      <c r="AW23" s="60">
        <f t="shared" si="20"/>
        <v>0.70843895652173916</v>
      </c>
      <c r="AX23" s="60">
        <f t="shared" si="20"/>
        <v>3.3970680507826092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5.3852677029565221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43.449999999999996</v>
      </c>
      <c r="E24" s="60">
        <f t="shared" si="21"/>
        <v>29.274999999999999</v>
      </c>
      <c r="F24" s="60">
        <f t="shared" si="21"/>
        <v>31.158715999999998</v>
      </c>
      <c r="G24" s="60">
        <f t="shared" si="21"/>
        <v>15.864179</v>
      </c>
      <c r="H24" s="60">
        <f t="shared" si="21"/>
        <v>18.672895</v>
      </c>
      <c r="I24" s="60">
        <f t="shared" si="21"/>
        <v>0</v>
      </c>
      <c r="J24" s="62"/>
      <c r="K24" s="60">
        <f>AL27+AL49+AL71</f>
        <v>82.371549999999999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38.072265137565225</v>
      </c>
      <c r="E25" s="60">
        <f>BR8</f>
        <v>27.050676707478264</v>
      </c>
      <c r="F25" s="60">
        <f>BR9</f>
        <v>28.610871403130439</v>
      </c>
      <c r="G25" s="60">
        <f>BR10</f>
        <v>2.8337558260869566</v>
      </c>
      <c r="H25" s="60">
        <f>BR11</f>
        <v>5.3852677029565221</v>
      </c>
      <c r="I25" s="60">
        <f>BR12</f>
        <v>0</v>
      </c>
      <c r="J25" s="62"/>
      <c r="K25" s="75">
        <f>'Conduite Trp'!C7</f>
        <v>196.1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5.3777348624347709</v>
      </c>
      <c r="E27" s="92">
        <f t="shared" si="23"/>
        <v>2.2243232925217349</v>
      </c>
      <c r="F27" s="92">
        <f t="shared" si="23"/>
        <v>2.5478445968695596</v>
      </c>
      <c r="G27" s="92">
        <f t="shared" si="23"/>
        <v>13.030423173913043</v>
      </c>
      <c r="H27" s="92">
        <f t="shared" si="23"/>
        <v>13.287627297043478</v>
      </c>
      <c r="I27" s="92">
        <f t="shared" si="23"/>
        <v>0</v>
      </c>
      <c r="J27" s="62"/>
      <c r="K27" s="92">
        <f>K24-K25</f>
        <v>-113.72845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31.65</v>
      </c>
      <c r="AF27" s="74">
        <f t="shared" ref="AF27:AJ27" si="24">SUM(AF7:AF26)</f>
        <v>21.5</v>
      </c>
      <c r="AG27" s="74">
        <f t="shared" si="24"/>
        <v>18.149999999999999</v>
      </c>
      <c r="AH27" s="74">
        <f t="shared" si="24"/>
        <v>9.0500000000000007</v>
      </c>
      <c r="AI27" s="74">
        <f t="shared" si="24"/>
        <v>7.7699999999999987</v>
      </c>
      <c r="AJ27" s="74">
        <f t="shared" si="24"/>
        <v>0</v>
      </c>
      <c r="AK27"/>
      <c r="AL27" s="74">
        <f>SUM(AL7:AL26)</f>
        <v>11.379999999999999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1.5069599999999999</v>
      </c>
      <c r="AZ27" s="60">
        <f t="shared" si="25"/>
        <v>1.5069599999999999</v>
      </c>
      <c r="BA27" s="60">
        <f t="shared" si="25"/>
        <v>1.5571919999999997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7.5850319999999982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</v>
      </c>
      <c r="BM29" s="60">
        <f t="shared" si="35"/>
        <v>1.5069599999999999</v>
      </c>
      <c r="BN29" s="60">
        <f t="shared" si="35"/>
        <v>1.5069599999999999</v>
      </c>
      <c r="BO29" s="60">
        <f t="shared" si="35"/>
        <v>0</v>
      </c>
      <c r="BP29" s="60">
        <f t="shared" si="35"/>
        <v>0</v>
      </c>
      <c r="BR29" s="60">
        <f t="shared" si="27"/>
        <v>7.5850319999999982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4.4000000000000004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6.6000000000000005</v>
      </c>
      <c r="AF30" s="60">
        <f t="shared" si="29"/>
        <v>0</v>
      </c>
      <c r="AG30" s="60">
        <f t="shared" si="30"/>
        <v>3.5200000000000005</v>
      </c>
      <c r="AH30" s="60">
        <f t="shared" si="31"/>
        <v>2.2000000000000002</v>
      </c>
      <c r="AI30" s="60">
        <f t="shared" si="32"/>
        <v>3.08</v>
      </c>
      <c r="AJ30" s="60">
        <f t="shared" si="33"/>
        <v>0</v>
      </c>
      <c r="AK30"/>
      <c r="AL30" s="60">
        <f t="shared" si="34"/>
        <v>27.720000000000002</v>
      </c>
      <c r="AR30" s="69">
        <v>4</v>
      </c>
      <c r="AS30" s="60">
        <f>IF(AS$4=4,AS$16,0)</f>
        <v>0</v>
      </c>
      <c r="AT30" s="60">
        <f t="shared" ref="AT30:BP30" si="36">IF(AT$4=4,AT$16,0)</f>
        <v>0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</v>
      </c>
      <c r="BP30" s="60">
        <f t="shared" si="36"/>
        <v>0</v>
      </c>
      <c r="BR30" s="60">
        <f t="shared" si="27"/>
        <v>0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0.5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1.65</v>
      </c>
      <c r="AF31" s="60">
        <f t="shared" si="29"/>
        <v>1.5</v>
      </c>
      <c r="AG31" s="60">
        <f t="shared" si="30"/>
        <v>1.1499999999999999</v>
      </c>
      <c r="AH31" s="60">
        <f t="shared" si="31"/>
        <v>0.25</v>
      </c>
      <c r="AI31" s="60">
        <f t="shared" si="32"/>
        <v>0.35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</v>
      </c>
      <c r="AV31" s="60">
        <f t="shared" si="37"/>
        <v>0</v>
      </c>
      <c r="AW31" s="60">
        <f t="shared" si="37"/>
        <v>0</v>
      </c>
      <c r="AX31" s="60">
        <f t="shared" si="37"/>
        <v>0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0</v>
      </c>
    </row>
    <row r="32" spans="2:72" x14ac:dyDescent="0.25">
      <c r="D32" s="67" t="s">
        <v>267</v>
      </c>
      <c r="E32" s="67" t="s">
        <v>18</v>
      </c>
      <c r="F32" s="295" t="s">
        <v>276</v>
      </c>
      <c r="G32" s="295"/>
      <c r="H32" s="81"/>
      <c r="I32" s="67" t="s">
        <v>280</v>
      </c>
      <c r="J32" s="81" t="s">
        <v>280</v>
      </c>
      <c r="K32" s="295" t="s">
        <v>278</v>
      </c>
      <c r="L32" s="295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</v>
      </c>
      <c r="AZ35" s="60">
        <f t="shared" si="43"/>
        <v>0</v>
      </c>
      <c r="BA35" s="60">
        <f t="shared" si="43"/>
        <v>0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1.5571919999999997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1.5571919999999997</v>
      </c>
      <c r="BM37" s="60">
        <f t="shared" si="46"/>
        <v>0</v>
      </c>
      <c r="BN37" s="60">
        <f t="shared" si="46"/>
        <v>0</v>
      </c>
      <c r="BO37" s="60">
        <f t="shared" si="46"/>
        <v>0</v>
      </c>
      <c r="BP37" s="60">
        <f t="shared" si="46"/>
        <v>0</v>
      </c>
      <c r="BR37" s="60">
        <f t="shared" si="45"/>
        <v>1.5571919999999997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</v>
      </c>
      <c r="BP38" s="60">
        <f t="shared" si="47"/>
        <v>0</v>
      </c>
      <c r="BR38" s="60">
        <f t="shared" si="45"/>
        <v>0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</v>
      </c>
      <c r="AX39" s="60">
        <f t="shared" si="48"/>
        <v>0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0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8.25</v>
      </c>
      <c r="AF49" s="74">
        <f t="shared" ref="AF49" si="50">SUM(AF29:AF48)</f>
        <v>3.5</v>
      </c>
      <c r="AG49" s="74">
        <f t="shared" ref="AG49" si="51">SUM(AG29:AG48)</f>
        <v>9.8787160000000007</v>
      </c>
      <c r="AH49" s="74">
        <f t="shared" ref="AH49" si="52">SUM(AH29:AH48)</f>
        <v>4.2521789999999999</v>
      </c>
      <c r="AI49" s="74">
        <f t="shared" ref="AI49" si="53">SUM(AI29:AI48)</f>
        <v>8.8408949999999997</v>
      </c>
      <c r="AJ49" s="74">
        <f t="shared" ref="AJ49" si="54">SUM(AJ29:AJ48)</f>
        <v>0</v>
      </c>
      <c r="AK49"/>
      <c r="AL49" s="74">
        <f>SUM(AL29:AL48)</f>
        <v>70.991550000000004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31.65</v>
      </c>
      <c r="E72" s="60">
        <f t="shared" ref="E72:H72" si="69">AF27</f>
        <v>21.5</v>
      </c>
      <c r="F72" s="60">
        <f t="shared" si="69"/>
        <v>18.149999999999999</v>
      </c>
      <c r="G72" s="60">
        <f t="shared" si="69"/>
        <v>9.0500000000000007</v>
      </c>
      <c r="H72" s="60">
        <f t="shared" si="69"/>
        <v>7.7699999999999987</v>
      </c>
      <c r="I72" s="60">
        <f t="shared" ref="I72" si="70">AJ75+AJ97+AJ119</f>
        <v>0</v>
      </c>
      <c r="J72" s="62"/>
      <c r="K72" s="60">
        <f>+K24</f>
        <v>82.371549999999999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28.930041137565222</v>
      </c>
      <c r="E73" s="60">
        <f>BR20</f>
        <v>20.821908707478265</v>
      </c>
      <c r="F73" s="60">
        <f>BR21</f>
        <v>19.468647403130436</v>
      </c>
      <c r="G73" s="60">
        <f>BR22</f>
        <v>2.8337558260869566</v>
      </c>
      <c r="H73" s="60">
        <f>BR23</f>
        <v>5.3852677029565221</v>
      </c>
      <c r="I73" s="60">
        <f>BR60</f>
        <v>0</v>
      </c>
      <c r="J73" s="62"/>
      <c r="K73" s="75">
        <f>+K25</f>
        <v>196.1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2.7199588624347761</v>
      </c>
      <c r="E75" s="92">
        <f t="shared" ref="E75:I75" si="71">E72-E73</f>
        <v>0.67809129252173506</v>
      </c>
      <c r="F75" s="92">
        <f t="shared" si="71"/>
        <v>-1.3186474031304378</v>
      </c>
      <c r="G75" s="92">
        <f t="shared" si="71"/>
        <v>6.2162441739130436</v>
      </c>
      <c r="H75" s="92">
        <f t="shared" si="71"/>
        <v>2.3847322970434766</v>
      </c>
      <c r="I75" s="92">
        <f t="shared" si="71"/>
        <v>0</v>
      </c>
      <c r="J75" s="62"/>
      <c r="K75" s="92">
        <f>+K27</f>
        <v>-113.72845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8.25</v>
      </c>
      <c r="E82" s="60">
        <f t="shared" ref="E82:H82" si="72">AF49</f>
        <v>3.5</v>
      </c>
      <c r="F82" s="60">
        <f t="shared" si="72"/>
        <v>9.8787160000000007</v>
      </c>
      <c r="G82" s="60">
        <f t="shared" si="72"/>
        <v>4.2521789999999999</v>
      </c>
      <c r="H82" s="60">
        <f t="shared" si="72"/>
        <v>8.8408949999999997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7.5850319999999982</v>
      </c>
      <c r="E83" s="60">
        <f>BR28</f>
        <v>3.1143839999999994</v>
      </c>
      <c r="F83" s="60">
        <f>BR29</f>
        <v>7.5850319999999982</v>
      </c>
      <c r="G83" s="60">
        <f>BR30</f>
        <v>0</v>
      </c>
      <c r="H83" s="60">
        <f>BR31</f>
        <v>0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0.66496800000000178</v>
      </c>
      <c r="E85" s="92">
        <f t="shared" ref="E85:H85" si="73">E82-E83</f>
        <v>0.38561600000000062</v>
      </c>
      <c r="F85" s="92">
        <f t="shared" si="73"/>
        <v>2.2936840000000025</v>
      </c>
      <c r="G85" s="92">
        <f t="shared" si="73"/>
        <v>4.2521789999999999</v>
      </c>
      <c r="H85" s="92">
        <f t="shared" si="73"/>
        <v>8.8408949999999997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1.5571919999999997</v>
      </c>
      <c r="E93" s="60">
        <f>BR36</f>
        <v>3.1143839999999994</v>
      </c>
      <c r="F93" s="60">
        <f>BR37</f>
        <v>1.5571919999999997</v>
      </c>
      <c r="G93" s="60">
        <f>BR38</f>
        <v>0</v>
      </c>
      <c r="H93" s="60">
        <f>BR39</f>
        <v>0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1.9928080000000001</v>
      </c>
      <c r="E95" s="92">
        <f t="shared" ref="E95:H95" si="75">E92-E93</f>
        <v>1.160616000000001</v>
      </c>
      <c r="F95" s="92">
        <f t="shared" si="75"/>
        <v>1.5728080000000002</v>
      </c>
      <c r="G95" s="92">
        <f t="shared" si="75"/>
        <v>2.5619999999999998</v>
      </c>
      <c r="H95" s="92">
        <f t="shared" si="75"/>
        <v>2.0619999999999998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2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0</v>
      </c>
      <c r="L2" s="8">
        <f t="shared" ref="L2:L33" si="0">IF(J2=$Y$5,K2*$AA$5,IF(J2=$Y$6,K2*$AA$6,IF(J2=$Y$7,K2*$AA$7,"")))</f>
        <v>0</v>
      </c>
      <c r="M2" s="10">
        <f>IF(I2=$Y$10,SQRT(L2*10000),SQRT(Parcellaire!L2*10000)/$AC$11)</f>
        <v>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0</v>
      </c>
      <c r="U2" s="10">
        <f t="shared" ref="U2:U36" si="5">IF(C2=2,Q2*M2,0)</f>
        <v>0</v>
      </c>
      <c r="V2" s="27">
        <f t="shared" ref="V2:V36" si="6">O2*M2</f>
        <v>0</v>
      </c>
      <c r="W2" s="3"/>
      <c r="X2" s="3"/>
    </row>
    <row r="3" spans="1:29" ht="15" customHeight="1" x14ac:dyDescent="0.25">
      <c r="A3" s="8">
        <v>3</v>
      </c>
      <c r="B3" s="9">
        <v>2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0</v>
      </c>
      <c r="L3" s="8">
        <f t="shared" ref="L3:L24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2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IF(I5=$Y$10,SQRT(L5*10000),SQRT(Parcellaire!L5*10000)/$AC$11)</f>
        <v>0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2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IF(I6=$Y$10,SQRT(L6*10000),SQRT(Parcellaire!L6*10000)/$AC$11)</f>
        <v>0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2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2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0</v>
      </c>
      <c r="L17" s="8">
        <f t="shared" si="8"/>
        <v>0</v>
      </c>
      <c r="M17" s="10">
        <f>IF(I17=$Y$10,SQRT(L17*10000),SQRT(Parcellaire!L17*10000)/$AC$11)</f>
        <v>0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0</v>
      </c>
      <c r="U17" s="10">
        <f t="shared" si="5"/>
        <v>0</v>
      </c>
      <c r="V17" s="27">
        <f t="shared" si="6"/>
        <v>0</v>
      </c>
      <c r="W17" s="3"/>
      <c r="X17" s="3"/>
      <c r="Y17" s="8">
        <v>2</v>
      </c>
      <c r="Z17" s="137" t="s">
        <v>335</v>
      </c>
      <c r="AA17" s="135">
        <f>T63</f>
        <v>3436.0022965268804</v>
      </c>
      <c r="AB17" t="s">
        <v>42</v>
      </c>
    </row>
    <row r="18" spans="1:28" ht="15" customHeight="1" x14ac:dyDescent="0.25">
      <c r="A18" s="8">
        <v>18</v>
      </c>
      <c r="B18" s="9">
        <v>2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0</v>
      </c>
      <c r="L18" s="8">
        <f t="shared" si="8"/>
        <v>0</v>
      </c>
      <c r="M18" s="10">
        <f>IF(I18=$Y$10,SQRT(L18*10000),SQRT(Parcellaire!L18*10000)/$AC$11)</f>
        <v>0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3436.0022965268804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13.400000000000002</v>
      </c>
      <c r="H63" s="169"/>
      <c r="I63" s="169">
        <f>SUMIF(Parcellaire!$B$2:$B$62,1,Parcellaire!I2:I62)</f>
        <v>24</v>
      </c>
      <c r="J63" s="169">
        <f>SUMIF(Parcellaire!$B$2:$B$62,1,Parcellaire!J2:J62)</f>
        <v>6</v>
      </c>
      <c r="K63" s="169">
        <f>SUMIF(Parcellaire!$B$2:$B$62,1,Parcellaire!K2:K62)</f>
        <v>13.89</v>
      </c>
      <c r="L63" s="169">
        <f>SUMIF(Parcellaire!$B$2:$B$62,1,Parcellaire!L2:L62)</f>
        <v>15.156000000000001</v>
      </c>
      <c r="M63" s="169">
        <f>SUMIF(Parcellaire!$B$2:$B$62,1,Parcellaire!M2:M62)</f>
        <v>763.5560658948624</v>
      </c>
      <c r="N63" s="169">
        <f>SUMIF(Parcellaire!$B$2:$B$62,1,Parcellaire!N2:N62)</f>
        <v>60</v>
      </c>
      <c r="O63" s="169">
        <f>SUMIF(Parcellaire!$B$2:$B$62,1,Parcellaire!O2:O62)</f>
        <v>48</v>
      </c>
      <c r="P63" s="169">
        <f>SUMIF(Parcellaire!$B$2:$B$62,1,Parcellaire!P2:P62)</f>
        <v>0</v>
      </c>
      <c r="Q63" s="169">
        <f>SUMIF(Parcellaire!$B$2:$B$62,1,Parcellaire!Q2:Q62)</f>
        <v>24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3436.0022965268804</v>
      </c>
      <c r="U63" s="169">
        <f>SUMIF(Parcellaire!$B$2:$B$62,1,Parcellaire!U2:U62)</f>
        <v>2290.6681976845871</v>
      </c>
      <c r="V63" s="169">
        <f>SUMIF(Parcellaire!$B$2:$B$62,1,Parcellaire!V2:V62)</f>
        <v>4581.3363953691742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0" zoomScale="80" zoomScaleNormal="80" workbookViewId="0">
      <selection activeCell="K73" sqref="K73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1464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13.9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11.9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1.39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/>
    </row>
    <row r="55" spans="10:16" x14ac:dyDescent="0.25">
      <c r="J55" s="14" t="s">
        <v>570</v>
      </c>
      <c r="K55" s="79"/>
    </row>
    <row r="56" spans="10:16" x14ac:dyDescent="0.25">
      <c r="J56" s="14" t="s">
        <v>571</v>
      </c>
      <c r="K56" s="173">
        <v>1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79"/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>
        <v>4</v>
      </c>
      <c r="P61" t="s">
        <v>583</v>
      </c>
    </row>
    <row r="62" spans="10:16" x14ac:dyDescent="0.25">
      <c r="J62" s="14" t="s">
        <v>584</v>
      </c>
      <c r="K62" s="79">
        <v>16</v>
      </c>
    </row>
    <row r="63" spans="10:16" x14ac:dyDescent="0.25">
      <c r="J63"/>
      <c r="K63" s="79">
        <v>1</v>
      </c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64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3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1463</v>
      </c>
      <c r="K89" s="79">
        <v>1</v>
      </c>
      <c r="T89">
        <v>4</v>
      </c>
      <c r="U89" t="s">
        <v>624</v>
      </c>
    </row>
    <row r="90" spans="9:21" x14ac:dyDescent="0.25">
      <c r="J90" s="14" t="s">
        <v>1384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0.6</v>
      </c>
      <c r="T165" s="172">
        <f>VLOOKUP(R165,[1]MEP!$A$4:$M$300,13)</f>
        <v>2</v>
      </c>
      <c r="U165" s="172">
        <f t="shared" ref="U165:U207" si="10">IF($T165&gt;0,$S165,0)</f>
        <v>0.6</v>
      </c>
      <c r="V165" s="172">
        <f t="shared" ref="V165:V207" si="11">IF($T165&gt;1,$S165,0)</f>
        <v>0.6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0.6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0.6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2</v>
      </c>
      <c r="T166" s="172">
        <f>VLOOKUP(R166,[1]MEP!$A$4:$M$300,13)</f>
        <v>1</v>
      </c>
      <c r="U166" s="172">
        <f t="shared" si="10"/>
        <v>2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2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2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0</v>
      </c>
      <c r="T167" s="172">
        <f>VLOOKUP(R167,[1]MEP!$A$4:$M$300,13)</f>
        <v>1</v>
      </c>
      <c r="U167" s="172">
        <f t="shared" si="10"/>
        <v>0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0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7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7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7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266</v>
      </c>
      <c r="S169" s="172">
        <f>'Alim -Surf'!R12</f>
        <v>1.5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1.5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1.5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4.4000000000000004</v>
      </c>
      <c r="T187" s="172">
        <f>VLOOKUP(R187,[1]MEP!$A$4:$M$300,13)</f>
        <v>2</v>
      </c>
      <c r="U187" s="172">
        <f t="shared" si="10"/>
        <v>4.4000000000000004</v>
      </c>
      <c r="V187" s="172">
        <f t="shared" si="11"/>
        <v>4.4000000000000004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4.4000000000000004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4.4000000000000004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0.5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0.5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0.5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13.9</v>
      </c>
      <c r="V228" s="61">
        <f t="shared" ref="V228:W228" si="22">SUM(V164:V227)</f>
        <v>11.9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9</v>
      </c>
      <c r="AI228" s="61">
        <f t="shared" si="24"/>
        <v>2</v>
      </c>
      <c r="AJ228" s="61">
        <f t="shared" si="24"/>
        <v>11.9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L16" zoomScale="90" zoomScaleNormal="90" workbookViewId="0">
      <selection activeCell="AC37" sqref="AC37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1</v>
      </c>
      <c r="D3" s="176">
        <f t="shared" si="0"/>
        <v>1</v>
      </c>
      <c r="E3" s="176">
        <f t="shared" si="0"/>
        <v>1</v>
      </c>
      <c r="F3" s="176">
        <f t="shared" si="0"/>
        <v>1</v>
      </c>
      <c r="G3" s="176">
        <f t="shared" si="0"/>
        <v>1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2</v>
      </c>
      <c r="O3" s="176">
        <f t="shared" si="0"/>
        <v>2</v>
      </c>
      <c r="P3" s="176">
        <f t="shared" si="0"/>
        <v>2</v>
      </c>
      <c r="Q3" s="176">
        <f t="shared" si="0"/>
        <v>2</v>
      </c>
      <c r="R3" s="176">
        <f t="shared" si="0"/>
        <v>2</v>
      </c>
      <c r="S3" s="176">
        <f t="shared" si="0"/>
        <v>2</v>
      </c>
      <c r="T3" s="176">
        <f t="shared" si="0"/>
        <v>2</v>
      </c>
      <c r="U3" s="176">
        <f t="shared" si="0"/>
        <v>2</v>
      </c>
      <c r="V3" s="176">
        <f t="shared" si="0"/>
        <v>2</v>
      </c>
      <c r="W3" s="176">
        <f t="shared" si="0"/>
        <v>2</v>
      </c>
      <c r="X3" s="176">
        <f t="shared" si="0"/>
        <v>1</v>
      </c>
      <c r="Y3" s="176">
        <f t="shared" si="0"/>
        <v>1</v>
      </c>
      <c r="Z3" s="176">
        <f t="shared" si="0"/>
        <v>1</v>
      </c>
      <c r="AB3" s="32"/>
      <c r="AC3" s="5"/>
      <c r="AD3" s="275"/>
      <c r="AE3" s="275"/>
      <c r="AF3" s="275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0</v>
      </c>
      <c r="D4" s="176">
        <f t="shared" ref="D4:Z4" si="1">COUNTIF(D81:D90,2)</f>
        <v>0</v>
      </c>
      <c r="E4" s="176">
        <f t="shared" si="1"/>
        <v>0</v>
      </c>
      <c r="F4" s="176">
        <f t="shared" si="1"/>
        <v>0</v>
      </c>
      <c r="G4" s="176">
        <f t="shared" si="1"/>
        <v>0</v>
      </c>
      <c r="H4" s="176">
        <f t="shared" si="1"/>
        <v>0</v>
      </c>
      <c r="I4" s="176">
        <f t="shared" si="1"/>
        <v>0</v>
      </c>
      <c r="J4" s="176">
        <f t="shared" si="1"/>
        <v>0</v>
      </c>
      <c r="K4" s="176">
        <f t="shared" si="1"/>
        <v>0</v>
      </c>
      <c r="L4" s="176">
        <f t="shared" si="1"/>
        <v>0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0</v>
      </c>
      <c r="W4" s="176">
        <f t="shared" si="1"/>
        <v>0</v>
      </c>
      <c r="X4" s="176">
        <f t="shared" si="1"/>
        <v>0</v>
      </c>
      <c r="Y4" s="176">
        <f t="shared" si="1"/>
        <v>0</v>
      </c>
      <c r="Z4" s="176">
        <f t="shared" si="1"/>
        <v>0</v>
      </c>
      <c r="AB4" s="32"/>
      <c r="AC4" s="5"/>
      <c r="AD4" s="275"/>
      <c r="AE4" s="275"/>
      <c r="AF4" s="275"/>
      <c r="AO4" s="14" t="s">
        <v>683</v>
      </c>
      <c r="AP4" s="30">
        <f>SUM(BG31:BI31)</f>
        <v>3438</v>
      </c>
      <c r="AQ4">
        <f>SUM(BJ31:BL31)</f>
        <v>13.400000000000002</v>
      </c>
      <c r="AV4" s="30">
        <f>Parcellaire!A2</f>
        <v>2</v>
      </c>
      <c r="AW4" s="30">
        <f>Parcellaire!B2</f>
        <v>2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0</v>
      </c>
      <c r="H5" s="176">
        <f t="shared" si="9"/>
        <v>0</v>
      </c>
      <c r="I5" s="176">
        <f t="shared" si="9"/>
        <v>0</v>
      </c>
      <c r="J5" s="176">
        <f t="shared" si="9"/>
        <v>0</v>
      </c>
      <c r="K5" s="176">
        <f t="shared" si="9"/>
        <v>0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0</v>
      </c>
      <c r="W5" s="176">
        <f t="shared" si="9"/>
        <v>0</v>
      </c>
      <c r="X5" s="176">
        <f t="shared" si="9"/>
        <v>0</v>
      </c>
      <c r="Y5" s="176">
        <f t="shared" si="9"/>
        <v>0</v>
      </c>
      <c r="Z5" s="176">
        <f t="shared" si="9"/>
        <v>0</v>
      </c>
      <c r="AB5" s="32"/>
      <c r="AC5" s="5"/>
      <c r="AD5" s="275"/>
      <c r="AE5" s="275"/>
      <c r="AF5" s="275"/>
      <c r="AI5" s="40" t="s">
        <v>1428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3</v>
      </c>
      <c r="AW5" s="30">
        <f>Parcellaire!B3</f>
        <v>2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0</v>
      </c>
      <c r="BJ5" s="172">
        <f t="shared" si="6"/>
        <v>0</v>
      </c>
      <c r="BK5" s="172">
        <f t="shared" si="7"/>
        <v>0</v>
      </c>
      <c r="BL5" s="172">
        <f t="shared" si="8"/>
        <v>0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0</v>
      </c>
      <c r="O7" s="176">
        <f t="shared" si="13"/>
        <v>0</v>
      </c>
      <c r="P7" s="176">
        <f t="shared" si="13"/>
        <v>0</v>
      </c>
      <c r="Q7" s="176">
        <f t="shared" si="13"/>
        <v>0</v>
      </c>
      <c r="R7" s="176">
        <f t="shared" si="13"/>
        <v>0</v>
      </c>
      <c r="S7" s="176">
        <f t="shared" si="13"/>
        <v>0</v>
      </c>
      <c r="T7" s="176">
        <f t="shared" si="13"/>
        <v>0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5</v>
      </c>
      <c r="AW7" s="30">
        <f>Parcellaire!B5</f>
        <v>2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2">
        <f t="shared" si="11"/>
        <v>0</v>
      </c>
      <c r="BH7" s="172">
        <f t="shared" si="4"/>
        <v>0</v>
      </c>
      <c r="BI7" s="172">
        <f t="shared" si="5"/>
        <v>0</v>
      </c>
      <c r="BJ7" s="172">
        <f t="shared" si="6"/>
        <v>0</v>
      </c>
      <c r="BK7" s="172">
        <f t="shared" si="7"/>
        <v>0</v>
      </c>
      <c r="BL7" s="172">
        <f t="shared" si="8"/>
        <v>0</v>
      </c>
    </row>
    <row r="8" spans="1:64" x14ac:dyDescent="0.25">
      <c r="A8" s="14" t="s">
        <v>690</v>
      </c>
      <c r="B8" t="s">
        <v>568</v>
      </c>
      <c r="C8" s="176">
        <f>(C3+C4)*[1]Protect!$B$12</f>
        <v>2</v>
      </c>
      <c r="D8" s="176">
        <f>(D3+D4)*[1]Protect!$B$12</f>
        <v>2</v>
      </c>
      <c r="E8" s="176">
        <f>(E3+E4)*[1]Protect!$B$12</f>
        <v>2</v>
      </c>
      <c r="F8" s="176">
        <f>(F3+F4)*[1]Protect!$B$12</f>
        <v>2</v>
      </c>
      <c r="G8" s="176">
        <f>(G3+G4)*[1]Protect!$B$12</f>
        <v>2</v>
      </c>
      <c r="H8" s="176">
        <f>(H3+H4)*[1]Protect!$B$12</f>
        <v>4</v>
      </c>
      <c r="I8" s="176">
        <f>(I3+I4)*[1]Protect!$B$12</f>
        <v>4</v>
      </c>
      <c r="J8" s="176">
        <f>(J3+J4)*[1]Protect!$B$12</f>
        <v>4</v>
      </c>
      <c r="K8" s="176">
        <f>(K3+K4)*[1]Protect!$B$12</f>
        <v>4</v>
      </c>
      <c r="L8" s="176">
        <f>(L3+L4)*[1]Protect!$B$12</f>
        <v>4</v>
      </c>
      <c r="M8" s="176">
        <f>(M3+M4)*[1]Protect!$B$12</f>
        <v>4</v>
      </c>
      <c r="N8" s="176">
        <f>(N3+N4)*[1]Protect!$B$12</f>
        <v>4</v>
      </c>
      <c r="O8" s="176">
        <f>(O3+O4)*[1]Protect!$B$12</f>
        <v>4</v>
      </c>
      <c r="P8" s="176">
        <f>(P3+P4)*[1]Protect!$B$12</f>
        <v>4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4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6</v>
      </c>
      <c r="AW8" s="30">
        <f>Parcellaire!B6</f>
        <v>2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2">
        <f t="shared" si="11"/>
        <v>0</v>
      </c>
      <c r="BH8" s="172">
        <f t="shared" si="4"/>
        <v>0</v>
      </c>
      <c r="BI8" s="172">
        <f t="shared" si="5"/>
        <v>0</v>
      </c>
      <c r="BJ8" s="172">
        <f t="shared" si="6"/>
        <v>0</v>
      </c>
      <c r="BK8" s="172">
        <f t="shared" si="7"/>
        <v>0</v>
      </c>
      <c r="BL8" s="172">
        <f t="shared" si="8"/>
        <v>0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2</v>
      </c>
      <c r="D11" s="176">
        <f t="shared" ref="D11:Z11" si="14">SUM(D8:D10)</f>
        <v>2</v>
      </c>
      <c r="E11" s="176">
        <f t="shared" si="14"/>
        <v>2</v>
      </c>
      <c r="F11" s="176">
        <f t="shared" si="14"/>
        <v>2</v>
      </c>
      <c r="G11" s="176">
        <f t="shared" si="14"/>
        <v>2</v>
      </c>
      <c r="H11" s="176">
        <f t="shared" si="14"/>
        <v>4</v>
      </c>
      <c r="I11" s="176">
        <f t="shared" si="14"/>
        <v>4</v>
      </c>
      <c r="J11" s="176">
        <f t="shared" si="14"/>
        <v>4</v>
      </c>
      <c r="K11" s="176">
        <f t="shared" si="14"/>
        <v>4</v>
      </c>
      <c r="L11" s="176">
        <f t="shared" si="14"/>
        <v>4</v>
      </c>
      <c r="M11" s="176">
        <f t="shared" si="14"/>
        <v>4</v>
      </c>
      <c r="N11" s="176">
        <f t="shared" si="14"/>
        <v>4</v>
      </c>
      <c r="O11" s="176">
        <f t="shared" si="14"/>
        <v>4</v>
      </c>
      <c r="P11" s="176">
        <f t="shared" si="14"/>
        <v>4</v>
      </c>
      <c r="Q11" s="176">
        <f t="shared" si="14"/>
        <v>4</v>
      </c>
      <c r="R11" s="176">
        <f t="shared" si="14"/>
        <v>4</v>
      </c>
      <c r="S11" s="176">
        <f t="shared" si="14"/>
        <v>4</v>
      </c>
      <c r="T11" s="176">
        <f t="shared" si="14"/>
        <v>4</v>
      </c>
      <c r="U11" s="176">
        <f t="shared" si="14"/>
        <v>4</v>
      </c>
      <c r="V11" s="176">
        <f t="shared" si="14"/>
        <v>4</v>
      </c>
      <c r="W11" s="176">
        <f t="shared" si="14"/>
        <v>4</v>
      </c>
      <c r="X11" s="176">
        <f t="shared" si="14"/>
        <v>2</v>
      </c>
      <c r="Y11" s="176">
        <f t="shared" si="14"/>
        <v>2</v>
      </c>
      <c r="Z11" s="176">
        <f t="shared" si="14"/>
        <v>2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2</v>
      </c>
      <c r="D13" s="176">
        <f t="shared" ref="D13:Z13" si="15">D11+D12</f>
        <v>2</v>
      </c>
      <c r="E13" s="176">
        <f t="shared" si="15"/>
        <v>2</v>
      </c>
      <c r="F13" s="176">
        <f t="shared" si="15"/>
        <v>2</v>
      </c>
      <c r="G13" s="176">
        <f t="shared" si="15"/>
        <v>2</v>
      </c>
      <c r="H13" s="176">
        <f t="shared" si="15"/>
        <v>4</v>
      </c>
      <c r="I13" s="176">
        <f t="shared" si="15"/>
        <v>4</v>
      </c>
      <c r="J13" s="176">
        <f t="shared" si="15"/>
        <v>4</v>
      </c>
      <c r="K13" s="176">
        <f t="shared" si="15"/>
        <v>4</v>
      </c>
      <c r="L13" s="176">
        <f t="shared" si="15"/>
        <v>4</v>
      </c>
      <c r="M13" s="176">
        <f t="shared" si="15"/>
        <v>4</v>
      </c>
      <c r="N13" s="176">
        <f t="shared" si="15"/>
        <v>4</v>
      </c>
      <c r="O13" s="176">
        <f t="shared" si="15"/>
        <v>4</v>
      </c>
      <c r="P13" s="176">
        <f t="shared" si="15"/>
        <v>4</v>
      </c>
      <c r="Q13" s="176">
        <f t="shared" si="15"/>
        <v>4</v>
      </c>
      <c r="R13" s="176">
        <f t="shared" si="15"/>
        <v>4</v>
      </c>
      <c r="S13" s="176">
        <f t="shared" si="15"/>
        <v>4</v>
      </c>
      <c r="T13" s="176">
        <f t="shared" si="15"/>
        <v>4</v>
      </c>
      <c r="U13" s="176">
        <f t="shared" si="15"/>
        <v>4</v>
      </c>
      <c r="V13" s="176">
        <f t="shared" si="15"/>
        <v>4</v>
      </c>
      <c r="W13" s="176">
        <f t="shared" si="15"/>
        <v>4</v>
      </c>
      <c r="X13" s="176">
        <f t="shared" si="15"/>
        <v>2</v>
      </c>
      <c r="Y13" s="176">
        <f t="shared" si="15"/>
        <v>2</v>
      </c>
      <c r="Z13" s="176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0</v>
      </c>
      <c r="D15" s="172">
        <f t="shared" si="16"/>
        <v>0</v>
      </c>
      <c r="E15" s="172">
        <f t="shared" si="16"/>
        <v>0</v>
      </c>
      <c r="F15" s="172">
        <f t="shared" si="16"/>
        <v>0</v>
      </c>
      <c r="G15" s="172">
        <f t="shared" si="16"/>
        <v>0</v>
      </c>
      <c r="H15" s="172">
        <f t="shared" si="16"/>
        <v>0</v>
      </c>
      <c r="I15" s="172">
        <f t="shared" si="16"/>
        <v>0</v>
      </c>
      <c r="J15" s="172">
        <f t="shared" si="16"/>
        <v>0</v>
      </c>
      <c r="K15" s="172">
        <f t="shared" si="16"/>
        <v>0</v>
      </c>
      <c r="L15" s="172">
        <f t="shared" si="16"/>
        <v>0</v>
      </c>
      <c r="M15" s="172">
        <f t="shared" si="16"/>
        <v>0</v>
      </c>
      <c r="N15" s="172">
        <f t="shared" si="16"/>
        <v>1</v>
      </c>
      <c r="O15" s="172">
        <f t="shared" si="16"/>
        <v>1</v>
      </c>
      <c r="P15" s="172">
        <f t="shared" si="16"/>
        <v>1</v>
      </c>
      <c r="Q15" s="172">
        <f t="shared" si="16"/>
        <v>1</v>
      </c>
      <c r="R15" s="172">
        <f t="shared" si="16"/>
        <v>1</v>
      </c>
      <c r="S15" s="172">
        <f t="shared" si="16"/>
        <v>1</v>
      </c>
      <c r="T15" s="172">
        <f t="shared" si="16"/>
        <v>1</v>
      </c>
      <c r="U15" s="172">
        <f t="shared" si="16"/>
        <v>0</v>
      </c>
      <c r="V15" s="172">
        <f t="shared" si="16"/>
        <v>0</v>
      </c>
      <c r="W15" s="172">
        <f t="shared" si="16"/>
        <v>0</v>
      </c>
      <c r="X15" s="172">
        <f t="shared" si="16"/>
        <v>0</v>
      </c>
      <c r="Y15" s="172">
        <f t="shared" si="16"/>
        <v>0</v>
      </c>
      <c r="Z15" s="172">
        <f t="shared" si="16"/>
        <v>0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3</v>
      </c>
      <c r="D16" s="172">
        <f t="shared" si="17"/>
        <v>3</v>
      </c>
      <c r="E16" s="172">
        <f t="shared" si="17"/>
        <v>3</v>
      </c>
      <c r="F16" s="172">
        <f t="shared" si="17"/>
        <v>2</v>
      </c>
      <c r="G16" s="172">
        <f t="shared" si="17"/>
        <v>2</v>
      </c>
      <c r="H16" s="172">
        <f t="shared" si="17"/>
        <v>2</v>
      </c>
      <c r="I16" s="172">
        <f t="shared" si="17"/>
        <v>2</v>
      </c>
      <c r="J16" s="172">
        <f t="shared" si="17"/>
        <v>2</v>
      </c>
      <c r="K16" s="172">
        <f t="shared" si="17"/>
        <v>2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2</v>
      </c>
      <c r="W16" s="172">
        <f t="shared" si="17"/>
        <v>3</v>
      </c>
      <c r="X16" s="172">
        <f t="shared" si="17"/>
        <v>3</v>
      </c>
      <c r="Y16" s="172">
        <f t="shared" si="17"/>
        <v>3</v>
      </c>
      <c r="Z16" s="172">
        <f t="shared" si="17"/>
        <v>3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1</v>
      </c>
      <c r="D17" s="172">
        <f t="shared" si="18"/>
        <v>1</v>
      </c>
      <c r="E17" s="172">
        <f t="shared" si="18"/>
        <v>1</v>
      </c>
      <c r="F17" s="172">
        <f t="shared" si="18"/>
        <v>2</v>
      </c>
      <c r="G17" s="172">
        <f t="shared" si="18"/>
        <v>2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2</v>
      </c>
      <c r="W17" s="172">
        <f t="shared" si="18"/>
        <v>1</v>
      </c>
      <c r="X17" s="172">
        <f t="shared" si="18"/>
        <v>1</v>
      </c>
      <c r="Y17" s="172">
        <f t="shared" si="18"/>
        <v>1</v>
      </c>
      <c r="Z17" s="172">
        <f t="shared" si="18"/>
        <v>1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1</v>
      </c>
      <c r="D18" s="61">
        <f t="shared" ref="D18:Z18" si="19">IF(AND(D15=0,(D16+D17)&gt;0),1,IF(AND(D15&gt;0,(D16+D17)&gt;0),D15+1,D15))</f>
        <v>1</v>
      </c>
      <c r="E18" s="61">
        <f t="shared" si="19"/>
        <v>1</v>
      </c>
      <c r="F18" s="61">
        <f t="shared" si="19"/>
        <v>1</v>
      </c>
      <c r="G18" s="61">
        <f t="shared" si="19"/>
        <v>1</v>
      </c>
      <c r="H18" s="61">
        <f t="shared" si="19"/>
        <v>1</v>
      </c>
      <c r="I18" s="61">
        <f t="shared" si="19"/>
        <v>1</v>
      </c>
      <c r="J18" s="61">
        <f t="shared" si="19"/>
        <v>1</v>
      </c>
      <c r="K18" s="61">
        <f t="shared" si="19"/>
        <v>1</v>
      </c>
      <c r="L18" s="61">
        <f t="shared" si="19"/>
        <v>1</v>
      </c>
      <c r="M18" s="61">
        <f t="shared" si="19"/>
        <v>1</v>
      </c>
      <c r="N18" s="61">
        <f t="shared" si="19"/>
        <v>2</v>
      </c>
      <c r="O18" s="61">
        <f t="shared" si="19"/>
        <v>2</v>
      </c>
      <c r="P18" s="61">
        <f t="shared" si="19"/>
        <v>2</v>
      </c>
      <c r="Q18" s="61">
        <f t="shared" si="19"/>
        <v>2</v>
      </c>
      <c r="R18" s="61">
        <f t="shared" si="19"/>
        <v>2</v>
      </c>
      <c r="S18" s="61">
        <f t="shared" si="19"/>
        <v>2</v>
      </c>
      <c r="T18" s="61">
        <f t="shared" si="19"/>
        <v>2</v>
      </c>
      <c r="U18" s="61">
        <f t="shared" si="19"/>
        <v>1</v>
      </c>
      <c r="V18" s="61">
        <f t="shared" si="19"/>
        <v>1</v>
      </c>
      <c r="W18" s="61">
        <f t="shared" si="19"/>
        <v>1</v>
      </c>
      <c r="X18" s="61">
        <f t="shared" si="19"/>
        <v>1</v>
      </c>
      <c r="Y18" s="61">
        <f t="shared" si="19"/>
        <v>1</v>
      </c>
      <c r="Z18" s="61">
        <f t="shared" si="19"/>
        <v>1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2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10"/>
        <v>AU</v>
      </c>
      <c r="BG18" s="172">
        <f t="shared" si="11"/>
        <v>0</v>
      </c>
      <c r="BH18" s="172">
        <f t="shared" si="4"/>
        <v>0</v>
      </c>
      <c r="BI18" s="172">
        <f t="shared" si="5"/>
        <v>0</v>
      </c>
      <c r="BJ18" s="172">
        <f t="shared" si="6"/>
        <v>0</v>
      </c>
      <c r="BK18" s="172">
        <f t="shared" si="7"/>
        <v>0</v>
      </c>
      <c r="BL18" s="172">
        <f t="shared" si="8"/>
        <v>0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2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0</v>
      </c>
      <c r="BC19" s="30">
        <f>ROUND(Parcellaire!U17,0)</f>
        <v>0</v>
      </c>
      <c r="BD19" s="30" t="str">
        <f>IF(AW19=2,"",VLOOKUP(AY19,[1]MEP!$X$5:$AA$250,4))</f>
        <v/>
      </c>
      <c r="BE19" s="30" t="str">
        <f>IF(AW19=2,"",VLOOKUP(BD19,[1]MEP!$AC$5:$AD$10,2))</f>
        <v/>
      </c>
      <c r="BF19" s="30" t="str">
        <f t="shared" si="10"/>
        <v>AU</v>
      </c>
      <c r="BG19" s="172">
        <f t="shared" si="11"/>
        <v>0</v>
      </c>
      <c r="BH19" s="172">
        <f t="shared" si="4"/>
        <v>0</v>
      </c>
      <c r="BI19" s="172">
        <f t="shared" si="5"/>
        <v>0</v>
      </c>
      <c r="BJ19" s="172">
        <f t="shared" si="6"/>
        <v>0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0</v>
      </c>
      <c r="O20" s="172">
        <f t="shared" si="21"/>
        <v>0</v>
      </c>
      <c r="P20" s="172">
        <f t="shared" si="21"/>
        <v>0</v>
      </c>
      <c r="Q20" s="172">
        <f t="shared" si="21"/>
        <v>0</v>
      </c>
      <c r="R20" s="172">
        <f t="shared" si="21"/>
        <v>0</v>
      </c>
      <c r="S20" s="172">
        <f t="shared" si="21"/>
        <v>0</v>
      </c>
      <c r="T20" s="172">
        <f t="shared" si="21"/>
        <v>0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3438</v>
      </c>
      <c r="AE20" s="63">
        <v>0</v>
      </c>
      <c r="AF20" s="63">
        <f>SUM(AD20:AE20)</f>
        <v>3438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2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0</v>
      </c>
      <c r="O21" s="61">
        <f>IF(Protection!O20&gt;0,Scénario!$K$58,0)</f>
        <v>0</v>
      </c>
      <c r="P21" s="61">
        <f>IF(Protection!P20&gt;0,Scénario!$K$58,0)</f>
        <v>0</v>
      </c>
      <c r="Q21" s="61">
        <f>IF(Protection!Q20&gt;0,Scénario!$K$58,0)</f>
        <v>0</v>
      </c>
      <c r="R21" s="61">
        <f>IF(Protection!R20&gt;0,Scénario!$K$58,0)</f>
        <v>0</v>
      </c>
      <c r="S21" s="61">
        <f>IF(Protection!S20&gt;0,Scénario!$K$58,0)</f>
        <v>0</v>
      </c>
      <c r="T21" s="61">
        <f>IF(Protection!T20&gt;0,Scénario!$K$58,0)</f>
        <v>0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3438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1</v>
      </c>
      <c r="D22" s="61">
        <f t="shared" ref="D22:Z22" si="22">D18+D19+D21</f>
        <v>1</v>
      </c>
      <c r="E22" s="61">
        <f t="shared" si="22"/>
        <v>1</v>
      </c>
      <c r="F22" s="61">
        <f t="shared" si="22"/>
        <v>1</v>
      </c>
      <c r="G22" s="61">
        <f t="shared" si="22"/>
        <v>1</v>
      </c>
      <c r="H22" s="61">
        <f t="shared" si="22"/>
        <v>1</v>
      </c>
      <c r="I22" s="61">
        <f t="shared" si="22"/>
        <v>1</v>
      </c>
      <c r="J22" s="61">
        <f t="shared" si="22"/>
        <v>1</v>
      </c>
      <c r="K22" s="61">
        <f t="shared" si="22"/>
        <v>1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1</v>
      </c>
      <c r="W22" s="61">
        <f t="shared" si="22"/>
        <v>1</v>
      </c>
      <c r="X22" s="61">
        <f t="shared" si="22"/>
        <v>1</v>
      </c>
      <c r="Y22" s="61">
        <f t="shared" si="22"/>
        <v>1</v>
      </c>
      <c r="Z22" s="61">
        <f t="shared" si="22"/>
        <v>1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2</v>
      </c>
      <c r="N25" s="176">
        <f t="shared" si="23"/>
        <v>2</v>
      </c>
      <c r="O25" s="176">
        <f t="shared" si="23"/>
        <v>1</v>
      </c>
      <c r="P25" s="176">
        <f t="shared" si="23"/>
        <v>1</v>
      </c>
      <c r="Q25" s="176">
        <f t="shared" si="23"/>
        <v>2</v>
      </c>
      <c r="R25" s="176">
        <f t="shared" si="23"/>
        <v>2</v>
      </c>
      <c r="S25" s="176">
        <f t="shared" si="23"/>
        <v>2</v>
      </c>
      <c r="T25" s="176">
        <f t="shared" si="23"/>
        <v>2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3438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13.400000000000002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0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4</v>
      </c>
      <c r="N29" s="176">
        <f>N25*[1]Protect!$B$12</f>
        <v>4</v>
      </c>
      <c r="O29" s="176">
        <f>O25*[1]Protect!$B$12</f>
        <v>2</v>
      </c>
      <c r="P29" s="176">
        <f>P25*[1]Protect!$B$12</f>
        <v>2</v>
      </c>
      <c r="Q29" s="176">
        <f>Q25*[1]Protect!$B$12</f>
        <v>4</v>
      </c>
      <c r="R29" s="176">
        <f>R25*[1]Protect!$B$12</f>
        <v>4</v>
      </c>
      <c r="S29" s="176">
        <f>S25*[1]Protect!$B$12</f>
        <v>4</v>
      </c>
      <c r="T29" s="176">
        <f>T25*[1]Protect!$B$12</f>
        <v>4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0</v>
      </c>
      <c r="BH31" s="61">
        <f t="shared" ref="BH31:BK31" si="27">SUM(BH3:BH30)</f>
        <v>3438</v>
      </c>
      <c r="BI31" s="61">
        <f t="shared" si="27"/>
        <v>0</v>
      </c>
      <c r="BJ31" s="61">
        <f t="shared" si="27"/>
        <v>0</v>
      </c>
      <c r="BK31" s="61">
        <f t="shared" si="27"/>
        <v>13.400000000000002</v>
      </c>
      <c r="BL31" s="61">
        <f>SUM(BL3:BL30)</f>
        <v>0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4</v>
      </c>
      <c r="N32" s="176">
        <f t="shared" si="28"/>
        <v>4</v>
      </c>
      <c r="O32" s="176">
        <f t="shared" si="28"/>
        <v>5</v>
      </c>
      <c r="P32" s="176">
        <f t="shared" si="28"/>
        <v>5</v>
      </c>
      <c r="Q32" s="176">
        <f t="shared" si="28"/>
        <v>4</v>
      </c>
      <c r="R32" s="176">
        <f t="shared" si="28"/>
        <v>4</v>
      </c>
      <c r="S32" s="176">
        <f t="shared" si="28"/>
        <v>4</v>
      </c>
      <c r="T32" s="176">
        <f t="shared" si="28"/>
        <v>4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/>
      <c r="AF33" s="294" t="s">
        <v>1465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8</v>
      </c>
      <c r="N34" s="176">
        <f t="shared" si="29"/>
        <v>8</v>
      </c>
      <c r="O34" s="176">
        <f t="shared" si="29"/>
        <v>10</v>
      </c>
      <c r="P34" s="176">
        <f t="shared" si="29"/>
        <v>10</v>
      </c>
      <c r="Q34" s="176">
        <f t="shared" si="29"/>
        <v>8</v>
      </c>
      <c r="R34" s="176">
        <f t="shared" si="29"/>
        <v>8</v>
      </c>
      <c r="S34" s="176">
        <f t="shared" si="29"/>
        <v>8</v>
      </c>
      <c r="T34" s="176">
        <f t="shared" si="29"/>
        <v>8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2</v>
      </c>
      <c r="N36" s="172">
        <f t="shared" si="30"/>
        <v>2</v>
      </c>
      <c r="O36" s="172">
        <f t="shared" si="30"/>
        <v>2</v>
      </c>
      <c r="P36" s="172">
        <f t="shared" si="30"/>
        <v>2</v>
      </c>
      <c r="Q36" s="172">
        <f t="shared" si="30"/>
        <v>2</v>
      </c>
      <c r="R36" s="172">
        <f t="shared" si="30"/>
        <v>2</v>
      </c>
      <c r="S36" s="172">
        <f t="shared" si="30"/>
        <v>2</v>
      </c>
      <c r="T36" s="172">
        <f t="shared" si="30"/>
        <v>2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2</v>
      </c>
      <c r="N39" s="61">
        <f t="shared" si="33"/>
        <v>2</v>
      </c>
      <c r="O39" s="61">
        <f t="shared" si="33"/>
        <v>2</v>
      </c>
      <c r="P39" s="61">
        <f t="shared" si="33"/>
        <v>2</v>
      </c>
      <c r="Q39" s="61">
        <f t="shared" si="33"/>
        <v>2</v>
      </c>
      <c r="R39" s="61">
        <f t="shared" si="33"/>
        <v>2</v>
      </c>
      <c r="S39" s="61">
        <f t="shared" si="33"/>
        <v>2</v>
      </c>
      <c r="T39" s="61">
        <f t="shared" si="33"/>
        <v>2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1</v>
      </c>
      <c r="N41" s="172">
        <f t="shared" si="35"/>
        <v>1</v>
      </c>
      <c r="O41" s="172">
        <f t="shared" si="35"/>
        <v>1</v>
      </c>
      <c r="P41" s="172">
        <f t="shared" si="35"/>
        <v>1</v>
      </c>
      <c r="Q41" s="172">
        <f t="shared" si="35"/>
        <v>1</v>
      </c>
      <c r="R41" s="172">
        <f t="shared" si="35"/>
        <v>1</v>
      </c>
      <c r="S41" s="172">
        <f t="shared" si="35"/>
        <v>1</v>
      </c>
      <c r="T41" s="172">
        <f t="shared" si="35"/>
        <v>1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2</v>
      </c>
      <c r="N43" s="61">
        <f t="shared" si="36"/>
        <v>2</v>
      </c>
      <c r="O43" s="61">
        <f t="shared" si="36"/>
        <v>2</v>
      </c>
      <c r="P43" s="61">
        <f t="shared" si="36"/>
        <v>2</v>
      </c>
      <c r="Q43" s="61">
        <f t="shared" si="36"/>
        <v>2</v>
      </c>
      <c r="R43" s="61">
        <f t="shared" si="36"/>
        <v>2</v>
      </c>
      <c r="S43" s="61">
        <f t="shared" si="36"/>
        <v>2</v>
      </c>
      <c r="T43" s="61">
        <f t="shared" si="36"/>
        <v>2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</v>
      </c>
      <c r="O68" s="172">
        <f>IF($AA68=0,99,IF(O81&gt;3,CdTrp1!N76,CdTrp1!N52))</f>
        <v>0</v>
      </c>
      <c r="P68" s="172">
        <f>IF($AA68=0,99,IF(P81&gt;3,CdTrp1!O76,CdTrp1!O52))</f>
        <v>0</v>
      </c>
      <c r="Q68" s="172">
        <f>IF($AA68=0,99,IF(Q81&gt;3,CdTrp1!P76,CdTrp1!P52))</f>
        <v>0</v>
      </c>
      <c r="R68" s="172">
        <f>IF($AA68=0,99,IF(R81&gt;3,CdTrp1!Q76,CdTrp1!Q52))</f>
        <v>0</v>
      </c>
      <c r="S68" s="172">
        <f>IF($AA68=0,99,IF(S81&gt;3,CdTrp1!R76,CdTrp1!R52))</f>
        <v>0</v>
      </c>
      <c r="T68" s="172">
        <f>IF($AA68=0,99,IF(T81&gt;3,CdTrp1!S76,CdTrp1!S52))</f>
        <v>0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0.5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1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1</v>
      </c>
      <c r="D71" s="172">
        <f>IF($AA71=0,99,IF(D84&gt;3,CdTrp1!C79,CdTrp1!C55))</f>
        <v>1</v>
      </c>
      <c r="E71" s="172">
        <f>IF($AA71=0,99,IF(E84&gt;3,CdTrp1!D79,CdTrp1!D55))</f>
        <v>1</v>
      </c>
      <c r="F71" s="172">
        <f>IF($AA71=0,99,IF(F84&gt;3,CdTrp1!E79,CdTrp1!E55))</f>
        <v>1</v>
      </c>
      <c r="G71" s="172">
        <f>IF($AA71=0,99,IF(G84&gt;3,CdTrp1!F79,CdTrp1!F55))</f>
        <v>1</v>
      </c>
      <c r="H71" s="172">
        <f>IF($AA71=0,99,IF(H84&gt;3,CdTrp1!G79,CdTrp1!G55))</f>
        <v>1</v>
      </c>
      <c r="I71" s="172">
        <f>IF($AA71=0,99,IF(I84&gt;3,CdTrp1!H79,CdTrp1!H55))</f>
        <v>1</v>
      </c>
      <c r="J71" s="172">
        <f>IF($AA71=0,99,IF(J84&gt;3,CdTrp1!I79,CdTrp1!I55))</f>
        <v>1</v>
      </c>
      <c r="K71" s="172">
        <f>IF($AA71=0,99,IF(K84&gt;3,CdTrp1!J79,CdTrp1!J55))</f>
        <v>1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1</v>
      </c>
      <c r="W71" s="172">
        <f>IF($AA71=0,99,IF(W84&gt;3,CdTrp1!V79,CdTrp1!V55))</f>
        <v>1</v>
      </c>
      <c r="X71" s="172">
        <f>IF($AA71=0,99,IF(X84&gt;3,CdTrp1!W79,CdTrp1!W55))</f>
        <v>1</v>
      </c>
      <c r="Y71" s="172">
        <f>IF($AA71=0,99,IF(Y84&gt;3,CdTrp1!X79,CdTrp1!X55))</f>
        <v>1</v>
      </c>
      <c r="Z71" s="172">
        <f>IF($AA71=0,99,IF(Z84&gt;3,CdTrp1!Y79,CdTrp1!Y55))</f>
        <v>1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1</v>
      </c>
      <c r="D82" s="172">
        <f>CdTrp1!C77</f>
        <v>1</v>
      </c>
      <c r="E82" s="172">
        <f>CdTrp1!D77</f>
        <v>1</v>
      </c>
      <c r="F82" s="172">
        <f>CdTrp1!E77</f>
        <v>1</v>
      </c>
      <c r="G82" s="172">
        <f>CdTrp1!F77</f>
        <v>1</v>
      </c>
      <c r="H82" s="172">
        <f>CdTrp1!G77</f>
        <v>1</v>
      </c>
      <c r="I82" s="172">
        <f>CdTrp1!H77</f>
        <v>1</v>
      </c>
      <c r="J82" s="172">
        <f>CdTrp1!I77</f>
        <v>1</v>
      </c>
      <c r="K82" s="172">
        <f>CdTrp1!J77</f>
        <v>1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1</v>
      </c>
      <c r="W82" s="172">
        <f>CdTrp1!V77</f>
        <v>1</v>
      </c>
      <c r="X82" s="172">
        <f>CdTrp1!W77</f>
        <v>1</v>
      </c>
      <c r="Y82" s="172">
        <f>CdTrp1!X77</f>
        <v>1</v>
      </c>
      <c r="Z82" s="172">
        <f>CdTrp1!Y77</f>
        <v>1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5</v>
      </c>
      <c r="N110" s="172">
        <f>IF($AA110=0,99,IF(N123&gt;3,CdTrp2!M76,CdTrp2!M52))</f>
        <v>5</v>
      </c>
      <c r="O110" s="172">
        <f>IF($AA110=0,99,IF(O123&gt;3,CdTrp2!N76,CdTrp2!N52))</f>
        <v>5</v>
      </c>
      <c r="P110" s="172">
        <f>IF($AA110=0,99,IF(P123&gt;3,CdTrp2!O76,CdTrp2!O52))</f>
        <v>5</v>
      </c>
      <c r="Q110" s="172">
        <f>IF($AA110=0,99,IF(Q123&gt;3,CdTrp2!P76,CdTrp2!P52))</f>
        <v>5</v>
      </c>
      <c r="R110" s="172">
        <f>IF($AA110=0,99,IF(R123&gt;3,CdTrp2!Q76,CdTrp2!Q52))</f>
        <v>5</v>
      </c>
      <c r="S110" s="172">
        <f>IF($AA110=0,99,IF(S123&gt;3,CdTrp2!R76,CdTrp2!R52))</f>
        <v>5</v>
      </c>
      <c r="T110" s="172">
        <f>IF($AA110=0,99,IF(T123&gt;3,CdTrp2!S76,CdTrp2!S52))</f>
        <v>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2</v>
      </c>
      <c r="O180" s="172">
        <f>IF(Troupeau!$B$3="OL",Protection!O18,0)</f>
        <v>2</v>
      </c>
      <c r="P180" s="172">
        <f>IF(Troupeau!$B$3="OL",Protection!P18,0)</f>
        <v>2</v>
      </c>
      <c r="Q180" s="172">
        <f>IF(Troupeau!$B$3="OL",Protection!Q18,0)</f>
        <v>2</v>
      </c>
      <c r="R180" s="172">
        <f>IF(Troupeau!$B$3="OL",Protection!R18,0)</f>
        <v>2</v>
      </c>
      <c r="S180" s="172">
        <f>IF(Troupeau!$B$3="OL",Protection!S18,0)</f>
        <v>2</v>
      </c>
      <c r="T180" s="172">
        <f>IF(Troupeau!$B$3="OL",Protection!T18,0)</f>
        <v>2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1</v>
      </c>
      <c r="D195" s="172">
        <f t="shared" ref="D195:Z196" si="50">D180+D183+D185+D187</f>
        <v>1</v>
      </c>
      <c r="E195" s="172">
        <f t="shared" si="50"/>
        <v>1</v>
      </c>
      <c r="F195" s="172">
        <f t="shared" si="50"/>
        <v>1</v>
      </c>
      <c r="G195" s="172">
        <f t="shared" si="50"/>
        <v>1</v>
      </c>
      <c r="H195" s="172">
        <f t="shared" si="50"/>
        <v>1</v>
      </c>
      <c r="I195" s="172">
        <f t="shared" si="50"/>
        <v>1</v>
      </c>
      <c r="J195" s="172">
        <f t="shared" si="50"/>
        <v>1</v>
      </c>
      <c r="K195" s="172">
        <f t="shared" si="50"/>
        <v>1</v>
      </c>
      <c r="L195" s="172">
        <f t="shared" si="50"/>
        <v>1</v>
      </c>
      <c r="M195" s="172">
        <f t="shared" si="50"/>
        <v>1</v>
      </c>
      <c r="N195" s="172">
        <f t="shared" si="50"/>
        <v>2</v>
      </c>
      <c r="O195" s="172">
        <f t="shared" si="50"/>
        <v>2</v>
      </c>
      <c r="P195" s="172">
        <f t="shared" si="50"/>
        <v>2</v>
      </c>
      <c r="Q195" s="172">
        <f t="shared" si="50"/>
        <v>2</v>
      </c>
      <c r="R195" s="172">
        <f t="shared" si="50"/>
        <v>2</v>
      </c>
      <c r="S195" s="172">
        <f t="shared" si="50"/>
        <v>2</v>
      </c>
      <c r="T195" s="172">
        <f t="shared" si="50"/>
        <v>2</v>
      </c>
      <c r="U195" s="172">
        <f t="shared" si="50"/>
        <v>1</v>
      </c>
      <c r="V195" s="172">
        <f t="shared" si="50"/>
        <v>1</v>
      </c>
      <c r="W195" s="172">
        <f t="shared" si="50"/>
        <v>1</v>
      </c>
      <c r="X195" s="172">
        <f t="shared" si="50"/>
        <v>1</v>
      </c>
      <c r="Y195" s="172">
        <f t="shared" si="50"/>
        <v>1</v>
      </c>
      <c r="Z195" s="172">
        <f t="shared" si="50"/>
        <v>1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0</v>
      </c>
      <c r="O196" s="172">
        <f t="shared" si="50"/>
        <v>0</v>
      </c>
      <c r="P196" s="172">
        <f t="shared" si="50"/>
        <v>0</v>
      </c>
      <c r="Q196" s="172">
        <f t="shared" si="50"/>
        <v>0</v>
      </c>
      <c r="R196" s="172">
        <f t="shared" si="50"/>
        <v>0</v>
      </c>
      <c r="S196" s="172">
        <f t="shared" si="50"/>
        <v>0</v>
      </c>
      <c r="T196" s="172">
        <f t="shared" si="50"/>
        <v>0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2</v>
      </c>
      <c r="D201" s="172">
        <f>IF(Troupeau!$B$3="OL",D8+D9,0)</f>
        <v>2</v>
      </c>
      <c r="E201" s="172">
        <f>IF(Troupeau!$B$3="OL",E8+E9,0)</f>
        <v>2</v>
      </c>
      <c r="F201" s="172">
        <f>IF(Troupeau!$B$3="OL",F8+F9,0)</f>
        <v>2</v>
      </c>
      <c r="G201" s="172">
        <f>IF(Troupeau!$B$3="OL",G8+G9,0)</f>
        <v>2</v>
      </c>
      <c r="H201" s="172">
        <f>IF(Troupeau!$B$3="OL",H8+H9,0)</f>
        <v>4</v>
      </c>
      <c r="I201" s="172">
        <f>IF(Troupeau!$B$3="OL",I8+I9,0)</f>
        <v>4</v>
      </c>
      <c r="J201" s="172">
        <f>IF(Troupeau!$B$3="OL",J8+J9,0)</f>
        <v>4</v>
      </c>
      <c r="K201" s="172">
        <f>IF(Troupeau!$B$3="OL",K8+K9,0)</f>
        <v>4</v>
      </c>
      <c r="L201" s="172">
        <f>IF(Troupeau!$B$3="OL",L8+L9,0)</f>
        <v>4</v>
      </c>
      <c r="M201" s="172">
        <f>IF(Troupeau!$B$3="OL",M8+M9,0)</f>
        <v>4</v>
      </c>
      <c r="N201" s="172">
        <f>IF(Troupeau!$B$3="OL",N8+N9,0)</f>
        <v>4</v>
      </c>
      <c r="O201" s="172">
        <f>IF(Troupeau!$B$3="OL",O8+O9,0)</f>
        <v>4</v>
      </c>
      <c r="P201" s="172">
        <f>IF(Troupeau!$B$3="OL",P8+P9,0)</f>
        <v>4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4</v>
      </c>
      <c r="X201" s="172">
        <f>IF(Troupeau!$B$3="OL",X8+X9,0)</f>
        <v>2</v>
      </c>
      <c r="Y201" s="172">
        <f>IF(Troupeau!$B$3="OL",Y8+Y9,0)</f>
        <v>2</v>
      </c>
      <c r="Z201" s="172">
        <f>IF(Troupeau!$B$3="OL",Z8+Z9,0)</f>
        <v>2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2</v>
      </c>
      <c r="D203" s="172">
        <f t="shared" ref="D203:Z203" si="51">SUM(D201:D202)</f>
        <v>2</v>
      </c>
      <c r="E203" s="172">
        <f t="shared" si="51"/>
        <v>2</v>
      </c>
      <c r="F203" s="172">
        <f t="shared" si="51"/>
        <v>2</v>
      </c>
      <c r="G203" s="172">
        <f t="shared" si="51"/>
        <v>2</v>
      </c>
      <c r="H203" s="172">
        <f t="shared" si="51"/>
        <v>4</v>
      </c>
      <c r="I203" s="172">
        <f t="shared" si="51"/>
        <v>4</v>
      </c>
      <c r="J203" s="172">
        <f t="shared" si="51"/>
        <v>4</v>
      </c>
      <c r="K203" s="172">
        <f t="shared" si="51"/>
        <v>4</v>
      </c>
      <c r="L203" s="172">
        <f t="shared" si="51"/>
        <v>4</v>
      </c>
      <c r="M203" s="172">
        <f t="shared" si="51"/>
        <v>4</v>
      </c>
      <c r="N203" s="172">
        <f t="shared" si="51"/>
        <v>4</v>
      </c>
      <c r="O203" s="172">
        <f t="shared" si="51"/>
        <v>4</v>
      </c>
      <c r="P203" s="172">
        <f t="shared" si="51"/>
        <v>4</v>
      </c>
      <c r="Q203" s="172">
        <f t="shared" si="51"/>
        <v>4</v>
      </c>
      <c r="R203" s="172">
        <f t="shared" si="51"/>
        <v>4</v>
      </c>
      <c r="S203" s="172">
        <f t="shared" si="51"/>
        <v>4</v>
      </c>
      <c r="T203" s="172">
        <f t="shared" si="51"/>
        <v>4</v>
      </c>
      <c r="U203" s="172">
        <f t="shared" si="51"/>
        <v>4</v>
      </c>
      <c r="V203" s="172">
        <f t="shared" si="51"/>
        <v>4</v>
      </c>
      <c r="W203" s="172">
        <f t="shared" si="51"/>
        <v>4</v>
      </c>
      <c r="X203" s="172">
        <f t="shared" si="51"/>
        <v>2</v>
      </c>
      <c r="Y203" s="172">
        <f t="shared" si="51"/>
        <v>2</v>
      </c>
      <c r="Z203" s="172">
        <f t="shared" si="51"/>
        <v>2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2</v>
      </c>
      <c r="D212" s="172">
        <f t="shared" ref="D212:Z213" si="52">D201+D204+D206+D208</f>
        <v>2</v>
      </c>
      <c r="E212" s="172">
        <f t="shared" si="52"/>
        <v>2</v>
      </c>
      <c r="F212" s="172">
        <f t="shared" si="52"/>
        <v>2</v>
      </c>
      <c r="G212" s="172">
        <f t="shared" si="52"/>
        <v>2</v>
      </c>
      <c r="H212" s="172">
        <f t="shared" si="52"/>
        <v>4</v>
      </c>
      <c r="I212" s="172">
        <f t="shared" si="52"/>
        <v>4</v>
      </c>
      <c r="J212" s="172">
        <f t="shared" si="52"/>
        <v>4</v>
      </c>
      <c r="K212" s="172">
        <f t="shared" si="52"/>
        <v>4</v>
      </c>
      <c r="L212" s="172">
        <f t="shared" si="52"/>
        <v>4</v>
      </c>
      <c r="M212" s="172">
        <f t="shared" si="52"/>
        <v>4</v>
      </c>
      <c r="N212" s="172">
        <f t="shared" si="52"/>
        <v>4</v>
      </c>
      <c r="O212" s="172">
        <f t="shared" si="52"/>
        <v>4</v>
      </c>
      <c r="P212" s="172">
        <f t="shared" si="52"/>
        <v>4</v>
      </c>
      <c r="Q212" s="172">
        <f t="shared" si="52"/>
        <v>4</v>
      </c>
      <c r="R212" s="172">
        <f t="shared" si="52"/>
        <v>4</v>
      </c>
      <c r="S212" s="172">
        <f t="shared" si="52"/>
        <v>4</v>
      </c>
      <c r="T212" s="172">
        <f t="shared" si="52"/>
        <v>4</v>
      </c>
      <c r="U212" s="172">
        <f t="shared" si="52"/>
        <v>4</v>
      </c>
      <c r="V212" s="172">
        <f t="shared" si="52"/>
        <v>4</v>
      </c>
      <c r="W212" s="172">
        <f t="shared" si="52"/>
        <v>4</v>
      </c>
      <c r="X212" s="172">
        <f t="shared" si="52"/>
        <v>2</v>
      </c>
      <c r="Y212" s="172">
        <f t="shared" si="52"/>
        <v>2</v>
      </c>
      <c r="Z212" s="172">
        <f t="shared" si="52"/>
        <v>2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0</v>
      </c>
      <c r="O213" s="172">
        <f t="shared" si="52"/>
        <v>0</v>
      </c>
      <c r="P213" s="172">
        <f t="shared" si="52"/>
        <v>0</v>
      </c>
      <c r="Q213" s="172">
        <f t="shared" si="52"/>
        <v>0</v>
      </c>
      <c r="R213" s="172">
        <f t="shared" si="52"/>
        <v>0</v>
      </c>
      <c r="S213" s="172">
        <f t="shared" si="52"/>
        <v>0</v>
      </c>
      <c r="T213" s="172">
        <f t="shared" si="52"/>
        <v>0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2</v>
      </c>
      <c r="D214" s="172">
        <f t="shared" ref="D214:Z214" si="53">D212+D213</f>
        <v>2</v>
      </c>
      <c r="E214" s="172">
        <f t="shared" si="53"/>
        <v>2</v>
      </c>
      <c r="F214" s="172">
        <f t="shared" si="53"/>
        <v>2</v>
      </c>
      <c r="G214" s="172">
        <f t="shared" si="53"/>
        <v>2</v>
      </c>
      <c r="H214" s="172">
        <f t="shared" si="53"/>
        <v>4</v>
      </c>
      <c r="I214" s="172">
        <f t="shared" si="53"/>
        <v>4</v>
      </c>
      <c r="J214" s="172">
        <f t="shared" si="53"/>
        <v>4</v>
      </c>
      <c r="K214" s="172">
        <f t="shared" si="53"/>
        <v>4</v>
      </c>
      <c r="L214" s="172">
        <f t="shared" si="53"/>
        <v>4</v>
      </c>
      <c r="M214" s="172">
        <f t="shared" si="53"/>
        <v>4</v>
      </c>
      <c r="N214" s="172">
        <f t="shared" si="53"/>
        <v>4</v>
      </c>
      <c r="O214" s="172">
        <f t="shared" si="53"/>
        <v>4</v>
      </c>
      <c r="P214" s="172">
        <f t="shared" si="53"/>
        <v>4</v>
      </c>
      <c r="Q214" s="172">
        <f t="shared" si="53"/>
        <v>4</v>
      </c>
      <c r="R214" s="172">
        <f t="shared" si="53"/>
        <v>4</v>
      </c>
      <c r="S214" s="172">
        <f t="shared" si="53"/>
        <v>4</v>
      </c>
      <c r="T214" s="172">
        <f t="shared" si="53"/>
        <v>4</v>
      </c>
      <c r="U214" s="172">
        <f t="shared" si="53"/>
        <v>4</v>
      </c>
      <c r="V214" s="172">
        <f t="shared" si="53"/>
        <v>4</v>
      </c>
      <c r="W214" s="172">
        <f t="shared" si="53"/>
        <v>4</v>
      </c>
      <c r="X214" s="172">
        <f t="shared" si="53"/>
        <v>2</v>
      </c>
      <c r="Y214" s="172">
        <f t="shared" si="53"/>
        <v>2</v>
      </c>
      <c r="Z214" s="172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3" activePane="bottomLeft" state="frozen"/>
      <selection activeCell="J83" sqref="J83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595</v>
      </c>
      <c r="G5" s="172">
        <f>AV117</f>
        <v>14</v>
      </c>
      <c r="H5" s="172">
        <f t="shared" ref="H5:AD5" si="0">AW117</f>
        <v>14</v>
      </c>
      <c r="I5" s="172">
        <f t="shared" si="0"/>
        <v>14</v>
      </c>
      <c r="J5" s="172">
        <f t="shared" si="0"/>
        <v>14</v>
      </c>
      <c r="K5" s="172">
        <f t="shared" si="0"/>
        <v>14</v>
      </c>
      <c r="L5" s="172">
        <f t="shared" si="0"/>
        <v>28</v>
      </c>
      <c r="M5" s="172">
        <f t="shared" si="0"/>
        <v>28</v>
      </c>
      <c r="N5" s="172">
        <f t="shared" si="0"/>
        <v>28</v>
      </c>
      <c r="O5" s="172">
        <f t="shared" si="0"/>
        <v>28</v>
      </c>
      <c r="P5" s="172">
        <f t="shared" si="0"/>
        <v>28</v>
      </c>
      <c r="Q5" s="172">
        <f t="shared" si="0"/>
        <v>28</v>
      </c>
      <c r="R5" s="172">
        <f t="shared" si="0"/>
        <v>35</v>
      </c>
      <c r="S5" s="172">
        <f t="shared" si="0"/>
        <v>35</v>
      </c>
      <c r="T5" s="172">
        <f t="shared" si="0"/>
        <v>35</v>
      </c>
      <c r="U5" s="172">
        <f t="shared" si="0"/>
        <v>35</v>
      </c>
      <c r="V5" s="172">
        <f t="shared" si="0"/>
        <v>35</v>
      </c>
      <c r="W5" s="172">
        <f t="shared" si="0"/>
        <v>35</v>
      </c>
      <c r="X5" s="172">
        <f t="shared" si="0"/>
        <v>35</v>
      </c>
      <c r="Y5" s="172">
        <f t="shared" si="0"/>
        <v>28</v>
      </c>
      <c r="Z5" s="172">
        <f t="shared" si="0"/>
        <v>28</v>
      </c>
      <c r="AA5" s="172">
        <f t="shared" si="0"/>
        <v>14</v>
      </c>
      <c r="AB5" s="172">
        <f t="shared" si="0"/>
        <v>14</v>
      </c>
      <c r="AC5" s="172">
        <f t="shared" si="0"/>
        <v>14</v>
      </c>
      <c r="AD5" s="172">
        <f t="shared" si="0"/>
        <v>14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134.4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8.75</v>
      </c>
      <c r="R6" s="172">
        <f t="shared" si="2"/>
        <v>8.75</v>
      </c>
      <c r="S6" s="172">
        <f t="shared" si="2"/>
        <v>8.75</v>
      </c>
      <c r="T6" s="172">
        <f t="shared" si="2"/>
        <v>8.75</v>
      </c>
      <c r="U6" s="172">
        <f t="shared" si="2"/>
        <v>8.75</v>
      </c>
      <c r="V6" s="172">
        <f t="shared" si="2"/>
        <v>8.75</v>
      </c>
      <c r="W6" s="172">
        <f t="shared" si="2"/>
        <v>8.75</v>
      </c>
      <c r="X6" s="172">
        <f t="shared" si="2"/>
        <v>8.75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2303.0413913043481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108.87921739130435</v>
      </c>
      <c r="J13" s="30">
        <f t="shared" si="8"/>
        <v>108.83295652173913</v>
      </c>
      <c r="K13" s="30">
        <f t="shared" si="8"/>
        <v>108.7866956521739</v>
      </c>
      <c r="L13" s="30">
        <f t="shared" si="8"/>
        <v>122.7404347826087</v>
      </c>
      <c r="M13" s="30">
        <f t="shared" si="8"/>
        <v>106.94417391304347</v>
      </c>
      <c r="N13" s="30">
        <f t="shared" si="8"/>
        <v>106.89791304347827</v>
      </c>
      <c r="O13" s="30">
        <f t="shared" si="8"/>
        <v>127.80539130434784</v>
      </c>
      <c r="P13" s="30">
        <f t="shared" si="8"/>
        <v>105.83391304347826</v>
      </c>
      <c r="Q13" s="30">
        <f t="shared" si="8"/>
        <v>67.333913043478262</v>
      </c>
      <c r="R13" s="30">
        <f t="shared" si="8"/>
        <v>65.405565217391313</v>
      </c>
      <c r="S13" s="30">
        <f t="shared" si="8"/>
        <v>65.405565217391313</v>
      </c>
      <c r="T13" s="30">
        <f t="shared" si="8"/>
        <v>65.405565217391313</v>
      </c>
      <c r="U13" s="30">
        <f t="shared" si="8"/>
        <v>65.405565217391313</v>
      </c>
      <c r="V13" s="30">
        <f t="shared" si="8"/>
        <v>65.405565217391313</v>
      </c>
      <c r="W13" s="30">
        <f t="shared" si="8"/>
        <v>65.405565217391313</v>
      </c>
      <c r="X13" s="30">
        <f t="shared" si="8"/>
        <v>65.405565217391313</v>
      </c>
      <c r="Y13" s="30">
        <f t="shared" si="8"/>
        <v>98.833913043478262</v>
      </c>
      <c r="Z13" s="30">
        <f t="shared" si="8"/>
        <v>119.41756521739131</v>
      </c>
      <c r="AA13" s="30">
        <f t="shared" si="8"/>
        <v>112.41756521739131</v>
      </c>
      <c r="AB13" s="30">
        <f t="shared" si="8"/>
        <v>114.31426086956522</v>
      </c>
      <c r="AC13" s="30">
        <f t="shared" si="8"/>
        <v>109.06426086956522</v>
      </c>
      <c r="AD13" s="30">
        <f t="shared" si="8"/>
        <v>109.06426086956522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1</v>
      </c>
      <c r="C16" s="189">
        <f>VALUE(LEFT(Scénario!K57,1))</f>
        <v>1</v>
      </c>
      <c r="D16" s="189">
        <f>IF(B16&gt;0,VLOOKUP(C16,[1]Trav!$A$86:$D$90,4),0)</f>
        <v>12</v>
      </c>
      <c r="E16" s="189">
        <f>Scénario!K54*2</f>
        <v>0</v>
      </c>
      <c r="F16" s="172">
        <f>IF(B16&gt;0,D16*E16/B16,0)</f>
        <v>0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1</v>
      </c>
      <c r="C17" s="189">
        <f>VALUE(LEFT(Scénario!K64,1))</f>
        <v>1</v>
      </c>
      <c r="D17" s="189">
        <f>IF(B17&gt;0,VLOOKUP(C17,[1]Trav!$A$86:$D$90,4),0)</f>
        <v>12</v>
      </c>
      <c r="E17" s="189">
        <f>Scénario!K61*2</f>
        <v>8</v>
      </c>
      <c r="F17" s="172">
        <f t="shared" ref="F17:F18" si="15">IF(B17&gt;0,D17*E17/B17,0)</f>
        <v>96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2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3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3</v>
      </c>
      <c r="AW40" s="172">
        <f>IF(CdTrp1!C55=1,3,IF(CdTrp1!C55=0.5,2,IF(CdTrp1!C55=0,1,0)))</f>
        <v>3</v>
      </c>
      <c r="AX40" s="172">
        <f>IF(CdTrp1!D55=1,3,IF(CdTrp1!D55=0.5,2,IF(CdTrp1!D55=0,1,0)))</f>
        <v>3</v>
      </c>
      <c r="AY40" s="172">
        <f>IF(CdTrp1!E55=1,3,IF(CdTrp1!E55=0.5,2,IF(CdTrp1!E55=0,1,0)))</f>
        <v>3</v>
      </c>
      <c r="AZ40" s="172">
        <f>IF(CdTrp1!F55=1,3,IF(CdTrp1!F55=0.5,2,IF(CdTrp1!F55=0,1,0)))</f>
        <v>3</v>
      </c>
      <c r="BA40" s="172">
        <f>IF(CdTrp1!G55=1,3,IF(CdTrp1!G55=0.5,2,IF(CdTrp1!G55=0,1,0)))</f>
        <v>3</v>
      </c>
      <c r="BB40" s="172">
        <f>IF(CdTrp1!H55=1,3,IF(CdTrp1!H55=0.5,2,IF(CdTrp1!H55=0,1,0)))</f>
        <v>3</v>
      </c>
      <c r="BC40" s="172">
        <f>IF(CdTrp1!I55=1,3,IF(CdTrp1!I55=0.5,2,IF(CdTrp1!I55=0,1,0)))</f>
        <v>3</v>
      </c>
      <c r="BD40" s="172">
        <f>IF(CdTrp1!J55=1,3,IF(CdTrp1!J55=0.5,2,IF(CdTrp1!J55=0,1,0)))</f>
        <v>3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3</v>
      </c>
      <c r="BP40" s="172">
        <f>IF(CdTrp1!V55=1,3,IF(CdTrp1!V55=0.5,2,IF(CdTrp1!V55=0,1,0)))</f>
        <v>3</v>
      </c>
      <c r="BQ40" s="172">
        <f>IF(CdTrp1!W55=1,3,IF(CdTrp1!W55=0.5,2,IF(CdTrp1!W55=0,1,0)))</f>
        <v>3</v>
      </c>
      <c r="BR40" s="172">
        <f>IF(CdTrp1!X55=1,3,IF(CdTrp1!X55=0.5,2,IF(CdTrp1!X55=0,1,0)))</f>
        <v>3</v>
      </c>
      <c r="BS40" s="172">
        <f>IF(CdTrp1!Y55=1,3,IF(CdTrp1!Y55=0.5,2,IF(CdTrp1!Y55=0,1,0)))</f>
        <v>3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1</v>
      </c>
      <c r="AW49" s="172">
        <f>IF(CdTrp1!C77=1,1,IF(CdTrp1!C77=2,2,IF(CdTrp1!C77=3,2,0)))</f>
        <v>1</v>
      </c>
      <c r="AX49" s="172">
        <f>IF(CdTrp1!D77=1,1,IF(CdTrp1!D77=2,2,IF(CdTrp1!D77=3,2,0)))</f>
        <v>1</v>
      </c>
      <c r="AY49" s="172">
        <f>IF(CdTrp1!E77=1,1,IF(CdTrp1!E77=2,2,IF(CdTrp1!E77=3,2,0)))</f>
        <v>1</v>
      </c>
      <c r="AZ49" s="172">
        <f>IF(CdTrp1!F77=1,1,IF(CdTrp1!F77=2,2,IF(CdTrp1!F77=3,2,0)))</f>
        <v>1</v>
      </c>
      <c r="BA49" s="172">
        <f>IF(CdTrp1!G77=1,1,IF(CdTrp1!G77=2,2,IF(CdTrp1!G77=3,2,0)))</f>
        <v>1</v>
      </c>
      <c r="BB49" s="172">
        <f>IF(CdTrp1!H77=1,1,IF(CdTrp1!H77=2,2,IF(CdTrp1!H77=3,2,0)))</f>
        <v>1</v>
      </c>
      <c r="BC49" s="172">
        <f>IF(CdTrp1!I77=1,1,IF(CdTrp1!I77=2,2,IF(CdTrp1!I77=3,2,0)))</f>
        <v>1</v>
      </c>
      <c r="BD49" s="172">
        <f>IF(CdTrp1!J77=1,1,IF(CdTrp1!J77=2,2,IF(CdTrp1!J77=3,2,0)))</f>
        <v>1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1</v>
      </c>
      <c r="BP49" s="172">
        <f>IF(CdTrp1!V77=1,1,IF(CdTrp1!V77=2,2,IF(CdTrp1!V77=3,2,0)))</f>
        <v>1</v>
      </c>
      <c r="BQ49" s="172">
        <f>IF(CdTrp1!W77=1,1,IF(CdTrp1!W77=2,2,IF(CdTrp1!W77=3,2,0)))</f>
        <v>1</v>
      </c>
      <c r="BR49" s="172">
        <f>IF(CdTrp1!X77=1,1,IF(CdTrp1!X77=2,2,IF(CdTrp1!X77=3,2,0)))</f>
        <v>1</v>
      </c>
      <c r="BS49" s="172">
        <f>IF(CdTrp1!Y77=1,1,IF(CdTrp1!Y77=2,2,IF(CdTrp1!Y77=3,2,0)))</f>
        <v>1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12.51</v>
      </c>
      <c r="C55" s="189">
        <f>IF(B55&gt;[1]Trav!E121,[1]Trav!C121,[1]Trav!B121)</f>
        <v>7.2</v>
      </c>
      <c r="D55"/>
      <c r="E55" s="171"/>
      <c r="F55" s="172">
        <f t="shared" si="32"/>
        <v>90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11.9</v>
      </c>
      <c r="C56" s="189">
        <f>IF(B56&gt;[1]Trav!E121,[1]Trav!C121,[1]Trav!B121)</f>
        <v>7.2</v>
      </c>
      <c r="D56"/>
      <c r="E56" s="171"/>
      <c r="F56" s="172">
        <f t="shared" si="32"/>
        <v>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1.3900000000000006</v>
      </c>
      <c r="C58" s="189">
        <f>IF(B58&gt;[1]Trav!E122,[1]Trav!C122,[1]Trav!B122)</f>
        <v>4.4000000000000004</v>
      </c>
      <c r="E58" s="171"/>
      <c r="F58" s="172">
        <f t="shared" si="32"/>
        <v>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211</v>
      </c>
      <c r="BH60" s="172">
        <f>IF(BH15=0,0,IF(BH37=3,0,VALUE(CONCATENATE(Travail!BH26,Travail!BH37,Travail!BH48))))</f>
        <v>211</v>
      </c>
      <c r="BI60" s="172">
        <f>IF(BI15=0,0,IF(BI37=3,0,VALUE(CONCATENATE(Travail!BI26,Travail!BI37,Travail!BI48))))</f>
        <v>211</v>
      </c>
      <c r="BJ60" s="172">
        <f>IF(BJ15=0,0,IF(BJ37=3,0,VALUE(CONCATENATE(Travail!BJ26,Travail!BJ37,Travail!BJ48))))</f>
        <v>211</v>
      </c>
      <c r="BK60" s="172">
        <f>IF(BK15=0,0,IF(BK37=3,0,VALUE(CONCATENATE(Travail!BK26,Travail!BK37,Travail!BK48))))</f>
        <v>211</v>
      </c>
      <c r="BL60" s="172">
        <f>IF(BL15=0,0,IF(BL37=3,0,VALUE(CONCATENATE(Travail!BL26,Travail!BL37,Travail!BL48))))</f>
        <v>211</v>
      </c>
      <c r="BM60" s="172">
        <f>IF(BM15=0,0,IF(BM37=3,0,VALUE(CONCATENATE(Travail!BM26,Travail!BM37,Travail!BM48))))</f>
        <v>211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210</v>
      </c>
      <c r="CM60" s="172">
        <f>IF(CM15=0,0,IF(CM37=3,0,VALUE(CONCATENATE(Travail!CM26,Travail!CM37,Travail!CM48))))</f>
        <v>210</v>
      </c>
      <c r="CN60" s="172">
        <f>IF(CN15=0,0,IF(CN37=3,0,VALUE(CONCATENATE(Travail!CN26,Travail!CN37,Travail!CN48))))</f>
        <v>210</v>
      </c>
      <c r="CO60" s="172">
        <f>IF(CO15=0,0,IF(CO37=3,0,VALUE(CONCATENATE(Travail!CO26,Travail!CO37,Travail!CO48))))</f>
        <v>210</v>
      </c>
      <c r="CP60" s="172">
        <f>IF(CP15=0,0,IF(CP37=3,0,VALUE(CONCATENATE(Travail!CP26,Travail!CP37,Travail!CP48))))</f>
        <v>210</v>
      </c>
      <c r="CQ60" s="172">
        <f>IF(CQ15=0,0,IF(CQ37=3,0,VALUE(CONCATENATE(Travail!CQ26,Travail!CQ37,Travail!CQ48))))</f>
        <v>210</v>
      </c>
      <c r="CR60" s="172">
        <f>IF(CR15=0,0,IF(CR37=3,0,VALUE(CONCATENATE(Travail!CR26,Travail!CR37,Travail!CR48))))</f>
        <v>210</v>
      </c>
      <c r="CS60" s="172">
        <f>IF(CS15=0,0,IF(CS37=3,0,VALUE(CONCATENATE(Travail!CS26,Travail!CS37,Travail!CS48))))</f>
        <v>210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221</v>
      </c>
      <c r="AW61" s="172">
        <f>IF(AW16=0,0,IF(AW38=3,0,VALUE(CONCATENATE(Travail!AW27,Travail!AW38,Travail!AW49))))</f>
        <v>221</v>
      </c>
      <c r="AX61" s="172">
        <f>IF(AX16=0,0,IF(AX38=3,0,VALUE(CONCATENATE(Travail!AX27,Travail!AX38,Travail!AX49))))</f>
        <v>221</v>
      </c>
      <c r="AY61" s="172">
        <f>IF(AY16=0,0,IF(AY38=3,0,VALUE(CONCATENATE(Travail!AY27,Travail!AY38,Travail!AY49))))</f>
        <v>221</v>
      </c>
      <c r="AZ61" s="172">
        <f>IF(AZ16=0,0,IF(AZ38=3,0,VALUE(CONCATENATE(Travail!AZ27,Travail!AZ38,Travail!AZ49))))</f>
        <v>221</v>
      </c>
      <c r="BA61" s="172">
        <f>IF(BA16=0,0,IF(BA38=3,0,VALUE(CONCATENATE(Travail!BA27,Travail!BA38,Travail!BA49))))</f>
        <v>221</v>
      </c>
      <c r="BB61" s="172">
        <f>IF(BB16=0,0,IF(BB38=3,0,VALUE(CONCATENATE(Travail!BB27,Travail!BB38,Travail!BB49))))</f>
        <v>221</v>
      </c>
      <c r="BC61" s="172">
        <f>IF(BC16=0,0,IF(BC38=3,0,VALUE(CONCATENATE(Travail!BC27,Travail!BC38,Travail!BC49))))</f>
        <v>221</v>
      </c>
      <c r="BD61" s="172">
        <f>IF(BD16=0,0,IF(BD38=3,0,VALUE(CONCATENATE(Travail!BD27,Travail!BD38,Travail!BD49))))</f>
        <v>221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221</v>
      </c>
      <c r="BP61" s="172">
        <f>IF(BP16=0,0,IF(BP38=3,0,VALUE(CONCATENATE(Travail!BP27,Travail!BP38,Travail!BP49))))</f>
        <v>221</v>
      </c>
      <c r="BQ61" s="172">
        <f>IF(BQ16=0,0,IF(BQ38=3,0,VALUE(CONCATENATE(Travail!BQ27,Travail!BQ38,Travail!BQ49))))</f>
        <v>221</v>
      </c>
      <c r="BR61" s="172">
        <f>IF(BR16=0,0,IF(BR38=3,0,VALUE(CONCATENATE(Travail!BR27,Travail!BR38,Travail!BR49))))</f>
        <v>221</v>
      </c>
      <c r="BS61" s="172">
        <f>IF(BS16=0,0,IF(BS38=3,0,VALUE(CONCATENATE(Travail!BS27,Travail!BS38,Travail!BS49))))</f>
        <v>221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" si="39">ROUND(SUM(G72:AD72),0)</f>
        <v>200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5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22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79"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5</v>
      </c>
      <c r="N73" s="172">
        <f>IF(AND(Troupeau!$C$3="BV",Scénario!$K$87&gt;2),Protection!J25*([1]Protect!$B$22+[1]Protect!$B$23),0)</f>
        <v>5</v>
      </c>
      <c r="O73" s="172">
        <f>IF(AND(Troupeau!$C$3="BV",Scénario!$K$87&gt;2),Protection!K25*([1]Protect!$B$22+[1]Protect!$B$23),0)</f>
        <v>15</v>
      </c>
      <c r="P73" s="172">
        <f>IF(AND(Troupeau!$C$3="BV",Scénario!$K$87&gt;2),Protection!L25*([1]Protect!$B$22+[1]Protect!$B$23),0)</f>
        <v>10</v>
      </c>
      <c r="Q73" s="172">
        <f>IF(AND(Troupeau!$C$3="BV",Scénario!$K$87&gt;2),Protection!M25*([1]Protect!$B$22+[1]Protect!$B$23),0)</f>
        <v>10</v>
      </c>
      <c r="R73" s="172">
        <f>IF(AND(Troupeau!$C$3="BV",Scénario!$K$87&gt;2),Protection!N25*([1]Protect!$B$22+[1]Protect!$B$23),0)</f>
        <v>10</v>
      </c>
      <c r="S73" s="172">
        <f>IF(AND(Troupeau!$C$3="BV",Scénario!$K$87&gt;2),Protection!O25*([1]Protect!$B$22+[1]Protect!$B$23),0)</f>
        <v>5</v>
      </c>
      <c r="T73" s="172">
        <f>IF(AND(Troupeau!$C$3="BV",Scénario!$K$87&gt;2),Protection!P25*([1]Protect!$B$22+[1]Protect!$B$23),0)</f>
        <v>5</v>
      </c>
      <c r="U73" s="172">
        <f>IF(AND(Troupeau!$C$3="BV",Scénario!$K$87&gt;2),Protection!Q25*([1]Protect!$B$22+[1]Protect!$B$23),0)</f>
        <v>10</v>
      </c>
      <c r="V73" s="172">
        <f>IF(AND(Troupeau!$C$3="BV",Scénario!$K$87&gt;2),Protection!R25*([1]Protect!$B$22+[1]Protect!$B$23),0)</f>
        <v>10</v>
      </c>
      <c r="W73" s="172">
        <f>IF(AND(Troupeau!$C$3="BV",Scénario!$K$87&gt;2),Protection!S25*([1]Protect!$B$22+[1]Protect!$B$23),0)</f>
        <v>10</v>
      </c>
      <c r="X73" s="172">
        <f>IF(AND(Troupeau!$C$3="BV",Scénario!$K$87&gt;2),Protection!T25*([1]Protect!$B$22+[1]Protect!$B$23),0)</f>
        <v>10</v>
      </c>
      <c r="Y73" s="172">
        <f>IF(AND(Troupeau!$C$3="BV",Scénario!$K$87&gt;2),Protection!U25*([1]Protect!$B$22+[1]Protect!$B$23),0)</f>
        <v>15</v>
      </c>
      <c r="Z73" s="172">
        <f>IF(AND(Troupeau!$C$3="BV",Scénario!$K$87&gt;2),Protection!V25*([1]Protect!$B$22+[1]Protect!$B$23),0)</f>
        <v>10</v>
      </c>
      <c r="AA73" s="172">
        <f>IF(AND(Troupeau!$C$3="BV",Scénario!$K$87&gt;2),Protection!W25*([1]Protect!$B$22+[1]Protect!$B$23),0)</f>
        <v>15</v>
      </c>
      <c r="AB73" s="172">
        <f>IF(AND(Troupeau!$C$3="BV",Scénario!$K$87&gt;2),Protection!X25*([1]Protect!$B$22+[1]Protect!$B$23),0)</f>
        <v>15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23</v>
      </c>
      <c r="BB73" s="172">
        <f t="shared" si="36"/>
        <v>23</v>
      </c>
      <c r="BC73" s="172">
        <f t="shared" si="36"/>
        <v>23</v>
      </c>
      <c r="BD73" s="172">
        <f t="shared" si="36"/>
        <v>23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23</v>
      </c>
      <c r="AW74" s="172">
        <f t="shared" si="36"/>
        <v>23</v>
      </c>
      <c r="AX74" s="172">
        <f t="shared" si="36"/>
        <v>23</v>
      </c>
      <c r="AY74" s="172">
        <f t="shared" si="36"/>
        <v>23</v>
      </c>
      <c r="AZ74" s="172">
        <f t="shared" si="36"/>
        <v>23</v>
      </c>
      <c r="BA74" s="172">
        <f t="shared" si="36"/>
        <v>23</v>
      </c>
      <c r="BB74" s="172">
        <f t="shared" si="36"/>
        <v>23</v>
      </c>
      <c r="BC74" s="172">
        <f t="shared" si="36"/>
        <v>23</v>
      </c>
      <c r="BD74" s="172">
        <f t="shared" si="36"/>
        <v>23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23</v>
      </c>
      <c r="BP74" s="172">
        <f t="shared" si="36"/>
        <v>23</v>
      </c>
      <c r="BQ74" s="172">
        <f t="shared" si="36"/>
        <v>23</v>
      </c>
      <c r="BR74" s="172">
        <f t="shared" si="36"/>
        <v>23</v>
      </c>
      <c r="BS74" s="172">
        <f t="shared" si="36"/>
        <v>23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108.5</v>
      </c>
      <c r="G75" s="197">
        <f>IF(Protection!C195=0,0,[1]Protect!$B$9*Protection!C195*14)</f>
        <v>3.5</v>
      </c>
      <c r="H75" s="197">
        <f>IF(Protection!D195=0,0,[1]Protect!$B$9*Protection!D195*14)</f>
        <v>3.5</v>
      </c>
      <c r="I75" s="197">
        <f>IF(Protection!E195=0,0,[1]Protect!$B$9*Protection!E195*14)</f>
        <v>3.5</v>
      </c>
      <c r="J75" s="197">
        <f>IF(Protection!F195=0,0,[1]Protect!$B$9*Protection!F195*14)</f>
        <v>3.5</v>
      </c>
      <c r="K75" s="197">
        <f>IF(Protection!G195=0,0,[1]Protect!$B$9*Protection!G195*14)</f>
        <v>3.5</v>
      </c>
      <c r="L75" s="197">
        <f>IF(Protection!H195=0,0,[1]Protect!$B$9*Protection!H195*14)</f>
        <v>3.5</v>
      </c>
      <c r="M75" s="197">
        <f>IF(Protection!I195=0,0,[1]Protect!$B$9*Protection!I195*14)</f>
        <v>3.5</v>
      </c>
      <c r="N75" s="197">
        <f>IF(Protection!J195=0,0,[1]Protect!$B$9*Protection!J195*14)</f>
        <v>3.5</v>
      </c>
      <c r="O75" s="197">
        <f>IF(Protection!K195=0,0,[1]Protect!$B$9*Protection!K195*14)</f>
        <v>3.5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7</v>
      </c>
      <c r="S75" s="197">
        <f>IF(Protection!O195=0,0,[1]Protect!$B$9*Protection!O195*14)</f>
        <v>7</v>
      </c>
      <c r="T75" s="197">
        <f>IF(Protection!P195=0,0,[1]Protect!$B$9*Protection!P195*14)</f>
        <v>7</v>
      </c>
      <c r="U75" s="197">
        <f>IF(Protection!Q195=0,0,[1]Protect!$B$9*Protection!Q195*14)</f>
        <v>7</v>
      </c>
      <c r="V75" s="197">
        <f>IF(Protection!R195=0,0,[1]Protect!$B$9*Protection!R195*14)</f>
        <v>7</v>
      </c>
      <c r="W75" s="197">
        <f>IF(Protection!S195=0,0,[1]Protect!$B$9*Protection!S195*14)</f>
        <v>7</v>
      </c>
      <c r="X75" s="197">
        <f>IF(Protection!T195=0,0,[1]Protect!$B$9*Protection!T195*14)</f>
        <v>7</v>
      </c>
      <c r="Y75" s="197">
        <f>IF(Protection!U195=0,0,[1]Protect!$B$9*Protection!U195*14)</f>
        <v>3.5</v>
      </c>
      <c r="Z75" s="197">
        <f>IF(Protection!V195=0,0,[1]Protect!$B$9*Protection!V195*14)</f>
        <v>3.5</v>
      </c>
      <c r="AA75" s="197">
        <f>IF(Protection!W195=0,0,[1]Protect!$B$9*Protection!W195*14)</f>
        <v>3.5</v>
      </c>
      <c r="AB75" s="197">
        <f>IF(Protection!X195=0,0,[1]Protect!$B$9*Protection!X195*14)</f>
        <v>3.5</v>
      </c>
      <c r="AC75" s="197">
        <f>IF(Protection!Y195=0,0,[1]Protect!$B$9*Protection!Y195*14)</f>
        <v>3.5</v>
      </c>
      <c r="AD75" s="197">
        <f>IF(Protection!Z195=0,0,[1]Protect!$B$9*Protection!Z195*14)</f>
        <v>3.5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468.5</v>
      </c>
      <c r="G77" s="45">
        <f t="shared" ref="G77:AD77" si="43">+SUM(G69:G76)</f>
        <v>8.5</v>
      </c>
      <c r="H77" s="45">
        <f t="shared" si="43"/>
        <v>8.5</v>
      </c>
      <c r="I77" s="45">
        <f t="shared" si="43"/>
        <v>8.5</v>
      </c>
      <c r="J77" s="45">
        <f t="shared" si="43"/>
        <v>8.5</v>
      </c>
      <c r="K77" s="45">
        <f t="shared" si="43"/>
        <v>8.5</v>
      </c>
      <c r="L77" s="45">
        <f t="shared" si="43"/>
        <v>13.5</v>
      </c>
      <c r="M77" s="45">
        <f t="shared" si="43"/>
        <v>18.5</v>
      </c>
      <c r="N77" s="45">
        <f t="shared" si="43"/>
        <v>18.5</v>
      </c>
      <c r="O77" s="45">
        <f t="shared" si="43"/>
        <v>28.5</v>
      </c>
      <c r="P77" s="45">
        <f t="shared" si="43"/>
        <v>23.5</v>
      </c>
      <c r="Q77" s="45">
        <f t="shared" si="43"/>
        <v>23.5</v>
      </c>
      <c r="R77" s="45">
        <f t="shared" si="43"/>
        <v>27</v>
      </c>
      <c r="S77" s="45">
        <f t="shared" si="43"/>
        <v>22</v>
      </c>
      <c r="T77" s="45">
        <f t="shared" si="43"/>
        <v>22</v>
      </c>
      <c r="U77" s="45">
        <f t="shared" si="43"/>
        <v>27</v>
      </c>
      <c r="V77" s="45">
        <f t="shared" si="43"/>
        <v>27</v>
      </c>
      <c r="W77" s="45">
        <f t="shared" si="43"/>
        <v>27</v>
      </c>
      <c r="X77" s="45">
        <f t="shared" si="43"/>
        <v>27</v>
      </c>
      <c r="Y77" s="45">
        <f t="shared" si="43"/>
        <v>28.5</v>
      </c>
      <c r="Z77" s="45">
        <f t="shared" si="43"/>
        <v>23.5</v>
      </c>
      <c r="AA77" s="45">
        <f t="shared" si="43"/>
        <v>28.5</v>
      </c>
      <c r="AB77" s="45">
        <f t="shared" si="43"/>
        <v>23.5</v>
      </c>
      <c r="AC77" s="45">
        <f t="shared" si="43"/>
        <v>8.5</v>
      </c>
      <c r="AD77" s="45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0.56999999999999995</v>
      </c>
      <c r="C81" s="189">
        <f>[1]Protect!$B$10</f>
        <v>4</v>
      </c>
      <c r="D81" s="171"/>
      <c r="E81" s="171"/>
      <c r="F81" s="172">
        <f>ROUND(C81*B81*8,0)</f>
        <v>18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3</v>
      </c>
      <c r="AW81" s="172">
        <f t="shared" ref="AW81:BS81" si="44">COUNTIF(AW$71:AW$80,23)</f>
        <v>3</v>
      </c>
      <c r="AX81" s="172">
        <f t="shared" si="44"/>
        <v>3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1</v>
      </c>
      <c r="BP81" s="172">
        <f t="shared" si="44"/>
        <v>2</v>
      </c>
      <c r="BQ81" s="172">
        <f t="shared" si="44"/>
        <v>3</v>
      </c>
      <c r="BR81" s="172">
        <f t="shared" si="44"/>
        <v>3</v>
      </c>
      <c r="BS81" s="172">
        <f t="shared" si="44"/>
        <v>3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3.4380000000000002</v>
      </c>
      <c r="C83" s="189">
        <f>[1]Protect!$B$24+[1]Protect!$B$26</f>
        <v>0.33</v>
      </c>
      <c r="D83" s="171"/>
      <c r="E83" s="171"/>
      <c r="F83" s="172">
        <f>ROUND(B83*C83,1)</f>
        <v>1.1000000000000001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1</v>
      </c>
      <c r="AW83" s="172">
        <f t="shared" ref="AW83:BS83" si="50">COUNTIF(AW$71:AW$80,22)</f>
        <v>1</v>
      </c>
      <c r="AX83" s="172">
        <f t="shared" si="50"/>
        <v>1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2</v>
      </c>
      <c r="BP83" s="172">
        <f t="shared" si="50"/>
        <v>1</v>
      </c>
      <c r="BQ83" s="172">
        <f t="shared" si="50"/>
        <v>1</v>
      </c>
      <c r="BR83" s="172">
        <f t="shared" si="50"/>
        <v>1</v>
      </c>
      <c r="BS83" s="172">
        <f t="shared" si="50"/>
        <v>1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2.8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23</v>
      </c>
      <c r="BB85" s="61">
        <f t="shared" si="56"/>
        <v>23</v>
      </c>
      <c r="BC85" s="61">
        <f t="shared" si="56"/>
        <v>23</v>
      </c>
      <c r="BD85" s="61">
        <f t="shared" si="56"/>
        <v>23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23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1575.0413913043478</v>
      </c>
      <c r="C91" s="5"/>
      <c r="D91" s="201">
        <f>B91/Troupeau!$B$17</f>
        <v>5.181057208237986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638.4</v>
      </c>
      <c r="C92" s="5"/>
      <c r="D92" s="201">
        <f>IF(B92=0,0,B92/Troupeau!$C$17)</f>
        <v>27.756521739130434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2213.4413913043477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1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1">
        <f>IF(B96=0,0,B96/Troupeau!$C$17)</f>
        <v>4.1739130434782608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96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366.12173913043478</v>
      </c>
      <c r="AW99" s="61">
        <f t="shared" ref="AW99:BS99" si="68">SUM(AW90:AW98)</f>
        <v>363.47826086956525</v>
      </c>
      <c r="AX99" s="61">
        <f t="shared" si="68"/>
        <v>360.83478260869566</v>
      </c>
      <c r="AY99" s="61">
        <f t="shared" si="68"/>
        <v>359.5130434782609</v>
      </c>
      <c r="AZ99" s="61">
        <f t="shared" si="68"/>
        <v>358.19130434782608</v>
      </c>
      <c r="BA99" s="61">
        <f t="shared" si="68"/>
        <v>356.86956521739131</v>
      </c>
      <c r="BB99" s="61">
        <f t="shared" si="68"/>
        <v>355.54782608695655</v>
      </c>
      <c r="BC99" s="61">
        <f t="shared" si="68"/>
        <v>354.22608695652178</v>
      </c>
      <c r="BD99" s="61">
        <f t="shared" si="68"/>
        <v>351.5826086956522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311.9304347826087</v>
      </c>
      <c r="BP99" s="61">
        <f t="shared" si="68"/>
        <v>311.9304347826087</v>
      </c>
      <c r="BQ99" s="61">
        <f t="shared" si="68"/>
        <v>366.12173913043478</v>
      </c>
      <c r="BR99" s="61">
        <f t="shared" si="68"/>
        <v>366.12173913043478</v>
      </c>
      <c r="BS99" s="61">
        <f t="shared" si="68"/>
        <v>366.12173913043478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7.3224347826086955</v>
      </c>
      <c r="AW100" s="172">
        <f t="shared" ref="AW100:BS100" si="71">IF($AT$2="OL",AW99/50,AW99/10)</f>
        <v>7.269565217391305</v>
      </c>
      <c r="AX100" s="172">
        <f t="shared" si="71"/>
        <v>7.2166956521739136</v>
      </c>
      <c r="AY100" s="172">
        <f t="shared" si="71"/>
        <v>7.1902608695652184</v>
      </c>
      <c r="AZ100" s="172">
        <f t="shared" si="71"/>
        <v>7.1638260869565213</v>
      </c>
      <c r="BA100" s="172">
        <f t="shared" si="71"/>
        <v>7.1373913043478261</v>
      </c>
      <c r="BB100" s="172">
        <f t="shared" si="71"/>
        <v>7.1109565217391308</v>
      </c>
      <c r="BC100" s="172">
        <f t="shared" si="71"/>
        <v>7.0845217391304356</v>
      </c>
      <c r="BD100" s="172">
        <f t="shared" si="71"/>
        <v>7.0316521739130442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6.2386086956521742</v>
      </c>
      <c r="BP100" s="172">
        <f t="shared" si="71"/>
        <v>6.2386086956521742</v>
      </c>
      <c r="BQ100" s="172">
        <f t="shared" si="71"/>
        <v>7.3224347826086955</v>
      </c>
      <c r="BR100" s="172">
        <f t="shared" si="71"/>
        <v>7.3224347826086955</v>
      </c>
      <c r="BS100" s="172">
        <f t="shared" si="71"/>
        <v>7.3224347826086955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6.3224347826086955</v>
      </c>
      <c r="AW101" s="172">
        <f t="shared" ref="AW101:BS101" si="74">IF(AW100&gt;1,AW100-1,0)</f>
        <v>6.269565217391305</v>
      </c>
      <c r="AX101" s="172">
        <f t="shared" si="74"/>
        <v>6.2166956521739136</v>
      </c>
      <c r="AY101" s="172">
        <f t="shared" si="74"/>
        <v>6.1902608695652184</v>
      </c>
      <c r="AZ101" s="172">
        <f t="shared" si="74"/>
        <v>6.1638260869565213</v>
      </c>
      <c r="BA101" s="172">
        <f t="shared" si="74"/>
        <v>6.1373913043478261</v>
      </c>
      <c r="BB101" s="172">
        <f t="shared" si="74"/>
        <v>6.1109565217391308</v>
      </c>
      <c r="BC101" s="172">
        <f t="shared" si="74"/>
        <v>6.0845217391304356</v>
      </c>
      <c r="BD101" s="172">
        <f t="shared" si="74"/>
        <v>6.0316521739130442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5.2386086956521742</v>
      </c>
      <c r="BP101" s="172">
        <f t="shared" si="74"/>
        <v>5.2386086956521742</v>
      </c>
      <c r="BQ101" s="172">
        <f t="shared" si="74"/>
        <v>6.3224347826086955</v>
      </c>
      <c r="BR101" s="172">
        <f t="shared" si="74"/>
        <v>6.3224347826086955</v>
      </c>
      <c r="BS101" s="172">
        <f t="shared" si="74"/>
        <v>6.3224347826086955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53.064260869565217</v>
      </c>
      <c r="AW102" s="61">
        <f t="shared" ref="AW102:BS102" si="77">AW86+AW87*AW101</f>
        <v>52.971739130434784</v>
      </c>
      <c r="AX102" s="61">
        <f t="shared" si="77"/>
        <v>52.879217391304351</v>
      </c>
      <c r="AY102" s="61">
        <f t="shared" si="77"/>
        <v>52.832956521739135</v>
      </c>
      <c r="AZ102" s="61">
        <f t="shared" si="77"/>
        <v>52.786695652173911</v>
      </c>
      <c r="BA102" s="61">
        <f t="shared" si="77"/>
        <v>52.740434782608695</v>
      </c>
      <c r="BB102" s="61">
        <f t="shared" si="77"/>
        <v>52.694173913043478</v>
      </c>
      <c r="BC102" s="61">
        <f t="shared" si="77"/>
        <v>52.647913043478262</v>
      </c>
      <c r="BD102" s="61">
        <f t="shared" si="77"/>
        <v>52.555391304347829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51.167565217391306</v>
      </c>
      <c r="BP102" s="61">
        <f t="shared" si="77"/>
        <v>51.167565217391306</v>
      </c>
      <c r="BQ102" s="61">
        <f t="shared" si="77"/>
        <v>53.064260869565217</v>
      </c>
      <c r="BR102" s="61">
        <f t="shared" si="77"/>
        <v>53.064260869565217</v>
      </c>
      <c r="BS102" s="61">
        <f t="shared" si="77"/>
        <v>53.064260869565217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21</v>
      </c>
      <c r="BH106" s="189">
        <f>IF(BH60&gt;0,HLOOKUP(BH60,[1]Trav!$C$11:$O$31,$AU$105),0)</f>
        <v>21</v>
      </c>
      <c r="BI106" s="189">
        <f>IF(BI60&gt;0,HLOOKUP(BI60,[1]Trav!$C$11:$O$31,$AU$105),0)</f>
        <v>21</v>
      </c>
      <c r="BJ106" s="189">
        <f>IF(BJ60&gt;0,HLOOKUP(BJ60,[1]Trav!$C$11:$O$31,$AU$105),0)</f>
        <v>21</v>
      </c>
      <c r="BK106" s="189">
        <f>IF(BK60&gt;0,HLOOKUP(BK60,[1]Trav!$C$11:$O$31,$AU$105),0)</f>
        <v>21</v>
      </c>
      <c r="BL106" s="189">
        <f>IF(BL60&gt;0,HLOOKUP(BL60,[1]Trav!$C$11:$O$31,$AU$105),0)</f>
        <v>21</v>
      </c>
      <c r="BM106" s="189">
        <f>IF(BM60&gt;0,HLOOKUP(BM60,[1]Trav!$C$11:$O$31,$AU$105),0)</f>
        <v>21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14</v>
      </c>
      <c r="AW107" s="189">
        <f>IF(AW61&gt;0,HLOOKUP(AW61,[1]Trav!$C$11:$O$31,$AU$105),0)</f>
        <v>14</v>
      </c>
      <c r="AX107" s="189">
        <f>IF(AX61&gt;0,HLOOKUP(AX61,[1]Trav!$C$11:$O$31,$AU$105),0)</f>
        <v>14</v>
      </c>
      <c r="AY107" s="189">
        <f>IF(AY61&gt;0,HLOOKUP(AY61,[1]Trav!$C$11:$O$31,$AU$105),0)</f>
        <v>14</v>
      </c>
      <c r="AZ107" s="189">
        <f>IF(AZ61&gt;0,HLOOKUP(AZ61,[1]Trav!$C$11:$O$31,$AU$105),0)</f>
        <v>14</v>
      </c>
      <c r="BA107" s="189">
        <f>IF(BA61&gt;0,HLOOKUP(BA61,[1]Trav!$C$11:$O$31,$AU$105),0)</f>
        <v>14</v>
      </c>
      <c r="BB107" s="189">
        <f>IF(BB61&gt;0,HLOOKUP(BB61,[1]Trav!$C$11:$O$31,$AU$105),0)</f>
        <v>14</v>
      </c>
      <c r="BC107" s="189">
        <f>IF(BC61&gt;0,HLOOKUP(BC61,[1]Trav!$C$11:$O$31,$AU$105),0)</f>
        <v>14</v>
      </c>
      <c r="BD107" s="189">
        <f>IF(BD61&gt;0,HLOOKUP(BD61,[1]Trav!$C$11:$O$31,$AU$105),0)</f>
        <v>14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14</v>
      </c>
      <c r="BP107" s="189">
        <f>IF(BP61&gt;0,HLOOKUP(BP61,[1]Trav!$C$11:$O$31,$AU$105),0)</f>
        <v>14</v>
      </c>
      <c r="BQ107" s="189">
        <f>IF(BQ61&gt;0,HLOOKUP(BQ61,[1]Trav!$C$11:$O$31,$AU$105),0)</f>
        <v>14</v>
      </c>
      <c r="BR107" s="189">
        <f>IF(BR61&gt;0,HLOOKUP(BR61,[1]Trav!$C$11:$O$31,$AU$105),0)</f>
        <v>14</v>
      </c>
      <c r="BS107" s="189">
        <f>IF(BS61&gt;0,HLOOKUP(BS61,[1]Trav!$C$11:$O$31,$AU$105),0)</f>
        <v>14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249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200</v>
      </c>
      <c r="D109" s="196"/>
      <c r="AT109" s="188" t="str">
        <f t="shared" si="80"/>
        <v>beliers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200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3.9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14</v>
      </c>
      <c r="AW117" s="172">
        <f t="shared" ref="AW117:BS117" si="83">SUM(AW106:AW115)</f>
        <v>14</v>
      </c>
      <c r="AX117" s="172">
        <f t="shared" si="83"/>
        <v>14</v>
      </c>
      <c r="AY117" s="172">
        <f t="shared" si="83"/>
        <v>14</v>
      </c>
      <c r="AZ117" s="172">
        <f t="shared" si="83"/>
        <v>14</v>
      </c>
      <c r="BA117" s="172">
        <f t="shared" si="83"/>
        <v>28</v>
      </c>
      <c r="BB117" s="172">
        <f t="shared" si="83"/>
        <v>28</v>
      </c>
      <c r="BC117" s="172">
        <f t="shared" si="83"/>
        <v>28</v>
      </c>
      <c r="BD117" s="172">
        <f t="shared" si="83"/>
        <v>28</v>
      </c>
      <c r="BE117" s="172">
        <f t="shared" si="83"/>
        <v>28</v>
      </c>
      <c r="BF117" s="172">
        <f t="shared" si="83"/>
        <v>28</v>
      </c>
      <c r="BG117" s="172">
        <f t="shared" si="83"/>
        <v>35</v>
      </c>
      <c r="BH117" s="172">
        <f t="shared" si="83"/>
        <v>35</v>
      </c>
      <c r="BI117" s="172">
        <f t="shared" si="83"/>
        <v>35</v>
      </c>
      <c r="BJ117" s="172">
        <f t="shared" si="83"/>
        <v>35</v>
      </c>
      <c r="BK117" s="172">
        <f t="shared" si="83"/>
        <v>35</v>
      </c>
      <c r="BL117" s="172">
        <f t="shared" si="83"/>
        <v>35</v>
      </c>
      <c r="BM117" s="172">
        <f t="shared" si="83"/>
        <v>35</v>
      </c>
      <c r="BN117" s="172">
        <f t="shared" si="83"/>
        <v>28</v>
      </c>
      <c r="BO117" s="172">
        <f t="shared" si="83"/>
        <v>28</v>
      </c>
      <c r="BP117" s="172">
        <f t="shared" si="83"/>
        <v>14</v>
      </c>
      <c r="BQ117" s="172">
        <f t="shared" si="83"/>
        <v>14</v>
      </c>
      <c r="BR117" s="172">
        <f t="shared" si="83"/>
        <v>14</v>
      </c>
      <c r="BS117" s="172">
        <f t="shared" si="83"/>
        <v>14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8.75</v>
      </c>
      <c r="CM117" s="172">
        <f t="shared" si="84"/>
        <v>8.75</v>
      </c>
      <c r="CN117" s="172">
        <f t="shared" si="84"/>
        <v>8.75</v>
      </c>
      <c r="CO117" s="172">
        <f t="shared" si="84"/>
        <v>8.75</v>
      </c>
      <c r="CP117" s="172">
        <f t="shared" si="84"/>
        <v>8.75</v>
      </c>
      <c r="CQ117" s="172">
        <f t="shared" si="84"/>
        <v>8.75</v>
      </c>
      <c r="CR117" s="172">
        <f t="shared" si="84"/>
        <v>8.75</v>
      </c>
      <c r="CS117" s="172">
        <f t="shared" si="84"/>
        <v>8.75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2755.2047246376815</v>
      </c>
      <c r="D118" s="201">
        <f>B118/Troupeau!$B$17</f>
        <v>9.063173436308162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836.4</v>
      </c>
      <c r="D119" s="201">
        <f>IF(B119=0,0,B119/Troupeau!$C$17)</f>
        <v>36.365217391304348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3591.6047246376816</v>
      </c>
    </row>
    <row r="123" spans="1:132" x14ac:dyDescent="0.25">
      <c r="A123" s="2" t="s">
        <v>856</v>
      </c>
      <c r="B123" s="30">
        <f>B108</f>
        <v>249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200</v>
      </c>
    </row>
    <row r="126" spans="1:132" x14ac:dyDescent="0.25">
      <c r="A126" s="2" t="s">
        <v>872</v>
      </c>
      <c r="B126" s="30">
        <f>B114+B115+B116</f>
        <v>21.9</v>
      </c>
    </row>
    <row r="128" spans="1:132" x14ac:dyDescent="0.25">
      <c r="A128" s="2" t="s">
        <v>873</v>
      </c>
      <c r="B128" s="200">
        <f>SUM(B122:B126)</f>
        <v>4662.5047246376816</v>
      </c>
    </row>
    <row r="129" spans="1:2" x14ac:dyDescent="0.25">
      <c r="A129" s="2" t="s">
        <v>874</v>
      </c>
      <c r="B129" s="30">
        <f>IF(Scénario!K129=1,Travail!F77+Travail!F86,F86)</f>
        <v>468.5</v>
      </c>
    </row>
    <row r="130" spans="1:2" x14ac:dyDescent="0.25">
      <c r="A130" s="2" t="s">
        <v>875</v>
      </c>
      <c r="B130" s="200">
        <f>ROUND((B128-B129)/(Scénario!K4+Scénario!K6),0)</f>
        <v>2796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abSelected="1" topLeftCell="M230" zoomScale="90" zoomScaleNormal="90" workbookViewId="0">
      <selection activeCell="AA245" sqref="AA24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1.23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60.239999999999995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60.239999999999995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10.239999999999995</v>
      </c>
      <c r="AC40" s="189">
        <f>[1]Eco!$B$34</f>
        <v>70</v>
      </c>
      <c r="AD40" s="172">
        <f t="shared" si="21"/>
        <v>716.79999999999961</v>
      </c>
      <c r="AE40" s="281">
        <f>IF($AJ$40=0,AB40*$AC$40,AD40*$AJ$40/100)</f>
        <v>716.79999999999961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14923.8</v>
      </c>
      <c r="AE41" s="282">
        <f>ROUND(SUM(AE38:AE40)*T25,0)</f>
        <v>14924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60.239999999999995</v>
      </c>
      <c r="C42" s="214">
        <f>[1]Eco!$B$24</f>
        <v>97</v>
      </c>
      <c r="J42" s="172">
        <f>B42*C42</f>
        <v>5843.28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60.239999999999995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4036.0799999999995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14924</v>
      </c>
      <c r="K45" s="172"/>
      <c r="L45" s="172"/>
      <c r="M45" s="172"/>
      <c r="N45" s="172"/>
      <c r="O45" s="209"/>
      <c r="U45" s="14" t="s">
        <v>990</v>
      </c>
      <c r="V45" s="172">
        <f>S55</f>
        <v>30.08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2893.6000000000004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60.239999999999995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103336.16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64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64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30.08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113.72845</v>
      </c>
      <c r="C118" s="189">
        <f>IF(Scénario!$K$12="BV",[1]Eco!$B$78,IF(Scénario!$K$12="BL",[1]Eco!$B$77,[1]Eco!$B$76))</f>
        <v>223</v>
      </c>
      <c r="J118" s="172">
        <f>B118*C118</f>
        <v>25361.444349999998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9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405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2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121.02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11.9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806.22500000000002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3617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309.42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62793.009349999993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13.9</v>
      </c>
      <c r="X153" t="s">
        <v>52</v>
      </c>
      <c r="Y153" s="172">
        <f>W153-Scénario!K28</f>
        <v>-8.2999999999999989</v>
      </c>
      <c r="Z153" s="172">
        <f>Y153-Y156</f>
        <v>-7.4699999999999989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11.9</v>
      </c>
      <c r="X154" t="s">
        <v>52</v>
      </c>
      <c r="Y154" s="172">
        <f>W154-Scénario!K29</f>
        <v>-0.20000000000000107</v>
      </c>
      <c r="Z154" s="172">
        <f>Y154</f>
        <v>-0.20000000000000107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-0.82999999999999985</v>
      </c>
      <c r="Z156" s="172">
        <f t="shared" si="68"/>
        <v>-0.82999999999999985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-7.4699999999999989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-270.41399999999999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-0.20000000000000107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-6.000000000000032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-0.82999999999999985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-128.98199999999997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0.6</v>
      </c>
      <c r="T165" s="172">
        <f>VLOOKUP(R165,[1]MEP!$A$4:$M$300,13)</f>
        <v>2</v>
      </c>
      <c r="U165" s="172">
        <f t="shared" ref="U165:U207" si="72">IF($T165&gt;0,$S165,0)</f>
        <v>0.6</v>
      </c>
      <c r="V165" s="172">
        <f t="shared" ref="V165:V207" si="73">IF($T165&gt;1,$S165,0)</f>
        <v>0.6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0.6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0.6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2</v>
      </c>
      <c r="T166" s="172">
        <f>VLOOKUP(R166,[1]MEP!$A$4:$M$300,13)</f>
        <v>1</v>
      </c>
      <c r="U166" s="172">
        <f t="shared" si="72"/>
        <v>2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2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2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330.40000000000003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3512.1520000000005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0</v>
      </c>
      <c r="T167" s="172">
        <f>VLOOKUP(R167,[1]MEP!$A$4:$M$300,13)</f>
        <v>1</v>
      </c>
      <c r="U167" s="172">
        <f t="shared" si="72"/>
        <v>0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0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7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7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7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266</v>
      </c>
      <c r="S169" s="172">
        <f>'Alim -Surf'!R12</f>
        <v>1.5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1.5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1.5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27959.648000000001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12583.502650000009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8389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508.64911992841104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1074.8535300715985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717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4.4000000000000004</v>
      </c>
      <c r="T187" s="172">
        <f>VLOOKUP(R187,[1]MEP!$A$4:$M$300,13)</f>
        <v>2</v>
      </c>
      <c r="U187" s="172">
        <f t="shared" si="72"/>
        <v>4.4000000000000004</v>
      </c>
      <c r="V187" s="172">
        <f t="shared" si="73"/>
        <v>4.4000000000000004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4.4000000000000004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4.4000000000000004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0.5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0.5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0.5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13.9</v>
      </c>
      <c r="V228" s="61">
        <f t="shared" ref="V228:W228" si="84">SUM(V164:V227)</f>
        <v>11.9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9</v>
      </c>
      <c r="AI228" s="61">
        <f t="shared" si="86"/>
        <v>2</v>
      </c>
      <c r="AJ228" s="61">
        <f t="shared" si="86"/>
        <v>11.9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3438</v>
      </c>
      <c r="U234" t="s">
        <v>1101</v>
      </c>
      <c r="V234" s="172"/>
      <c r="W234" s="172">
        <f>[1]Protect!$B$4</f>
        <v>6</v>
      </c>
      <c r="X234" s="172">
        <f>T234*W234</f>
        <v>20628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20628</v>
      </c>
      <c r="Z237" s="30">
        <f>IF(Scénario!K84=1,MIN(0.8*'Calcul éco'!X237,[1]Protect!$B$68),IF(Scénario!K84=2,MIN(0.8*'Calcul éco'!X237,[1]Protect!$B$67),0))</f>
        <v>16502.400000000001</v>
      </c>
      <c r="AA237" s="30">
        <f>X237-Z237</f>
        <v>4125.5999999999985</v>
      </c>
      <c r="AB237" s="30">
        <f>(Scénario!K127/100)*AA237</f>
        <v>0</v>
      </c>
      <c r="AC237" s="30">
        <f>AA237-AB237</f>
        <v>4125.5999999999985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508.64911992841104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2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1117</v>
      </c>
      <c r="X248" s="172">
        <f>SUM(X245:X247)</f>
        <v>3617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2">
        <f>IF(T256=0,0,[1]Protect!$B76)</f>
        <v>7500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2">
        <f>IF(T258=0,0,[1]Protect!$B78)</f>
        <v>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2893.6000000000004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2893.6000000000004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51.57</v>
      </c>
      <c r="U272" s="172"/>
      <c r="V272" s="172"/>
      <c r="W272" s="172">
        <f>W234</f>
        <v>6</v>
      </c>
      <c r="X272" s="172">
        <f>T272*W272</f>
        <v>309.42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4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Z1_OLBV_T3_Ms3</v>
      </c>
      <c r="D1" s="274" t="str">
        <f>CONCATENATE(C1,"_corr")</f>
        <v>Z1_OLBV_T3_Ms3_corr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570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571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574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577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4</v>
      </c>
      <c r="D31" s="176">
        <f t="shared" si="0"/>
        <v>4</v>
      </c>
    </row>
    <row r="32" spans="2:5" x14ac:dyDescent="0.25">
      <c r="B32" s="14" t="s">
        <v>584</v>
      </c>
      <c r="C32" s="176">
        <f>Scénario!K62</f>
        <v>16</v>
      </c>
      <c r="D32" s="176">
        <f t="shared" si="0"/>
        <v>16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64</v>
      </c>
      <c r="D39" s="176">
        <f t="shared" si="0"/>
        <v>64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64</v>
      </c>
      <c r="D41" s="176">
        <f t="shared" si="0"/>
        <v>64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3</v>
      </c>
      <c r="D51" s="176">
        <f t="shared" si="0"/>
        <v>3</v>
      </c>
      <c r="E51" s="14"/>
    </row>
    <row r="52" spans="1:132" x14ac:dyDescent="0.25">
      <c r="B52" s="19" t="s">
        <v>596</v>
      </c>
      <c r="C52" s="176">
        <f>Scénario!K84</f>
        <v>1</v>
      </c>
      <c r="D52" s="176">
        <f t="shared" si="0"/>
        <v>1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13.9</v>
      </c>
      <c r="D85" s="260">
        <f>ROUND(C85*$D$82/$C$82,3)</f>
        <v>15.29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11.9</v>
      </c>
      <c r="D86" s="260">
        <f t="shared" ref="D86:D97" si="14">ROUND(C86*$D$82/$C$82,3)</f>
        <v>13.09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1.39</v>
      </c>
      <c r="D88" s="260">
        <f t="shared" si="14"/>
        <v>1.5289999999999999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2</v>
      </c>
      <c r="D98" s="172">
        <f>C98</f>
        <v>2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2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3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5</v>
      </c>
      <c r="D101" s="172">
        <f t="shared" si="25"/>
        <v>5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3</v>
      </c>
      <c r="AW101" s="172">
        <f>IF(CdTrp1!C55=1,3,IF(CdTrp1!C55=0.5,2,IF(CdTrp1!C55=0,1,0)))</f>
        <v>3</v>
      </c>
      <c r="AX101" s="172">
        <f>IF(CdTrp1!D55=1,3,IF(CdTrp1!D55=0.5,2,IF(CdTrp1!D55=0,1,0)))</f>
        <v>3</v>
      </c>
      <c r="AY101" s="172">
        <f>IF(CdTrp1!E55=1,3,IF(CdTrp1!E55=0.5,2,IF(CdTrp1!E55=0,1,0)))</f>
        <v>3</v>
      </c>
      <c r="AZ101" s="172">
        <f>IF(CdTrp1!F55=1,3,IF(CdTrp1!F55=0.5,2,IF(CdTrp1!F55=0,1,0)))</f>
        <v>3</v>
      </c>
      <c r="BA101" s="172">
        <f>IF(CdTrp1!G55=1,3,IF(CdTrp1!G55=0.5,2,IF(CdTrp1!G55=0,1,0)))</f>
        <v>3</v>
      </c>
      <c r="BB101" s="172">
        <f>IF(CdTrp1!H55=1,3,IF(CdTrp1!H55=0.5,2,IF(CdTrp1!H55=0,1,0)))</f>
        <v>3</v>
      </c>
      <c r="BC101" s="172">
        <f>IF(CdTrp1!I55=1,3,IF(CdTrp1!I55=0.5,2,IF(CdTrp1!I55=0,1,0)))</f>
        <v>3</v>
      </c>
      <c r="BD101" s="172">
        <f>IF(CdTrp1!J55=1,3,IF(CdTrp1!J55=0.5,2,IF(CdTrp1!J55=0,1,0)))</f>
        <v>3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3</v>
      </c>
      <c r="BP101" s="172">
        <f>IF(CdTrp1!V55=1,3,IF(CdTrp1!V55=0.5,2,IF(CdTrp1!V55=0,1,0)))</f>
        <v>3</v>
      </c>
      <c r="BQ101" s="172">
        <f>IF(CdTrp1!W55=1,3,IF(CdTrp1!W55=0.5,2,IF(CdTrp1!W55=0,1,0)))</f>
        <v>3</v>
      </c>
      <c r="BR101" s="172">
        <f>IF(CdTrp1!X55=1,3,IF(CdTrp1!X55=0.5,2,IF(CdTrp1!X55=0,1,0)))</f>
        <v>3</v>
      </c>
      <c r="BS101" s="172">
        <f>IF(CdTrp1!Y55=1,3,IF(CdTrp1!Y55=0.5,2,IF(CdTrp1!Y55=0,1,0)))</f>
        <v>3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20</v>
      </c>
      <c r="D106" s="172">
        <f t="shared" si="25"/>
        <v>20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42</v>
      </c>
      <c r="D109" s="172">
        <f t="shared" si="25"/>
        <v>42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20</v>
      </c>
      <c r="D110" s="172">
        <f t="shared" si="25"/>
        <v>20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1</v>
      </c>
      <c r="AW110" s="172">
        <f>IF(CdTrp1!C77=1,1,IF(CdTrp1!C77=2,2,IF(CdTrp1!C77=3,2,IF(CdTrp1!C77=4,4,0))))</f>
        <v>1</v>
      </c>
      <c r="AX110" s="172">
        <f>IF(CdTrp1!D77=1,1,IF(CdTrp1!D77=2,2,IF(CdTrp1!D77=3,2,IF(CdTrp1!D77=4,4,0))))</f>
        <v>1</v>
      </c>
      <c r="AY110" s="172">
        <f>IF(CdTrp1!E77=1,1,IF(CdTrp1!E77=2,2,IF(CdTrp1!E77=3,2,IF(CdTrp1!E77=4,4,0))))</f>
        <v>1</v>
      </c>
      <c r="AZ110" s="172">
        <f>IF(CdTrp1!F77=1,1,IF(CdTrp1!F77=2,2,IF(CdTrp1!F77=3,2,IF(CdTrp1!F77=4,4,0))))</f>
        <v>1</v>
      </c>
      <c r="BA110" s="172">
        <f>IF(CdTrp1!G77=1,1,IF(CdTrp1!G77=2,2,IF(CdTrp1!G77=3,2,IF(CdTrp1!G77=4,4,0))))</f>
        <v>1</v>
      </c>
      <c r="BB110" s="172">
        <f>IF(CdTrp1!H77=1,1,IF(CdTrp1!H77=2,2,IF(CdTrp1!H77=3,2,IF(CdTrp1!H77=4,4,0))))</f>
        <v>1</v>
      </c>
      <c r="BC110" s="172">
        <f>IF(CdTrp1!I77=1,1,IF(CdTrp1!I77=2,2,IF(CdTrp1!I77=3,2,IF(CdTrp1!I77=4,4,0))))</f>
        <v>1</v>
      </c>
      <c r="BD110" s="172">
        <f>IF(CdTrp1!J77=1,1,IF(CdTrp1!J77=2,2,IF(CdTrp1!J77=3,2,IF(CdTrp1!J77=4,4,0))))</f>
        <v>1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1</v>
      </c>
      <c r="BP110" s="172">
        <f>IF(CdTrp1!V77=1,1,IF(CdTrp1!V77=2,2,IF(CdTrp1!V77=3,2,IF(CdTrp1!V77=4,4,0))))</f>
        <v>1</v>
      </c>
      <c r="BQ110" s="172">
        <f>IF(CdTrp1!W77=1,1,IF(CdTrp1!W77=2,2,IF(CdTrp1!W77=3,2,IF(CdTrp1!W77=4,4,0))))</f>
        <v>1</v>
      </c>
      <c r="BR110" s="172">
        <f>IF(CdTrp1!X77=1,1,IF(CdTrp1!X77=2,2,IF(CdTrp1!X77=3,2,IF(CdTrp1!X77=4,4,0))))</f>
        <v>1</v>
      </c>
      <c r="BS110" s="172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10</v>
      </c>
      <c r="D111" s="172">
        <f t="shared" si="25"/>
        <v>10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211</v>
      </c>
      <c r="BH121" s="172">
        <f>IF(BH75=0,0,IF(BH98=3,0,VALUE(CONCATENATE(Travail!BH26,Travail!BH37,Travail!BH48))))</f>
        <v>211</v>
      </c>
      <c r="BI121" s="172">
        <f>IF(BI75=0,0,IF(BI98=3,0,VALUE(CONCATENATE(Travail!BI26,Travail!BI37,Travail!BI48))))</f>
        <v>211</v>
      </c>
      <c r="BJ121" s="172">
        <f>IF(BJ75=0,0,IF(BJ98=3,0,VALUE(CONCATENATE(Travail!BJ26,Travail!BJ37,Travail!BJ48))))</f>
        <v>211</v>
      </c>
      <c r="BK121" s="172">
        <f>IF(BK75=0,0,IF(BK98=3,0,VALUE(CONCATENATE(Travail!BK26,Travail!BK37,Travail!BK48))))</f>
        <v>211</v>
      </c>
      <c r="BL121" s="172">
        <f>IF(BL75=0,0,IF(BL98=3,0,VALUE(CONCATENATE(Travail!BL26,Travail!BL37,Travail!BL48))))</f>
        <v>211</v>
      </c>
      <c r="BM121" s="172">
        <f>IF(BM75=0,0,IF(BM98=3,0,VALUE(CONCATENATE(Travail!BM26,Travail!BM37,Travail!BM48))))</f>
        <v>211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210</v>
      </c>
      <c r="CM121" s="172">
        <f>IF(CM75=0,0,VALUE(CONCATENATE(Travail!CM26,Travail!CM37,Travail!CM48)))</f>
        <v>210</v>
      </c>
      <c r="CN121" s="172">
        <f>IF(CN75=0,0,VALUE(CONCATENATE(Travail!CN26,Travail!CN37,Travail!CN48)))</f>
        <v>210</v>
      </c>
      <c r="CO121" s="172">
        <f>IF(CO75=0,0,VALUE(CONCATENATE(Travail!CO26,Travail!CO37,Travail!CO48)))</f>
        <v>210</v>
      </c>
      <c r="CP121" s="172">
        <f>IF(CP75=0,0,VALUE(CONCATENATE(Travail!CP26,Travail!CP37,Travail!CP48)))</f>
        <v>210</v>
      </c>
      <c r="CQ121" s="172">
        <f>IF(CQ75=0,0,VALUE(CONCATENATE(Travail!CQ26,Travail!CQ37,Travail!CQ48)))</f>
        <v>210</v>
      </c>
      <c r="CR121" s="172">
        <f>IF(CR75=0,0,VALUE(CONCATENATE(Travail!CR26,Travail!CR37,Travail!CR48)))</f>
        <v>210</v>
      </c>
      <c r="CS121" s="172">
        <f>IF(CS75=0,0,VALUE(CONCATENATE(Travail!CS26,Travail!CS37,Travail!CS48)))</f>
        <v>210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0</v>
      </c>
      <c r="D122" s="172">
        <f t="shared" si="25"/>
        <v>0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221</v>
      </c>
      <c r="AW122" s="172">
        <f>IF(AW76=0,0,IF(AW99=3,0,VALUE(CONCATENATE(Travail!AW27,Travail!AW38,Travail!AW49))))</f>
        <v>221</v>
      </c>
      <c r="AX122" s="172">
        <f>IF(AX76=0,0,IF(AX99=3,0,VALUE(CONCATENATE(Travail!AX27,Travail!AX38,Travail!AX49))))</f>
        <v>221</v>
      </c>
      <c r="AY122" s="172">
        <f>IF(AY76=0,0,IF(AY99=3,0,VALUE(CONCATENATE(Travail!AY27,Travail!AY38,Travail!AY49))))</f>
        <v>221</v>
      </c>
      <c r="AZ122" s="172">
        <f>IF(AZ76=0,0,IF(AZ99=3,0,VALUE(CONCATENATE(Travail!AZ27,Travail!AZ38,Travail!AZ49))))</f>
        <v>221</v>
      </c>
      <c r="BA122" s="172">
        <f>IF(BA76=0,0,IF(BA99=3,0,VALUE(CONCATENATE(Travail!BA27,Travail!BA38,Travail!BA49))))</f>
        <v>221</v>
      </c>
      <c r="BB122" s="172">
        <f>IF(BB76=0,0,IF(BB99=3,0,VALUE(CONCATENATE(Travail!BB27,Travail!BB38,Travail!BB49))))</f>
        <v>221</v>
      </c>
      <c r="BC122" s="172">
        <f>IF(BC76=0,0,IF(BC99=3,0,VALUE(CONCATENATE(Travail!BC27,Travail!BC38,Travail!BC49))))</f>
        <v>221</v>
      </c>
      <c r="BD122" s="172">
        <f>IF(BD76=0,0,IF(BD99=3,0,VALUE(CONCATENATE(Travail!BD27,Travail!BD38,Travail!BD49))))</f>
        <v>221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221</v>
      </c>
      <c r="BP122" s="172">
        <f>IF(BP76=0,0,IF(BP99=3,0,VALUE(CONCATENATE(Travail!BP27,Travail!BP38,Travail!BP49))))</f>
        <v>221</v>
      </c>
      <c r="BQ122" s="172">
        <f>IF(BQ76=0,0,IF(BQ99=3,0,VALUE(CONCATENATE(Travail!BQ27,Travail!BQ38,Travail!BQ49))))</f>
        <v>221</v>
      </c>
      <c r="BR122" s="172">
        <f>IF(BR76=0,0,IF(BR99=3,0,VALUE(CONCATENATE(Travail!BR27,Travail!BR38,Travail!BR49))))</f>
        <v>221</v>
      </c>
      <c r="BS122" s="172">
        <f>IF(BS76=0,0,IF(BS99=3,0,VALUE(CONCATENATE(Travail!BS27,Travail!BS38,Travail!BS49))))</f>
        <v>221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4</v>
      </c>
      <c r="D123" s="172">
        <f t="shared" si="25"/>
        <v>4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0</v>
      </c>
      <c r="D125" s="172">
        <f t="shared" si="25"/>
        <v>0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4</v>
      </c>
      <c r="D126" s="172">
        <f t="shared" si="25"/>
        <v>4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4</v>
      </c>
      <c r="D128" s="172">
        <f t="shared" si="25"/>
        <v>4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1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1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5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1</v>
      </c>
      <c r="D133" s="261">
        <f t="shared" si="25"/>
        <v>1</v>
      </c>
      <c r="AT133" s="188" t="str">
        <f t="shared" ref="AT133:AT141" si="42">AT122</f>
        <v>vides</v>
      </c>
      <c r="AV133" s="172">
        <f t="shared" si="39"/>
        <v>22</v>
      </c>
      <c r="AW133" s="172">
        <f t="shared" si="39"/>
        <v>22</v>
      </c>
      <c r="AX133" s="172">
        <f t="shared" si="39"/>
        <v>22</v>
      </c>
      <c r="AY133" s="172">
        <f t="shared" si="39"/>
        <v>22</v>
      </c>
      <c r="AZ133" s="172">
        <f t="shared" si="39"/>
        <v>22</v>
      </c>
      <c r="BA133" s="172">
        <f t="shared" si="39"/>
        <v>22</v>
      </c>
      <c r="BB133" s="172">
        <f t="shared" si="39"/>
        <v>22</v>
      </c>
      <c r="BC133" s="172">
        <f t="shared" si="39"/>
        <v>22</v>
      </c>
      <c r="BD133" s="172">
        <f t="shared" si="39"/>
        <v>22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22</v>
      </c>
      <c r="BP133" s="172">
        <f t="shared" si="39"/>
        <v>22</v>
      </c>
      <c r="BQ133" s="172">
        <f t="shared" si="39"/>
        <v>22</v>
      </c>
      <c r="BR133" s="172">
        <f t="shared" si="39"/>
        <v>22</v>
      </c>
      <c r="BS133" s="172">
        <f t="shared" si="39"/>
        <v>22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0.55555555555555558</v>
      </c>
      <c r="D134" s="261">
        <f t="shared" si="25"/>
        <v>0.55555555555555558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23</v>
      </c>
      <c r="BB134" s="172">
        <f t="shared" si="39"/>
        <v>23</v>
      </c>
      <c r="BC134" s="172">
        <f t="shared" si="39"/>
        <v>23</v>
      </c>
      <c r="BD134" s="172">
        <f t="shared" si="39"/>
        <v>23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23</v>
      </c>
      <c r="AW135" s="172">
        <f t="shared" si="39"/>
        <v>23</v>
      </c>
      <c r="AX135" s="172">
        <f t="shared" si="39"/>
        <v>23</v>
      </c>
      <c r="AY135" s="172">
        <f t="shared" si="39"/>
        <v>23</v>
      </c>
      <c r="AZ135" s="172">
        <f t="shared" si="39"/>
        <v>23</v>
      </c>
      <c r="BA135" s="172">
        <f t="shared" si="39"/>
        <v>23</v>
      </c>
      <c r="BB135" s="172">
        <f t="shared" si="39"/>
        <v>23</v>
      </c>
      <c r="BC135" s="172">
        <f t="shared" si="39"/>
        <v>23</v>
      </c>
      <c r="BD135" s="172">
        <f t="shared" si="39"/>
        <v>23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23</v>
      </c>
      <c r="BP135" s="172">
        <f t="shared" si="39"/>
        <v>23</v>
      </c>
      <c r="BQ135" s="172">
        <f t="shared" si="39"/>
        <v>23</v>
      </c>
      <c r="BR135" s="172">
        <f t="shared" si="39"/>
        <v>23</v>
      </c>
      <c r="BS135" s="172">
        <f t="shared" si="39"/>
        <v>23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0.78947368421052633</v>
      </c>
      <c r="D136" s="261">
        <f t="shared" si="25"/>
        <v>0.78947368421052633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3</v>
      </c>
      <c r="AW142" s="172">
        <f t="shared" ref="AW142:BS142" si="58">COUNTIF(AW$132:AW$141,23)</f>
        <v>3</v>
      </c>
      <c r="AX142" s="172">
        <f t="shared" si="58"/>
        <v>3</v>
      </c>
      <c r="AY142" s="172">
        <f t="shared" si="58"/>
        <v>2</v>
      </c>
      <c r="AZ142" s="172">
        <f t="shared" si="58"/>
        <v>2</v>
      </c>
      <c r="BA142" s="172">
        <f t="shared" si="58"/>
        <v>2</v>
      </c>
      <c r="BB142" s="172">
        <f t="shared" si="58"/>
        <v>2</v>
      </c>
      <c r="BC142" s="172">
        <f t="shared" si="58"/>
        <v>2</v>
      </c>
      <c r="BD142" s="172">
        <f t="shared" si="58"/>
        <v>2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1</v>
      </c>
      <c r="BP142" s="172">
        <f t="shared" si="58"/>
        <v>2</v>
      </c>
      <c r="BQ142" s="172">
        <f t="shared" si="58"/>
        <v>3</v>
      </c>
      <c r="BR142" s="172">
        <f t="shared" si="58"/>
        <v>3</v>
      </c>
      <c r="BS142" s="172">
        <f t="shared" si="58"/>
        <v>3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1</v>
      </c>
      <c r="AW144" s="172">
        <f t="shared" ref="AW144:BS144" si="64">COUNTIF(AW$132:AW$141,22)</f>
        <v>1</v>
      </c>
      <c r="AX144" s="172">
        <f t="shared" si="64"/>
        <v>1</v>
      </c>
      <c r="AY144" s="172">
        <f t="shared" si="64"/>
        <v>2</v>
      </c>
      <c r="AZ144" s="172">
        <f t="shared" si="64"/>
        <v>2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2</v>
      </c>
      <c r="BP144" s="172">
        <f t="shared" si="64"/>
        <v>1</v>
      </c>
      <c r="BQ144" s="172">
        <f t="shared" si="64"/>
        <v>1</v>
      </c>
      <c r="BR144" s="172">
        <f t="shared" si="64"/>
        <v>1</v>
      </c>
      <c r="BS144" s="172">
        <f t="shared" si="64"/>
        <v>1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23</v>
      </c>
      <c r="BB146" s="61">
        <f t="shared" si="70"/>
        <v>23</v>
      </c>
      <c r="BC146" s="61">
        <f t="shared" si="70"/>
        <v>23</v>
      </c>
      <c r="BD146" s="61">
        <f t="shared" si="70"/>
        <v>23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23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42</v>
      </c>
      <c r="BB147" s="189">
        <f>IF(BB146=0,0,HLOOKUP(BB146,[1]Trav!$C$39:$G$59,$AU$166))</f>
        <v>42</v>
      </c>
      <c r="BC147" s="189">
        <f>IF(BC146=0,0,HLOOKUP(BC146,[1]Trav!$C$39:$G$59,$AU$166))</f>
        <v>42</v>
      </c>
      <c r="BD147" s="189">
        <f>IF(BD146=0,0,HLOOKUP(BD146,[1]Trav!$C$39:$G$59,$AU$166))</f>
        <v>42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42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402.73391304347831</v>
      </c>
      <c r="AW160" s="61">
        <f t="shared" ref="AW160:BS160" si="83">SUM(AW151:AW159)</f>
        <v>399.82608695652175</v>
      </c>
      <c r="AX160" s="61">
        <f t="shared" si="83"/>
        <v>396.9182608695653</v>
      </c>
      <c r="AY160" s="61">
        <f t="shared" si="83"/>
        <v>395.46434782608696</v>
      </c>
      <c r="AZ160" s="61">
        <f t="shared" si="83"/>
        <v>394.01043478260874</v>
      </c>
      <c r="BA160" s="61">
        <f t="shared" si="83"/>
        <v>392.5565217391304</v>
      </c>
      <c r="BB160" s="61">
        <f t="shared" si="83"/>
        <v>391.10260869565218</v>
      </c>
      <c r="BC160" s="61">
        <f t="shared" si="83"/>
        <v>389.64869565217396</v>
      </c>
      <c r="BD160" s="61">
        <f t="shared" si="83"/>
        <v>386.74086956521739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343.12347826086966</v>
      </c>
      <c r="BP160" s="61">
        <f t="shared" si="83"/>
        <v>343.12347826086966</v>
      </c>
      <c r="BQ160" s="61">
        <f t="shared" si="83"/>
        <v>402.73391304347831</v>
      </c>
      <c r="BR160" s="61">
        <f t="shared" si="83"/>
        <v>402.73391304347831</v>
      </c>
      <c r="BS160" s="61">
        <f t="shared" si="83"/>
        <v>402.73391304347831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68.012111926956507</v>
      </c>
      <c r="D161" s="262">
        <f t="shared" si="50"/>
        <v>74.813323119652154</v>
      </c>
      <c r="AT161" s="188" t="s">
        <v>844</v>
      </c>
      <c r="AV161" s="172">
        <f>IF($AT$62="OL",AV160/50,AV160/10)</f>
        <v>8.0546782608695668</v>
      </c>
      <c r="AW161" s="172">
        <f t="shared" ref="AW161:BS161" si="86">IF($AT$62="OL",AW160/50,AW160/10)</f>
        <v>7.9965217391304346</v>
      </c>
      <c r="AX161" s="172">
        <f t="shared" si="86"/>
        <v>7.938365217391306</v>
      </c>
      <c r="AY161" s="172">
        <f t="shared" si="86"/>
        <v>7.909286956521739</v>
      </c>
      <c r="AZ161" s="172">
        <f t="shared" si="86"/>
        <v>7.8802086956521746</v>
      </c>
      <c r="BA161" s="172">
        <f t="shared" si="86"/>
        <v>7.8511304347826076</v>
      </c>
      <c r="BB161" s="172">
        <f t="shared" si="86"/>
        <v>7.8220521739130433</v>
      </c>
      <c r="BC161" s="172">
        <f t="shared" si="86"/>
        <v>7.792973913043479</v>
      </c>
      <c r="BD161" s="172">
        <f t="shared" si="86"/>
        <v>7.7348173913043476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6.8624695652173928</v>
      </c>
      <c r="BP161" s="172">
        <f t="shared" si="86"/>
        <v>6.8624695652173928</v>
      </c>
      <c r="BQ161" s="172">
        <f t="shared" si="86"/>
        <v>8.0546782608695668</v>
      </c>
      <c r="BR161" s="172">
        <f t="shared" si="86"/>
        <v>8.0546782608695668</v>
      </c>
      <c r="BS161" s="172">
        <f t="shared" si="86"/>
        <v>8.0546782608695668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150.35602069113051</v>
      </c>
      <c r="D162" s="262">
        <f t="shared" si="50"/>
        <v>165.39162276024354</v>
      </c>
      <c r="AT162" s="188" t="s">
        <v>846</v>
      </c>
      <c r="AV162" s="172">
        <f>IF(AV161&gt;1,AV161-1,0)</f>
        <v>7.0546782608695668</v>
      </c>
      <c r="AW162" s="172">
        <f t="shared" ref="AW162:BS162" si="89">IF(AW161&gt;1,AW161-1,0)</f>
        <v>6.9965217391304346</v>
      </c>
      <c r="AX162" s="172">
        <f t="shared" si="89"/>
        <v>6.938365217391306</v>
      </c>
      <c r="AY162" s="172">
        <f t="shared" si="89"/>
        <v>6.909286956521739</v>
      </c>
      <c r="AZ162" s="172">
        <f t="shared" si="89"/>
        <v>6.8802086956521746</v>
      </c>
      <c r="BA162" s="172">
        <f t="shared" si="89"/>
        <v>6.8511304347826076</v>
      </c>
      <c r="BB162" s="172">
        <f t="shared" si="89"/>
        <v>6.8220521739130433</v>
      </c>
      <c r="BC162" s="172">
        <f t="shared" si="89"/>
        <v>6.792973913043479</v>
      </c>
      <c r="BD162" s="172">
        <f t="shared" si="89"/>
        <v>6.7348173913043476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5.8624695652173928</v>
      </c>
      <c r="BP162" s="172">
        <f t="shared" si="89"/>
        <v>5.8624695652173928</v>
      </c>
      <c r="BQ162" s="172">
        <f t="shared" si="89"/>
        <v>7.0546782608695668</v>
      </c>
      <c r="BR162" s="172">
        <f t="shared" si="89"/>
        <v>7.0546782608695668</v>
      </c>
      <c r="BS162" s="172">
        <f t="shared" si="89"/>
        <v>7.0546782608695668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54.345686956521746</v>
      </c>
      <c r="AW163" s="61">
        <f t="shared" ref="AW163:BS163" si="92">AW147+AW148*AW162</f>
        <v>54.243913043478258</v>
      </c>
      <c r="AX163" s="61">
        <f t="shared" si="92"/>
        <v>54.142139130434785</v>
      </c>
      <c r="AY163" s="61">
        <f t="shared" si="92"/>
        <v>54.091252173913041</v>
      </c>
      <c r="AZ163" s="61">
        <f t="shared" si="92"/>
        <v>54.040365217391304</v>
      </c>
      <c r="BA163" s="61">
        <f t="shared" si="92"/>
        <v>53.989478260869561</v>
      </c>
      <c r="BB163" s="61">
        <f t="shared" si="92"/>
        <v>53.938591304347824</v>
      </c>
      <c r="BC163" s="61">
        <f t="shared" si="92"/>
        <v>53.887704347826087</v>
      </c>
      <c r="BD163" s="61">
        <f t="shared" si="92"/>
        <v>53.785930434782607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52.259321739130435</v>
      </c>
      <c r="BP163" s="61">
        <f t="shared" si="92"/>
        <v>52.259321739130435</v>
      </c>
      <c r="BQ163" s="61">
        <f t="shared" si="92"/>
        <v>54.345686956521746</v>
      </c>
      <c r="BR163" s="61">
        <f t="shared" si="92"/>
        <v>54.345686956521746</v>
      </c>
      <c r="BS163" s="61">
        <f t="shared" si="92"/>
        <v>54.345686956521746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68.45264232000001</v>
      </c>
      <c r="D165" s="262">
        <f t="shared" si="50"/>
        <v>75.297906552000015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45.64579904422223</v>
      </c>
      <c r="D166" s="262">
        <f t="shared" si="50"/>
        <v>50.210378948644454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21</v>
      </c>
      <c r="BH167" s="189">
        <f>IF(BH121&gt;0,HLOOKUP(BH121,[1]Trav!$C$11:$O$31,$AU$166),0)</f>
        <v>21</v>
      </c>
      <c r="BI167" s="189">
        <f>IF(BI121&gt;0,HLOOKUP(BI121,[1]Trav!$C$11:$O$31,$AU$166),0)</f>
        <v>21</v>
      </c>
      <c r="BJ167" s="189">
        <f>IF(BJ121&gt;0,HLOOKUP(BJ121,[1]Trav!$C$11:$O$31,$AU$166),0)</f>
        <v>21</v>
      </c>
      <c r="BK167" s="189">
        <f>IF(BK121&gt;0,HLOOKUP(BK121,[1]Trav!$C$11:$O$31,$AU$166),0)</f>
        <v>21</v>
      </c>
      <c r="BL167" s="189">
        <f>IF(BL121&gt;0,HLOOKUP(BL121,[1]Trav!$C$11:$O$31,$AU$166),0)</f>
        <v>21</v>
      </c>
      <c r="BM167" s="189">
        <f>IF(BM121&gt;0,HLOOKUP(BM121,[1]Trav!$C$11:$O$31,$AU$166),0)</f>
        <v>21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14</v>
      </c>
      <c r="AW168" s="189">
        <f>IF(AW122&gt;0,HLOOKUP(AW122,[1]Trav!$C$11:$O$31,$AU$166),0)</f>
        <v>14</v>
      </c>
      <c r="AX168" s="189">
        <f>IF(AX122&gt;0,HLOOKUP(AX122,[1]Trav!$C$11:$O$31,$AU$166),0)</f>
        <v>14</v>
      </c>
      <c r="AY168" s="189">
        <f>IF(AY122&gt;0,HLOOKUP(AY122,[1]Trav!$C$11:$O$31,$AU$166),0)</f>
        <v>14</v>
      </c>
      <c r="AZ168" s="189">
        <f>IF(AZ122&gt;0,HLOOKUP(AZ122,[1]Trav!$C$11:$O$31,$AU$166),0)</f>
        <v>14</v>
      </c>
      <c r="BA168" s="189">
        <f>IF(BA122&gt;0,HLOOKUP(BA122,[1]Trav!$C$11:$O$31,$AU$166),0)</f>
        <v>14</v>
      </c>
      <c r="BB168" s="189">
        <f>IF(BB122&gt;0,HLOOKUP(BB122,[1]Trav!$C$11:$O$31,$AU$166),0)</f>
        <v>14</v>
      </c>
      <c r="BC168" s="189">
        <f>IF(BC122&gt;0,HLOOKUP(BC122,[1]Trav!$C$11:$O$31,$AU$166),0)</f>
        <v>14</v>
      </c>
      <c r="BD168" s="189">
        <f>IF(BD122&gt;0,HLOOKUP(BD122,[1]Trav!$C$11:$O$31,$AU$166),0)</f>
        <v>14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14</v>
      </c>
      <c r="BP168" s="189">
        <f>IF(BP122&gt;0,HLOOKUP(BP122,[1]Trav!$C$11:$O$31,$AU$166),0)</f>
        <v>14</v>
      </c>
      <c r="BQ168" s="189">
        <f>IF(BQ122&gt;0,HLOOKUP(BQ122,[1]Trav!$C$11:$O$31,$AU$166),0)</f>
        <v>14</v>
      </c>
      <c r="BR168" s="189">
        <f>IF(BR122&gt;0,HLOOKUP(BR122,[1]Trav!$C$11:$O$31,$AU$166),0)</f>
        <v>14</v>
      </c>
      <c r="BS168" s="189">
        <f>IF(BS122&gt;0,HLOOKUP(BS122,[1]Trav!$C$11:$O$31,$AU$166),0)</f>
        <v>14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138.42079000000001</v>
      </c>
      <c r="D169" s="262">
        <f t="shared" si="50"/>
        <v>152.26286899999999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101.95283677721741</v>
      </c>
      <c r="D170" s="262">
        <f t="shared" si="50"/>
        <v>112.14812045493916</v>
      </c>
      <c r="AT170" s="188" t="str">
        <f t="shared" si="95"/>
        <v>beliers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82.371549999999999</v>
      </c>
      <c r="D171" s="262">
        <f t="shared" si="50"/>
        <v>90.608705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196.1</v>
      </c>
      <c r="D172" s="262">
        <f t="shared" si="50"/>
        <v>215.70999999999998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36.467953222782597</v>
      </c>
      <c r="D173" s="262">
        <f t="shared" si="50"/>
        <v>40.114748545060856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73.7</v>
      </c>
      <c r="D174" s="262">
        <f t="shared" si="50"/>
        <v>81.070000000000007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-113.72845</v>
      </c>
      <c r="D175" s="262">
        <f>C175*$D$82/$C$82</f>
        <v>-125.10129500000001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113.72845</v>
      </c>
      <c r="D176" s="262">
        <f>C176*$D$82/$C$82</f>
        <v>125.10129500000001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62</v>
      </c>
      <c r="D178" s="172">
        <f>ROUND((D170+D171)/(D170+D172),2)*100</f>
        <v>62</v>
      </c>
      <c r="AT178" s="40" t="s">
        <v>865</v>
      </c>
      <c r="AV178" s="172">
        <f>SUM(AV167:AV176)</f>
        <v>14</v>
      </c>
      <c r="AW178" s="172">
        <f t="shared" ref="AW178:BS178" si="98">SUM(AW167:AW176)</f>
        <v>14</v>
      </c>
      <c r="AX178" s="172">
        <f t="shared" si="98"/>
        <v>14</v>
      </c>
      <c r="AY178" s="172">
        <f t="shared" si="98"/>
        <v>14</v>
      </c>
      <c r="AZ178" s="172">
        <f t="shared" si="98"/>
        <v>14</v>
      </c>
      <c r="BA178" s="172">
        <f t="shared" si="98"/>
        <v>28</v>
      </c>
      <c r="BB178" s="172">
        <f t="shared" si="98"/>
        <v>28</v>
      </c>
      <c r="BC178" s="172">
        <f t="shared" si="98"/>
        <v>28</v>
      </c>
      <c r="BD178" s="172">
        <f t="shared" si="98"/>
        <v>28</v>
      </c>
      <c r="BE178" s="172">
        <f t="shared" si="98"/>
        <v>28</v>
      </c>
      <c r="BF178" s="172">
        <f t="shared" si="98"/>
        <v>28</v>
      </c>
      <c r="BG178" s="172">
        <f t="shared" si="98"/>
        <v>35</v>
      </c>
      <c r="BH178" s="172">
        <f t="shared" si="98"/>
        <v>35</v>
      </c>
      <c r="BI178" s="172">
        <f t="shared" si="98"/>
        <v>35</v>
      </c>
      <c r="BJ178" s="172">
        <f t="shared" si="98"/>
        <v>35</v>
      </c>
      <c r="BK178" s="172">
        <f t="shared" si="98"/>
        <v>35</v>
      </c>
      <c r="BL178" s="172">
        <f t="shared" si="98"/>
        <v>35</v>
      </c>
      <c r="BM178" s="172">
        <f t="shared" si="98"/>
        <v>35</v>
      </c>
      <c r="BN178" s="172">
        <f t="shared" si="98"/>
        <v>28</v>
      </c>
      <c r="BO178" s="172">
        <f t="shared" si="98"/>
        <v>28</v>
      </c>
      <c r="BP178" s="172">
        <f t="shared" si="98"/>
        <v>14</v>
      </c>
      <c r="BQ178" s="172">
        <f t="shared" si="98"/>
        <v>14</v>
      </c>
      <c r="BR178" s="172">
        <f t="shared" si="98"/>
        <v>14</v>
      </c>
      <c r="BS178" s="172">
        <f t="shared" si="98"/>
        <v>14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28</v>
      </c>
      <c r="CM178" s="172">
        <f t="shared" si="99"/>
        <v>28</v>
      </c>
      <c r="CN178" s="172">
        <f t="shared" si="99"/>
        <v>28</v>
      </c>
      <c r="CO178" s="172">
        <f t="shared" si="99"/>
        <v>28</v>
      </c>
      <c r="CP178" s="172">
        <f t="shared" si="99"/>
        <v>28</v>
      </c>
      <c r="CQ178" s="172">
        <f t="shared" si="99"/>
        <v>28</v>
      </c>
      <c r="CR178" s="172">
        <f t="shared" si="99"/>
        <v>28</v>
      </c>
      <c r="CS178" s="172">
        <f t="shared" si="99"/>
        <v>28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3438</v>
      </c>
      <c r="D183" s="263">
        <f>ROUND(D184*D185,0)</f>
        <v>3788</v>
      </c>
      <c r="E183" s="17" t="s">
        <v>1295</v>
      </c>
    </row>
    <row r="184" spans="1:132" x14ac:dyDescent="0.25">
      <c r="B184" s="14" t="s">
        <v>1296</v>
      </c>
      <c r="C184" s="172">
        <f>Protection!AK26</f>
        <v>13.400000000000002</v>
      </c>
      <c r="D184" s="264">
        <f>C184*D82/C82</f>
        <v>14.740000000000002</v>
      </c>
    </row>
    <row r="185" spans="1:132" x14ac:dyDescent="0.25">
      <c r="B185" s="14" t="s">
        <v>1297</v>
      </c>
      <c r="C185" s="172">
        <f>IF(C183=0,0,ROUND(C183/C184,0))</f>
        <v>257</v>
      </c>
      <c r="D185" s="172">
        <f>C185</f>
        <v>257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4</v>
      </c>
      <c r="D189" s="172">
        <f t="shared" si="101"/>
        <v>4</v>
      </c>
      <c r="AH189" s="15"/>
      <c r="AJ189" s="14" t="s">
        <v>1114</v>
      </c>
      <c r="AK189" s="30">
        <f>D189</f>
        <v>4</v>
      </c>
      <c r="AO189" s="172">
        <f>ROUND((([1]Protect!$B$5/[1]Protect!$B$11)+[1]Protect!$B$8)*AK189,0)</f>
        <v>3617</v>
      </c>
    </row>
    <row r="190" spans="1:132" x14ac:dyDescent="0.25">
      <c r="B190" s="14" t="s">
        <v>1302</v>
      </c>
      <c r="C190" s="172">
        <f>'Calcul éco'!T246*(30)</f>
        <v>0</v>
      </c>
      <c r="D190" s="172">
        <f>C190</f>
        <v>0</v>
      </c>
      <c r="AH190" s="15"/>
      <c r="AJ190" s="14" t="s">
        <v>1115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1303</v>
      </c>
      <c r="C191" s="197">
        <f>ROUND(SUM(Travail!F69:F74)/8,1)</f>
        <v>25</v>
      </c>
      <c r="D191" s="172">
        <f>C191</f>
        <v>25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1307</v>
      </c>
      <c r="C192" s="172">
        <f>(Travail!F83+Travail!F84)/8</f>
        <v>0.48749999999999999</v>
      </c>
      <c r="D192" s="265">
        <f>ROUND((D183/1000)*([1]Protect!$B$25*8/10+[1]Protect!$B$26),2)/8</f>
        <v>0.53500000000000003</v>
      </c>
      <c r="E192" s="17" t="s">
        <v>1308</v>
      </c>
      <c r="I192" s="5"/>
      <c r="AN192" s="14" t="s">
        <v>1117</v>
      </c>
      <c r="AO192" s="172">
        <f>SUM(AO189:AO191)</f>
        <v>3617</v>
      </c>
    </row>
    <row r="193" spans="1:43" x14ac:dyDescent="0.25">
      <c r="B193" s="14" t="s">
        <v>1309</v>
      </c>
      <c r="C193" s="172">
        <f>(Travail!F75+Travail!F76+Travail!F81)/8</f>
        <v>15.8125</v>
      </c>
      <c r="D193" s="172">
        <f>C193</f>
        <v>15.8125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1</v>
      </c>
      <c r="AK200" s="172">
        <f>IF(AJ200=0,0,[1]Protect!B76)</f>
        <v>7500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2">
        <f>IF(AJ203=0,0,[1]Protect!B79)</f>
        <v>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5843</v>
      </c>
      <c r="D206" s="260">
        <f>ROUND(C206*D$82/C$82,0)</f>
        <v>6427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3617</v>
      </c>
      <c r="AQ207" s="5"/>
    </row>
    <row r="208" spans="1:43" x14ac:dyDescent="0.25">
      <c r="B208" s="210" t="s">
        <v>987</v>
      </c>
      <c r="C208" s="172">
        <f>ROUND('Calcul éco'!J44,0)</f>
        <v>4036</v>
      </c>
      <c r="D208" s="260">
        <f>ROUND(C208*D$82/C$82,0)</f>
        <v>4440</v>
      </c>
      <c r="S208" s="14" t="s">
        <v>978</v>
      </c>
      <c r="T208" s="30">
        <f>L212</f>
        <v>66.26400000000001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3617</v>
      </c>
      <c r="AQ208" s="244"/>
    </row>
    <row r="209" spans="1:43" x14ac:dyDescent="0.25">
      <c r="B209" s="19" t="s">
        <v>989</v>
      </c>
      <c r="C209" s="172">
        <f>ROUND('Calcul éco'!J45,0)</f>
        <v>14924</v>
      </c>
      <c r="D209" s="263">
        <f>IF(Scénario!K9=0,0,ROUND(Z210,0))</f>
        <v>15345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16.26400000000001</v>
      </c>
      <c r="Y209" s="189">
        <f>[1]Eco!$B$34</f>
        <v>70</v>
      </c>
      <c r="Z209" s="172">
        <f t="shared" si="105"/>
        <v>1138.4800000000007</v>
      </c>
      <c r="AF209" s="5"/>
      <c r="AK209" s="14" t="s">
        <v>1135</v>
      </c>
      <c r="AL209" s="172">
        <f>IF(AO192&lt;SUM(AQ200:AQ204),AO192,SUM(AQ200:AQ204))</f>
        <v>3617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2894</v>
      </c>
      <c r="D210" s="263">
        <f>ROUND(AL207,0)</f>
        <v>3617</v>
      </c>
      <c r="E210" s="17" t="s">
        <v>1329</v>
      </c>
      <c r="K210" s="14" t="s">
        <v>990</v>
      </c>
      <c r="L210" s="172">
        <f>J221</f>
        <v>33.088000000000001</v>
      </c>
      <c r="Y210" s="40" t="s">
        <v>949</v>
      </c>
      <c r="Z210" s="61">
        <f>SUM(Z207:Z209)*IF(Scénario!K2="Exploit. Ind.",1,Scénario!K3)</f>
        <v>15345.480000000001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41450.199999999997</v>
      </c>
      <c r="D211" s="263">
        <f>ROUND(SUM(D201:D210),0)</f>
        <v>44703</v>
      </c>
      <c r="E211" s="17" t="s">
        <v>1331</v>
      </c>
      <c r="K211" s="40" t="s">
        <v>995</v>
      </c>
      <c r="L211" s="61">
        <f>L209+L210</f>
        <v>66.26400000000001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66.26400000000001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0</v>
      </c>
      <c r="J216" s="47">
        <f>I216*D$82/C$82</f>
        <v>0</v>
      </c>
      <c r="K216" s="222"/>
      <c r="L216" s="222"/>
      <c r="AF216" s="5"/>
      <c r="AI216" s="14" t="s">
        <v>1140</v>
      </c>
      <c r="AJ216" s="172">
        <f>D183*[1]Protect!$B$17/100</f>
        <v>56.82</v>
      </c>
      <c r="AK216" s="172"/>
      <c r="AL216" s="172"/>
      <c r="AM216" s="172">
        <f>'Calcul éco'!W272</f>
        <v>6</v>
      </c>
      <c r="AN216" s="172">
        <f>AJ216*AM216</f>
        <v>340.92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1332.2449999999999</v>
      </c>
      <c r="D217" s="260">
        <f t="shared" si="106"/>
        <v>1465</v>
      </c>
      <c r="G217" s="19" t="s">
        <v>601</v>
      </c>
      <c r="H217" s="19" t="str">
        <f>Troupeau!C3</f>
        <v>BV</v>
      </c>
      <c r="I217" s="30">
        <f>'Calcul éco'!S51</f>
        <v>64</v>
      </c>
      <c r="J217" s="47">
        <f t="shared" ref="J217:J218" si="107">I217*D$82/C$82</f>
        <v>70.400000000000006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26894.644349999999</v>
      </c>
      <c r="D218" s="260">
        <f t="shared" si="106"/>
        <v>29584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3617</v>
      </c>
      <c r="D219" s="260">
        <f t="shared" si="106"/>
        <v>3979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309.42</v>
      </c>
      <c r="D220" s="263">
        <f>SUM(AN215:AN219)</f>
        <v>340.92</v>
      </c>
      <c r="E220" s="17" t="s">
        <v>1345</v>
      </c>
      <c r="H220" s="14" t="s">
        <v>1000</v>
      </c>
      <c r="I220" s="30">
        <f>SUM(I216:I219)</f>
        <v>64</v>
      </c>
      <c r="J220" s="30">
        <f>SUM(J216:J219)</f>
        <v>70.400000000000006</v>
      </c>
    </row>
    <row r="221" spans="1:43" x14ac:dyDescent="0.25">
      <c r="B221" s="14" t="s">
        <v>1346</v>
      </c>
      <c r="C221" s="172">
        <f>ROUND(SUM(C216:C220),0)</f>
        <v>62793</v>
      </c>
      <c r="D221" s="263">
        <f>ROUND(SUM(D216:D220),0)</f>
        <v>69073</v>
      </c>
      <c r="E221" s="17" t="s">
        <v>1345</v>
      </c>
      <c r="H221" s="14" t="s">
        <v>1001</v>
      </c>
      <c r="I221" s="30">
        <f>I220*[1]Eco!$B$25</f>
        <v>30.08</v>
      </c>
      <c r="J221" s="30">
        <f>J220*[1]Eco!$B$25</f>
        <v>33.088000000000001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17.600000000000001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3788</v>
      </c>
      <c r="AL225" t="s">
        <v>1101</v>
      </c>
      <c r="AM225" s="172"/>
      <c r="AN225" s="172">
        <f>[1]Protect!$B$4</f>
        <v>6</v>
      </c>
      <c r="AO225" s="172">
        <f>AK225*AN225</f>
        <v>22728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22728</v>
      </c>
      <c r="AQ228" s="30">
        <f>IF(Scénario!K84=1,MIN(0.8*AO228,[1]Protect!$B$68),IF(Scénario!K84=2,MIN(0.8*AO228,[1]Protect!$B$67),0))</f>
        <v>18182.400000000001</v>
      </c>
      <c r="AR228" s="30">
        <f>AO228-AQ228</f>
        <v>4545.5999999999985</v>
      </c>
      <c r="AS228" s="30">
        <f>(1-Scénario!K127/100)*AR228</f>
        <v>4545.5999999999985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-270.41399999999999</v>
      </c>
      <c r="D230" s="260">
        <f t="shared" si="109"/>
        <v>-297</v>
      </c>
    </row>
    <row r="231" spans="1:49" x14ac:dyDescent="0.25">
      <c r="B231" s="14" t="s">
        <v>1083</v>
      </c>
      <c r="C231" s="172">
        <f>'Calcul éco'!J159</f>
        <v>-6.000000000000032</v>
      </c>
      <c r="D231" s="260">
        <f t="shared" si="109"/>
        <v>-7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-128.98199999999997</v>
      </c>
      <c r="D233" s="260">
        <f t="shared" si="109"/>
        <v>-142</v>
      </c>
    </row>
    <row r="234" spans="1:49" x14ac:dyDescent="0.25">
      <c r="B234" s="14" t="s">
        <v>1352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1353</v>
      </c>
      <c r="C235" s="172">
        <f>'Calcul éco'!J167</f>
        <v>3512.1520000000005</v>
      </c>
      <c r="D235" s="263">
        <f>(D191+D192)*8*[1]Eco!$B$106</f>
        <v>2171.4964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27960</v>
      </c>
      <c r="D236" s="263">
        <f>ROUND(SUM(D222:D235),0)</f>
        <v>28445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12583.199999999997</v>
      </c>
      <c r="D237" s="263">
        <f>D194+D211-D221-D236</f>
        <v>15260</v>
      </c>
    </row>
    <row r="238" spans="1:49" x14ac:dyDescent="0.25">
      <c r="B238" s="210" t="s">
        <v>1090</v>
      </c>
      <c r="C238" s="172">
        <f>ROUND(C237/Scénario!$K$4,0)</f>
        <v>8389</v>
      </c>
      <c r="D238" s="263">
        <f>ROUND(D237/D83,0)</f>
        <v>7630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508.64911992841104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1075</v>
      </c>
      <c r="D241" s="267">
        <f>ROUND(D237-D239-D240,0)</f>
        <v>4260</v>
      </c>
    </row>
    <row r="242" spans="1:15" x14ac:dyDescent="0.25">
      <c r="B242" s="210" t="s">
        <v>1094</v>
      </c>
      <c r="C242" s="172">
        <f>ROUND(C241/Scénario!K4,0)</f>
        <v>717</v>
      </c>
      <c r="D242" s="263">
        <f>ROUND(D241/D83,0)</f>
        <v>2130</v>
      </c>
    </row>
    <row r="243" spans="1:15" x14ac:dyDescent="0.25">
      <c r="B243" s="210" t="s">
        <v>1357</v>
      </c>
      <c r="C243" s="172">
        <f>'Calcul éco'!X237+'Calcul éco'!X240</f>
        <v>20628</v>
      </c>
      <c r="D243" s="172">
        <f>C243</f>
        <v>20628</v>
      </c>
    </row>
    <row r="244" spans="1:15" x14ac:dyDescent="0.25">
      <c r="B244" s="210" t="s">
        <v>1358</v>
      </c>
      <c r="C244" s="172">
        <f>'Calcul éco'!AA237+'Calcul éco'!AA240</f>
        <v>4125.5999999999985</v>
      </c>
      <c r="D244" s="172">
        <f>C244</f>
        <v>4125.5999999999985</v>
      </c>
    </row>
    <row r="245" spans="1:15" x14ac:dyDescent="0.25">
      <c r="A245" s="2" t="s">
        <v>1359</v>
      </c>
      <c r="B245" s="14" t="s">
        <v>568</v>
      </c>
      <c r="C245" s="269">
        <f>Travail!F5</f>
        <v>595</v>
      </c>
      <c r="D245" s="172">
        <f>C245</f>
        <v>595</v>
      </c>
    </row>
    <row r="246" spans="1:15" x14ac:dyDescent="0.25">
      <c r="B246" s="14" t="s">
        <v>601</v>
      </c>
      <c r="C246" s="269">
        <f>Travail!F6</f>
        <v>134.4</v>
      </c>
      <c r="D246" s="172">
        <f t="shared" ref="D246:D247" si="112">C246</f>
        <v>134.4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980.04139130434783</v>
      </c>
      <c r="D248" s="263">
        <f>ROUND(SUM(AV163:BS163),1)</f>
        <v>1002.4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0</v>
      </c>
      <c r="D251" s="172">
        <f>C251</f>
        <v>0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96</v>
      </c>
      <c r="D252" s="172">
        <f t="shared" ref="D252:D253" si="113">C252</f>
        <v>96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13.760999999999999</v>
      </c>
      <c r="L258" s="189">
        <f>IF(K258&gt;[1]Trav!E121,[1]Trav!C121,[1]Trav!B121)</f>
        <v>7.2</v>
      </c>
      <c r="N258" s="273"/>
      <c r="O258">
        <f t="shared" si="114"/>
        <v>99.0792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13.09</v>
      </c>
      <c r="L259" s="189">
        <f>IF(K259&gt;[1]Trav!E121,[1]Trav!C121,[1]Trav!B121)</f>
        <v>7.2</v>
      </c>
      <c r="N259" s="273"/>
      <c r="O259">
        <f t="shared" si="114"/>
        <v>94.248000000000005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1.5289999999999999</v>
      </c>
      <c r="L261" s="189">
        <f>IF(K261&gt;[1]Trav!E122,[1]Trav!C122,[1]Trav!B122)</f>
        <v>4.4000000000000004</v>
      </c>
      <c r="M261" s="5"/>
      <c r="N261" s="273"/>
      <c r="O261">
        <f t="shared" si="114"/>
        <v>6.7275999999999998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90</v>
      </c>
      <c r="D267" s="263">
        <f t="shared" si="116"/>
        <v>99</v>
      </c>
    </row>
    <row r="268" spans="1:15" x14ac:dyDescent="0.25">
      <c r="B268" s="32" t="s">
        <v>791</v>
      </c>
      <c r="C268" s="269">
        <f>Travail!F56</f>
        <v>86</v>
      </c>
      <c r="D268" s="263">
        <f t="shared" si="116"/>
        <v>94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6</v>
      </c>
      <c r="D270" s="263">
        <f t="shared" si="116"/>
        <v>7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200</v>
      </c>
      <c r="D275" s="172">
        <f>C275</f>
        <v>200</v>
      </c>
    </row>
    <row r="276" spans="1:4" x14ac:dyDescent="0.25">
      <c r="A276" s="23"/>
      <c r="B276" s="32" t="s">
        <v>1369</v>
      </c>
      <c r="C276" s="269">
        <f>C192*8</f>
        <v>3.9</v>
      </c>
      <c r="D276" s="263">
        <f>D192*8</f>
        <v>4.28</v>
      </c>
    </row>
    <row r="277" spans="1:4" x14ac:dyDescent="0.25">
      <c r="B277" s="32" t="s">
        <v>1420</v>
      </c>
      <c r="C277" s="269">
        <f>Travail!F75+Travail!F81</f>
        <v>126.5</v>
      </c>
      <c r="D277" s="172">
        <f>C277</f>
        <v>126.5</v>
      </c>
    </row>
    <row r="278" spans="1:4" x14ac:dyDescent="0.25">
      <c r="B278" s="32" t="s">
        <v>1421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1387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2755</v>
      </c>
      <c r="D281" s="263">
        <f>ROUND(D245+D248+D251+D254+D257+D260+D261,0)</f>
        <v>2873</v>
      </c>
    </row>
    <row r="282" spans="1:4" x14ac:dyDescent="0.25">
      <c r="B282" s="14" t="s">
        <v>1372</v>
      </c>
      <c r="C282" s="172">
        <f>ROUND(C246+C249+C252+C255+C258,0)</f>
        <v>836</v>
      </c>
      <c r="D282" s="263">
        <f>ROUND(D246+D249+D252+D255+D258,0)</f>
        <v>846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9.06</v>
      </c>
      <c r="D284" s="172">
        <f>ROUND(D281/(Troupeau!$B$17*G63),2)</f>
        <v>8.59</v>
      </c>
    </row>
    <row r="285" spans="1:4" x14ac:dyDescent="0.25">
      <c r="B285" s="14" t="s">
        <v>1375</v>
      </c>
      <c r="C285" s="172">
        <f>IF(Troupeau!$C$17=0,0,ROUND(C282/Troupeau!$C$17,2))</f>
        <v>36.35</v>
      </c>
      <c r="D285" s="172">
        <f>IF(Troupeau!$C$17=0,0,ROUND(D282/Troupeau!$C$17*G63,2))</f>
        <v>40.46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3591</v>
      </c>
      <c r="D287" s="263">
        <f>SUM(D281:D283)</f>
        <v>3719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249</v>
      </c>
      <c r="D289" s="263">
        <f>SUM(D262:D271)</f>
        <v>274</v>
      </c>
    </row>
    <row r="290" spans="2:4" x14ac:dyDescent="0.25">
      <c r="B290" s="14" t="s">
        <v>1422</v>
      </c>
      <c r="C290" s="269">
        <f>C275+C276+C277</f>
        <v>330.4</v>
      </c>
      <c r="D290" s="276">
        <f>D275+D276+D277</f>
        <v>330.78</v>
      </c>
    </row>
    <row r="291" spans="2:4" x14ac:dyDescent="0.25">
      <c r="B291" s="14" t="s">
        <v>1423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873</v>
      </c>
      <c r="C292" s="172">
        <f>ROUND(SUM(C287:C291),0)</f>
        <v>4770</v>
      </c>
      <c r="D292" s="263">
        <f>ROUND(SUM(D287:D291),0)</f>
        <v>4924</v>
      </c>
    </row>
    <row r="293" spans="2:4" x14ac:dyDescent="0.25">
      <c r="B293" s="14" t="s">
        <v>874</v>
      </c>
      <c r="C293" s="172">
        <f>ROUND(IF(Scénario!$K$129=1,SUM(C275:C280),SUM(C278:C280)),0)</f>
        <v>330</v>
      </c>
      <c r="D293" s="172">
        <f>ROUND(IF(Scénario!$K$129=1,SUM(D275:D280),SUM(D278:D280)),0)</f>
        <v>331</v>
      </c>
    </row>
    <row r="294" spans="2:4" x14ac:dyDescent="0.25">
      <c r="B294" s="14" t="s">
        <v>875</v>
      </c>
      <c r="C294" s="172">
        <f>ROUND((C292-C293)/C83,0)</f>
        <v>2960</v>
      </c>
      <c r="D294" s="172">
        <f>ROUND((D292-D293)/D83,0)</f>
        <v>2297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62.8559477572174</v>
      </c>
    </row>
    <row r="299" spans="2:4" x14ac:dyDescent="0.25">
      <c r="B299" s="14" t="s">
        <v>1451</v>
      </c>
      <c r="C299" s="172">
        <f>IF(Troupeau!$B$3="OL",CdTrp1!AA221,0)</f>
        <v>0</v>
      </c>
    </row>
    <row r="300" spans="2:4" x14ac:dyDescent="0.25">
      <c r="B300" s="14" t="s">
        <v>1452</v>
      </c>
      <c r="C300" s="172">
        <f>IF(Troupeau!$B$3="BV",CdTrp1!AA220,0)+IF(Troupeau!$C$3="BV",CdTrp2!AA220,0)</f>
        <v>39.096889020000006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13.400000000000002</v>
      </c>
    </row>
    <row r="305" spans="2:3" x14ac:dyDescent="0.25">
      <c r="B305" s="14" t="s">
        <v>1457</v>
      </c>
      <c r="C305" s="172">
        <f>Protection!BJ31</f>
        <v>0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20628</v>
      </c>
    </row>
    <row r="308" spans="2:3" x14ac:dyDescent="0.25">
      <c r="B308" s="14" t="s">
        <v>1460</v>
      </c>
      <c r="C308" s="172">
        <f>'Calcul éco'!X235</f>
        <v>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0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0.5</v>
      </c>
      <c r="C53" s="59">
        <v>0.5</v>
      </c>
      <c r="D53" s="59">
        <v>0.5</v>
      </c>
      <c r="E53" s="59">
        <v>0.5</v>
      </c>
      <c r="F53" s="59">
        <v>0.5</v>
      </c>
      <c r="G53" s="59">
        <v>0.5</v>
      </c>
      <c r="H53" s="59">
        <v>0.5</v>
      </c>
      <c r="I53" s="59">
        <v>0.5</v>
      </c>
      <c r="J53" s="59">
        <v>0.5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0.5</v>
      </c>
      <c r="V53" s="59">
        <v>0.5</v>
      </c>
      <c r="W53" s="59">
        <v>0.5</v>
      </c>
      <c r="X53" s="59">
        <v>0.5</v>
      </c>
      <c r="Y53" s="59">
        <v>0.5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1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1</v>
      </c>
      <c r="V55" s="59">
        <v>1</v>
      </c>
      <c r="W55" s="59">
        <v>1</v>
      </c>
      <c r="X55" s="59">
        <v>1</v>
      </c>
      <c r="Y55" s="59">
        <v>1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27.247652173913046</v>
      </c>
      <c r="C64" s="60">
        <f t="shared" si="19"/>
        <v>27.247652173913046</v>
      </c>
      <c r="D64" s="60">
        <f t="shared" si="19"/>
        <v>24.610782608695654</v>
      </c>
      <c r="E64" s="60">
        <f t="shared" si="19"/>
        <v>24.610782608695654</v>
      </c>
      <c r="F64" s="60">
        <f t="shared" si="19"/>
        <v>27.247652173913046</v>
      </c>
      <c r="G64" s="60">
        <f t="shared" si="19"/>
        <v>27.247652173913046</v>
      </c>
      <c r="H64" s="60">
        <f t="shared" si="19"/>
        <v>26.368695652173916</v>
      </c>
      <c r="I64" s="60">
        <f t="shared" si="19"/>
        <v>26.368695652173916</v>
      </c>
      <c r="J64" s="60">
        <f t="shared" si="19"/>
        <v>27.247652173913046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27.247652173913046</v>
      </c>
      <c r="V64" s="60">
        <f t="shared" si="19"/>
        <v>26.368695652173916</v>
      </c>
      <c r="W64" s="60">
        <f t="shared" si="19"/>
        <v>26.368695652173916</v>
      </c>
      <c r="X64" s="60">
        <f t="shared" si="19"/>
        <v>27.247652173913046</v>
      </c>
      <c r="Y64" s="60">
        <f t="shared" si="19"/>
        <v>27.247652173913046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29.829008695652174</v>
      </c>
      <c r="H65" s="60">
        <f t="shared" si="20"/>
        <v>28.866782608695654</v>
      </c>
      <c r="I65" s="60">
        <f t="shared" si="20"/>
        <v>28.866782608695654</v>
      </c>
      <c r="J65" s="60">
        <f t="shared" si="20"/>
        <v>74.572521739130451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17.209043478260874</v>
      </c>
      <c r="C66" s="60">
        <f t="shared" si="21"/>
        <v>17.209043478260874</v>
      </c>
      <c r="D66" s="60">
        <f t="shared" si="21"/>
        <v>15.543652173913047</v>
      </c>
      <c r="E66" s="60">
        <f t="shared" si="21"/>
        <v>15.543652173913047</v>
      </c>
      <c r="F66" s="60">
        <f t="shared" si="21"/>
        <v>17.209043478260874</v>
      </c>
      <c r="G66" s="60">
        <f t="shared" si="21"/>
        <v>17.209043478260874</v>
      </c>
      <c r="H66" s="60">
        <f t="shared" si="21"/>
        <v>16.653913043478266</v>
      </c>
      <c r="I66" s="60">
        <f t="shared" si="21"/>
        <v>16.653913043478266</v>
      </c>
      <c r="J66" s="60">
        <f t="shared" si="21"/>
        <v>17.209043478260874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17.209043478260874</v>
      </c>
      <c r="V66" s="60">
        <f t="shared" si="21"/>
        <v>16.653913043478266</v>
      </c>
      <c r="W66" s="60">
        <f t="shared" si="21"/>
        <v>16.653913043478266</v>
      </c>
      <c r="X66" s="60">
        <f t="shared" si="21"/>
        <v>17.209043478260874</v>
      </c>
      <c r="Y66" s="60">
        <f t="shared" si="21"/>
        <v>17.209043478260874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648</v>
      </c>
      <c r="C73" s="63">
        <f t="shared" ref="C73:Y73" si="28">ROUND(SUM(C63:C72),0)</f>
        <v>642</v>
      </c>
      <c r="D73" s="63">
        <f t="shared" si="28"/>
        <v>575</v>
      </c>
      <c r="E73" s="63">
        <f t="shared" si="28"/>
        <v>320</v>
      </c>
      <c r="F73" s="63">
        <f t="shared" si="28"/>
        <v>352</v>
      </c>
      <c r="G73" s="63">
        <f t="shared" si="28"/>
        <v>351</v>
      </c>
      <c r="H73" s="63">
        <f t="shared" si="28"/>
        <v>338</v>
      </c>
      <c r="I73" s="63">
        <f t="shared" si="28"/>
        <v>337</v>
      </c>
      <c r="J73" s="63">
        <f t="shared" si="28"/>
        <v>390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347</v>
      </c>
      <c r="V73" s="63">
        <f t="shared" si="28"/>
        <v>629</v>
      </c>
      <c r="W73" s="63">
        <f t="shared" si="28"/>
        <v>627</v>
      </c>
      <c r="X73" s="63">
        <f t="shared" si="28"/>
        <v>648</v>
      </c>
      <c r="Y73" s="63">
        <f t="shared" si="28"/>
        <v>648</v>
      </c>
      <c r="Z73" s="51"/>
      <c r="AA73" s="55">
        <f>ROUND(SUM(B73:Y73),0)</f>
        <v>8040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1</v>
      </c>
      <c r="C77" s="59">
        <v>1</v>
      </c>
      <c r="D77" s="59">
        <v>1</v>
      </c>
      <c r="E77" s="59">
        <v>1</v>
      </c>
      <c r="F77" s="59">
        <v>1</v>
      </c>
      <c r="G77" s="59">
        <v>1</v>
      </c>
      <c r="H77" s="59">
        <v>1</v>
      </c>
      <c r="I77" s="59">
        <v>1</v>
      </c>
      <c r="J77" s="59">
        <v>1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1</v>
      </c>
      <c r="V77" s="59">
        <v>1</v>
      </c>
      <c r="W77" s="59">
        <v>1</v>
      </c>
      <c r="X77" s="59">
        <v>1</v>
      </c>
      <c r="Y77" s="59">
        <v>1</v>
      </c>
      <c r="AB77" t="s">
        <v>447</v>
      </c>
      <c r="AC77">
        <f>COUNTIF($B$76:$Y$85,"&gt;0")/2</f>
        <v>20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/>
      <c r="H78" s="59"/>
      <c r="I78" s="59"/>
      <c r="J78" s="59"/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/>
      <c r="V78" s="59"/>
      <c r="W78" s="59"/>
      <c r="X78" s="59"/>
      <c r="Y78" s="59"/>
      <c r="AB78">
        <v>1</v>
      </c>
      <c r="AC78">
        <f>COUNTIF($B$76:$Y$85,AB78)/2</f>
        <v>20</v>
      </c>
      <c r="AG78" s="5"/>
    </row>
    <row r="79" spans="1:33" x14ac:dyDescent="0.25">
      <c r="A79" s="126" t="str">
        <f>A$18</f>
        <v>beliers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0.8</v>
      </c>
      <c r="N123" s="59">
        <v>0.8</v>
      </c>
      <c r="O123" s="59">
        <v>0.8</v>
      </c>
      <c r="P123" s="59">
        <v>0.8</v>
      </c>
      <c r="Q123" s="59">
        <v>0.5</v>
      </c>
      <c r="R123" s="59">
        <v>0.3</v>
      </c>
      <c r="S123" s="59">
        <v>0.3</v>
      </c>
      <c r="T123" s="59">
        <v>0.3</v>
      </c>
      <c r="U123" s="59">
        <v>0.3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/>
      <c r="V125" s="59"/>
      <c r="W125" s="59"/>
      <c r="X125" s="59"/>
      <c r="Y125" s="59"/>
    </row>
    <row r="126" spans="1:29" x14ac:dyDescent="0.25">
      <c r="A126" s="126" t="str">
        <f>A$18</f>
        <v>beliers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1.0789015513043476</v>
      </c>
      <c r="N136" s="60">
        <f t="shared" si="51"/>
        <v>1.1148649363478258</v>
      </c>
      <c r="O136" s="60">
        <f t="shared" si="51"/>
        <v>1.1148649363478258</v>
      </c>
      <c r="P136" s="60">
        <f t="shared" si="51"/>
        <v>1.1148649363478258</v>
      </c>
      <c r="Q136" s="60">
        <f t="shared" si="51"/>
        <v>2.7871623408695654</v>
      </c>
      <c r="R136" s="60">
        <f t="shared" si="51"/>
        <v>3.7761554295652173</v>
      </c>
      <c r="S136" s="60">
        <f t="shared" si="51"/>
        <v>3.7761554295652173</v>
      </c>
      <c r="T136" s="60">
        <f t="shared" si="51"/>
        <v>3.0650482386086964</v>
      </c>
      <c r="U136" s="60">
        <f t="shared" si="51"/>
        <v>6.0578988034782606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128.50500200695657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0.38777711304347828</v>
      </c>
      <c r="H138" s="60">
        <f t="shared" si="52"/>
        <v>0.37526817391304346</v>
      </c>
      <c r="I138" s="60">
        <f t="shared" si="52"/>
        <v>0.37526817391304346</v>
      </c>
      <c r="J138" s="60">
        <f t="shared" si="52"/>
        <v>0.96944278260869587</v>
      </c>
      <c r="K138" s="60">
        <f t="shared" si="52"/>
        <v>0</v>
      </c>
      <c r="L138" s="60">
        <f t="shared" si="52"/>
        <v>0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5.1224105739130437</v>
      </c>
    </row>
    <row r="139" spans="1:31" x14ac:dyDescent="0.25">
      <c r="A139" s="126" t="str">
        <f>A$18</f>
        <v>beliers</v>
      </c>
      <c r="B139" s="60">
        <f t="shared" si="52"/>
        <v>0.22371756521739136</v>
      </c>
      <c r="C139" s="60">
        <f t="shared" si="52"/>
        <v>0.22371756521739136</v>
      </c>
      <c r="D139" s="60">
        <f t="shared" si="52"/>
        <v>0.20206747826086963</v>
      </c>
      <c r="E139" s="60">
        <f t="shared" si="52"/>
        <v>0.20206747826086963</v>
      </c>
      <c r="F139" s="60">
        <f t="shared" si="52"/>
        <v>0.22371756521739136</v>
      </c>
      <c r="G139" s="60">
        <f t="shared" si="52"/>
        <v>0.22371756521739136</v>
      </c>
      <c r="H139" s="60">
        <f t="shared" si="52"/>
        <v>0.21650086956521744</v>
      </c>
      <c r="I139" s="60">
        <f t="shared" si="52"/>
        <v>0.21650086956521744</v>
      </c>
      <c r="J139" s="60">
        <f t="shared" si="52"/>
        <v>0.22371756521739136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0.22371756521739136</v>
      </c>
      <c r="V139" s="60">
        <f t="shared" si="52"/>
        <v>0.21650086956521744</v>
      </c>
      <c r="W139" s="60">
        <f t="shared" si="52"/>
        <v>0.21650086956521744</v>
      </c>
      <c r="X139" s="60">
        <f t="shared" si="52"/>
        <v>0.22371756521739136</v>
      </c>
      <c r="Y139" s="60">
        <f t="shared" si="52"/>
        <v>0.22371756521739136</v>
      </c>
      <c r="AA139" s="60">
        <f t="shared" si="53"/>
        <v>3.0598789565217399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136.68729153739136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150.35602069113051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4.3156062052173922</v>
      </c>
      <c r="N149" s="60">
        <f t="shared" si="55"/>
        <v>4.459459745391305</v>
      </c>
      <c r="O149" s="60">
        <f t="shared" si="55"/>
        <v>4.459459745391305</v>
      </c>
      <c r="P149" s="60">
        <f t="shared" si="55"/>
        <v>4.459459745391305</v>
      </c>
      <c r="Q149" s="60">
        <f t="shared" si="55"/>
        <v>2.7871623408695654</v>
      </c>
      <c r="R149" s="60">
        <f t="shared" si="55"/>
        <v>1.6183523269565221</v>
      </c>
      <c r="S149" s="60">
        <f t="shared" si="55"/>
        <v>1.6183523269565221</v>
      </c>
      <c r="T149" s="60">
        <f t="shared" si="55"/>
        <v>1.3135921022608699</v>
      </c>
      <c r="U149" s="60">
        <f t="shared" si="55"/>
        <v>2.596242344347826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</v>
      </c>
      <c r="H151" s="60">
        <f t="shared" si="57"/>
        <v>0</v>
      </c>
      <c r="I151" s="60">
        <f t="shared" si="57"/>
        <v>0</v>
      </c>
      <c r="J151" s="60">
        <f t="shared" si="57"/>
        <v>0</v>
      </c>
      <c r="K151" s="60">
        <f t="shared" si="57"/>
        <v>0.96944278260869587</v>
      </c>
      <c r="L151" s="60">
        <f t="shared" si="57"/>
        <v>0.93817043478260886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0.96944278260869587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</v>
      </c>
      <c r="C152" s="60">
        <f t="shared" si="58"/>
        <v>0</v>
      </c>
      <c r="D152" s="60">
        <f t="shared" si="58"/>
        <v>0</v>
      </c>
      <c r="E152" s="60">
        <f t="shared" si="58"/>
        <v>0</v>
      </c>
      <c r="F152" s="60">
        <f t="shared" si="58"/>
        <v>0</v>
      </c>
      <c r="G152" s="60">
        <f t="shared" si="58"/>
        <v>0</v>
      </c>
      <c r="H152" s="60">
        <f t="shared" si="58"/>
        <v>0</v>
      </c>
      <c r="I152" s="60">
        <f t="shared" si="58"/>
        <v>0</v>
      </c>
      <c r="J152" s="60">
        <f t="shared" si="58"/>
        <v>0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</v>
      </c>
      <c r="V152" s="60">
        <f t="shared" si="58"/>
        <v>0</v>
      </c>
      <c r="W152" s="60">
        <f t="shared" si="58"/>
        <v>0</v>
      </c>
      <c r="X152" s="60">
        <f t="shared" si="58"/>
        <v>0</v>
      </c>
      <c r="Y152" s="60">
        <f t="shared" si="58"/>
        <v>0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68.012111926956507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4.3156062052173922</v>
      </c>
      <c r="N162" s="60">
        <f t="shared" si="65"/>
        <v>4.459459745391305</v>
      </c>
      <c r="O162" s="60">
        <f t="shared" si="65"/>
        <v>4.459459745391305</v>
      </c>
      <c r="P162" s="60">
        <f t="shared" si="65"/>
        <v>4.459459745391305</v>
      </c>
      <c r="Q162" s="60">
        <f t="shared" si="65"/>
        <v>2.7871623408695654</v>
      </c>
      <c r="R162" s="60">
        <f t="shared" si="65"/>
        <v>1.6183523269565221</v>
      </c>
      <c r="S162" s="60">
        <f t="shared" si="65"/>
        <v>1.6183523269565221</v>
      </c>
      <c r="T162" s="60">
        <f t="shared" si="65"/>
        <v>1.3135921022608699</v>
      </c>
      <c r="U162" s="60">
        <f t="shared" si="65"/>
        <v>2.596242344347826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0.70843895652173916</v>
      </c>
      <c r="C163" s="60">
        <f t="shared" si="66"/>
        <v>0.70843895652173916</v>
      </c>
      <c r="D163" s="60">
        <f t="shared" si="66"/>
        <v>0.63988034782608705</v>
      </c>
      <c r="E163" s="60">
        <f t="shared" si="66"/>
        <v>0.63988034782608705</v>
      </c>
      <c r="F163" s="60">
        <f t="shared" si="66"/>
        <v>0.70843895652173916</v>
      </c>
      <c r="G163" s="60">
        <f t="shared" si="66"/>
        <v>0.70843895652173916</v>
      </c>
      <c r="H163" s="60">
        <f t="shared" si="66"/>
        <v>0.6855860869565219</v>
      </c>
      <c r="I163" s="60">
        <f t="shared" si="66"/>
        <v>0.6855860869565219</v>
      </c>
      <c r="J163" s="60">
        <f t="shared" si="66"/>
        <v>0.70843895652173916</v>
      </c>
      <c r="K163" s="60">
        <f t="shared" ref="K163:T163" si="67">IF(K77=1,K150,0)</f>
        <v>0</v>
      </c>
      <c r="L163" s="60">
        <f t="shared" si="67"/>
        <v>0</v>
      </c>
      <c r="M163" s="60">
        <f t="shared" si="67"/>
        <v>0</v>
      </c>
      <c r="N163" s="60">
        <f t="shared" si="67"/>
        <v>0</v>
      </c>
      <c r="O163" s="60">
        <f t="shared" si="67"/>
        <v>0</v>
      </c>
      <c r="P163" s="60">
        <f t="shared" si="67"/>
        <v>0</v>
      </c>
      <c r="Q163" s="60">
        <f t="shared" si="67"/>
        <v>0</v>
      </c>
      <c r="R163" s="60">
        <f t="shared" si="67"/>
        <v>0</v>
      </c>
      <c r="S163" s="60">
        <f t="shared" si="67"/>
        <v>0</v>
      </c>
      <c r="T163" s="60">
        <f t="shared" si="67"/>
        <v>0</v>
      </c>
      <c r="U163" s="60">
        <f t="shared" si="66"/>
        <v>0.70843895652173916</v>
      </c>
      <c r="V163" s="60">
        <f t="shared" si="66"/>
        <v>0.6855860869565219</v>
      </c>
      <c r="W163" s="60">
        <f t="shared" si="66"/>
        <v>0.6855860869565219</v>
      </c>
      <c r="X163" s="60">
        <f t="shared" si="66"/>
        <v>0.70843895652173916</v>
      </c>
      <c r="Y163" s="60">
        <f t="shared" si="66"/>
        <v>0.70843895652173916</v>
      </c>
    </row>
    <row r="164" spans="1:28" x14ac:dyDescent="0.25">
      <c r="A164" s="127" t="str">
        <f>A$17</f>
        <v>agnelles</v>
      </c>
      <c r="B164" s="60">
        <f t="shared" ref="B164:Y164" si="68">IF(B78=1,B151,0)</f>
        <v>0</v>
      </c>
      <c r="C164" s="60">
        <f t="shared" si="68"/>
        <v>0</v>
      </c>
      <c r="D164" s="60">
        <f t="shared" si="68"/>
        <v>0</v>
      </c>
      <c r="E164" s="60">
        <f t="shared" si="68"/>
        <v>0</v>
      </c>
      <c r="F164" s="60">
        <f t="shared" si="68"/>
        <v>0</v>
      </c>
      <c r="G164" s="60">
        <f t="shared" si="68"/>
        <v>0</v>
      </c>
      <c r="H164" s="60">
        <f t="shared" si="68"/>
        <v>0</v>
      </c>
      <c r="I164" s="60">
        <f t="shared" si="68"/>
        <v>0</v>
      </c>
      <c r="J164" s="60">
        <f t="shared" si="68"/>
        <v>0</v>
      </c>
      <c r="K164" s="60">
        <f t="shared" si="68"/>
        <v>0.96944278260869587</v>
      </c>
      <c r="L164" s="60">
        <f t="shared" si="68"/>
        <v>0.93817043478260886</v>
      </c>
      <c r="M164" s="60">
        <f t="shared" si="68"/>
        <v>0.93817043478260886</v>
      </c>
      <c r="N164" s="60">
        <f t="shared" si="68"/>
        <v>0.96944278260869587</v>
      </c>
      <c r="O164" s="60">
        <f t="shared" si="68"/>
        <v>0.96944278260869587</v>
      </c>
      <c r="P164" s="60">
        <f t="shared" si="68"/>
        <v>0.96944278260869587</v>
      </c>
      <c r="Q164" s="60">
        <f t="shared" si="68"/>
        <v>0.96944278260869587</v>
      </c>
      <c r="R164" s="60">
        <f t="shared" si="68"/>
        <v>0.93817043478260886</v>
      </c>
      <c r="S164" s="60">
        <f t="shared" si="68"/>
        <v>0.93817043478260886</v>
      </c>
      <c r="T164" s="60">
        <f t="shared" si="68"/>
        <v>0.96944278260869587</v>
      </c>
      <c r="U164" s="60">
        <f t="shared" si="68"/>
        <v>0</v>
      </c>
      <c r="V164" s="60">
        <f t="shared" si="68"/>
        <v>0</v>
      </c>
      <c r="W164" s="60">
        <f t="shared" si="68"/>
        <v>0</v>
      </c>
      <c r="X164" s="60">
        <f t="shared" si="68"/>
        <v>0</v>
      </c>
      <c r="Y164" s="60">
        <f t="shared" si="68"/>
        <v>0</v>
      </c>
    </row>
    <row r="165" spans="1:28" x14ac:dyDescent="0.25">
      <c r="A165" s="126" t="str">
        <f>A$18</f>
        <v>beliers</v>
      </c>
      <c r="B165" s="60">
        <f t="shared" ref="B165:Y165" si="69">IF(B79=1,B152,0)</f>
        <v>0</v>
      </c>
      <c r="C165" s="60">
        <f t="shared" si="69"/>
        <v>0</v>
      </c>
      <c r="D165" s="60">
        <f t="shared" si="69"/>
        <v>0</v>
      </c>
      <c r="E165" s="60">
        <f t="shared" si="69"/>
        <v>0</v>
      </c>
      <c r="F165" s="60">
        <f t="shared" si="69"/>
        <v>0</v>
      </c>
      <c r="G165" s="60">
        <f t="shared" si="69"/>
        <v>0</v>
      </c>
      <c r="H165" s="60">
        <f t="shared" si="69"/>
        <v>0</v>
      </c>
      <c r="I165" s="60">
        <f t="shared" si="69"/>
        <v>0</v>
      </c>
      <c r="J165" s="60">
        <f t="shared" si="69"/>
        <v>0</v>
      </c>
      <c r="K165" s="60">
        <f t="shared" si="69"/>
        <v>0</v>
      </c>
      <c r="L165" s="60">
        <f t="shared" si="69"/>
        <v>0</v>
      </c>
      <c r="M165" s="60">
        <f t="shared" si="69"/>
        <v>0</v>
      </c>
      <c r="N165" s="60">
        <f t="shared" si="69"/>
        <v>0</v>
      </c>
      <c r="O165" s="60">
        <f t="shared" si="69"/>
        <v>0</v>
      </c>
      <c r="P165" s="60">
        <f t="shared" si="69"/>
        <v>0</v>
      </c>
      <c r="Q165" s="60">
        <f t="shared" si="69"/>
        <v>0</v>
      </c>
      <c r="R165" s="60">
        <f t="shared" si="69"/>
        <v>0</v>
      </c>
      <c r="S165" s="60">
        <f t="shared" si="69"/>
        <v>0</v>
      </c>
      <c r="T165" s="60">
        <f t="shared" si="69"/>
        <v>0</v>
      </c>
      <c r="U165" s="60">
        <f t="shared" si="69"/>
        <v>0</v>
      </c>
      <c r="V165" s="60">
        <f t="shared" si="69"/>
        <v>0</v>
      </c>
      <c r="W165" s="60">
        <f t="shared" si="69"/>
        <v>0</v>
      </c>
      <c r="X165" s="60">
        <f t="shared" si="69"/>
        <v>0</v>
      </c>
      <c r="Y165" s="60">
        <f t="shared" si="69"/>
        <v>0</v>
      </c>
    </row>
    <row r="166" spans="1:28" x14ac:dyDescent="0.25">
      <c r="A166" s="127" t="str">
        <f>A$19</f>
        <v>lot5</v>
      </c>
      <c r="B166" s="60">
        <f t="shared" ref="B166:Y166" si="70">IF(B80=1,B153,0)</f>
        <v>0</v>
      </c>
      <c r="C166" s="60">
        <f t="shared" si="70"/>
        <v>0</v>
      </c>
      <c r="D166" s="60">
        <f t="shared" si="70"/>
        <v>0</v>
      </c>
      <c r="E166" s="60">
        <f t="shared" si="70"/>
        <v>0</v>
      </c>
      <c r="F166" s="60">
        <f t="shared" si="70"/>
        <v>0</v>
      </c>
      <c r="G166" s="60">
        <f t="shared" si="70"/>
        <v>0</v>
      </c>
      <c r="H166" s="60">
        <f t="shared" si="70"/>
        <v>0</v>
      </c>
      <c r="I166" s="60">
        <f t="shared" si="70"/>
        <v>0</v>
      </c>
      <c r="J166" s="60">
        <f t="shared" si="70"/>
        <v>0</v>
      </c>
      <c r="K166" s="60">
        <f t="shared" si="70"/>
        <v>0</v>
      </c>
      <c r="L166" s="60">
        <f t="shared" si="70"/>
        <v>0</v>
      </c>
      <c r="M166" s="60">
        <f t="shared" si="70"/>
        <v>0</v>
      </c>
      <c r="N166" s="60">
        <f t="shared" si="70"/>
        <v>0</v>
      </c>
      <c r="O166" s="60">
        <f t="shared" si="70"/>
        <v>0</v>
      </c>
      <c r="P166" s="60">
        <f t="shared" si="70"/>
        <v>0</v>
      </c>
      <c r="Q166" s="60">
        <f t="shared" si="70"/>
        <v>0</v>
      </c>
      <c r="R166" s="60">
        <f t="shared" si="70"/>
        <v>0</v>
      </c>
      <c r="S166" s="60">
        <f t="shared" si="70"/>
        <v>0</v>
      </c>
      <c r="T166" s="60">
        <f t="shared" si="70"/>
        <v>0</v>
      </c>
      <c r="U166" s="60">
        <f t="shared" si="70"/>
        <v>0</v>
      </c>
      <c r="V166" s="60">
        <f t="shared" si="70"/>
        <v>0</v>
      </c>
      <c r="W166" s="60">
        <f t="shared" si="70"/>
        <v>0</v>
      </c>
      <c r="X166" s="60">
        <f t="shared" si="70"/>
        <v>0</v>
      </c>
      <c r="Y166" s="60">
        <f t="shared" si="70"/>
        <v>0</v>
      </c>
    </row>
    <row r="167" spans="1:28" x14ac:dyDescent="0.25">
      <c r="A167" s="126" t="str">
        <f>A$20</f>
        <v>lot6</v>
      </c>
      <c r="B167" s="60">
        <f t="shared" ref="B167:Y167" si="71">IF(B81=1,B154,0)</f>
        <v>0</v>
      </c>
      <c r="C167" s="60">
        <f t="shared" si="71"/>
        <v>0</v>
      </c>
      <c r="D167" s="60">
        <f t="shared" si="71"/>
        <v>0</v>
      </c>
      <c r="E167" s="60">
        <f t="shared" si="71"/>
        <v>0</v>
      </c>
      <c r="F167" s="60">
        <f t="shared" si="71"/>
        <v>0</v>
      </c>
      <c r="G167" s="60">
        <f t="shared" si="71"/>
        <v>0</v>
      </c>
      <c r="H167" s="60">
        <f t="shared" si="71"/>
        <v>0</v>
      </c>
      <c r="I167" s="60">
        <f t="shared" si="71"/>
        <v>0</v>
      </c>
      <c r="J167" s="60">
        <f t="shared" si="71"/>
        <v>0</v>
      </c>
      <c r="K167" s="60">
        <f t="shared" si="71"/>
        <v>0</v>
      </c>
      <c r="L167" s="60">
        <f t="shared" si="71"/>
        <v>0</v>
      </c>
      <c r="M167" s="60">
        <f t="shared" si="71"/>
        <v>0</v>
      </c>
      <c r="N167" s="60">
        <f t="shared" si="71"/>
        <v>0</v>
      </c>
      <c r="O167" s="60">
        <f t="shared" si="71"/>
        <v>0</v>
      </c>
      <c r="P167" s="60">
        <f t="shared" si="71"/>
        <v>0</v>
      </c>
      <c r="Q167" s="60">
        <f t="shared" si="71"/>
        <v>0</v>
      </c>
      <c r="R167" s="60">
        <f t="shared" si="71"/>
        <v>0</v>
      </c>
      <c r="S167" s="60">
        <f t="shared" si="71"/>
        <v>0</v>
      </c>
      <c r="T167" s="60">
        <f t="shared" si="71"/>
        <v>0</v>
      </c>
      <c r="U167" s="60">
        <f t="shared" si="71"/>
        <v>0</v>
      </c>
      <c r="V167" s="60">
        <f t="shared" si="71"/>
        <v>0</v>
      </c>
      <c r="W167" s="60">
        <f t="shared" si="71"/>
        <v>0</v>
      </c>
      <c r="X167" s="60">
        <f t="shared" si="71"/>
        <v>0</v>
      </c>
      <c r="Y167" s="60">
        <f t="shared" si="71"/>
        <v>0</v>
      </c>
    </row>
    <row r="168" spans="1:28" x14ac:dyDescent="0.25">
      <c r="A168" s="127" t="str">
        <f>A$21</f>
        <v>lot7</v>
      </c>
      <c r="B168" s="60">
        <f t="shared" ref="B168:Y168" si="72">IF(B82=1,B155,0)</f>
        <v>0</v>
      </c>
      <c r="C168" s="60">
        <f t="shared" si="72"/>
        <v>0</v>
      </c>
      <c r="D168" s="60">
        <f t="shared" si="72"/>
        <v>0</v>
      </c>
      <c r="E168" s="60">
        <f t="shared" si="72"/>
        <v>0</v>
      </c>
      <c r="F168" s="60">
        <f t="shared" si="72"/>
        <v>0</v>
      </c>
      <c r="G168" s="60">
        <f t="shared" si="72"/>
        <v>0</v>
      </c>
      <c r="H168" s="60">
        <f t="shared" si="72"/>
        <v>0</v>
      </c>
      <c r="I168" s="60">
        <f t="shared" si="72"/>
        <v>0</v>
      </c>
      <c r="J168" s="60">
        <f t="shared" si="72"/>
        <v>0</v>
      </c>
      <c r="K168" s="60">
        <f t="shared" si="72"/>
        <v>0</v>
      </c>
      <c r="L168" s="60">
        <f t="shared" si="72"/>
        <v>0</v>
      </c>
      <c r="M168" s="60">
        <f t="shared" si="72"/>
        <v>0</v>
      </c>
      <c r="N168" s="60">
        <f t="shared" si="72"/>
        <v>0</v>
      </c>
      <c r="O168" s="60">
        <f t="shared" si="72"/>
        <v>0</v>
      </c>
      <c r="P168" s="60">
        <f t="shared" si="72"/>
        <v>0</v>
      </c>
      <c r="Q168" s="60">
        <f t="shared" si="72"/>
        <v>0</v>
      </c>
      <c r="R168" s="60">
        <f t="shared" si="72"/>
        <v>0</v>
      </c>
      <c r="S168" s="60">
        <f t="shared" si="72"/>
        <v>0</v>
      </c>
      <c r="T168" s="60">
        <f t="shared" si="72"/>
        <v>0</v>
      </c>
      <c r="U168" s="60">
        <f t="shared" si="72"/>
        <v>0</v>
      </c>
      <c r="V168" s="60">
        <f t="shared" si="72"/>
        <v>0</v>
      </c>
      <c r="W168" s="60">
        <f t="shared" si="72"/>
        <v>0</v>
      </c>
      <c r="X168" s="60">
        <f t="shared" si="72"/>
        <v>0</v>
      </c>
      <c r="Y168" s="60">
        <f t="shared" si="72"/>
        <v>0</v>
      </c>
    </row>
    <row r="169" spans="1:28" x14ac:dyDescent="0.25">
      <c r="A169" s="127" t="str">
        <f>A$22</f>
        <v>lot8</v>
      </c>
      <c r="B169" s="60">
        <f t="shared" ref="B169:Y169" si="73">IF(B83=1,B156,0)</f>
        <v>0</v>
      </c>
      <c r="C169" s="60">
        <f t="shared" si="73"/>
        <v>0</v>
      </c>
      <c r="D169" s="60">
        <f t="shared" si="73"/>
        <v>0</v>
      </c>
      <c r="E169" s="60">
        <f t="shared" si="73"/>
        <v>0</v>
      </c>
      <c r="F169" s="60">
        <f t="shared" si="73"/>
        <v>0</v>
      </c>
      <c r="G169" s="60">
        <f t="shared" si="73"/>
        <v>0</v>
      </c>
      <c r="H169" s="60">
        <f t="shared" si="73"/>
        <v>0</v>
      </c>
      <c r="I169" s="60">
        <f t="shared" si="73"/>
        <v>0</v>
      </c>
      <c r="J169" s="60">
        <f t="shared" si="73"/>
        <v>0</v>
      </c>
      <c r="K169" s="60">
        <f t="shared" si="73"/>
        <v>0</v>
      </c>
      <c r="L169" s="60">
        <f t="shared" si="73"/>
        <v>0</v>
      </c>
      <c r="M169" s="60">
        <f t="shared" si="73"/>
        <v>0</v>
      </c>
      <c r="N169" s="60">
        <f t="shared" si="73"/>
        <v>0</v>
      </c>
      <c r="O169" s="60">
        <f t="shared" si="73"/>
        <v>0</v>
      </c>
      <c r="P169" s="60">
        <f t="shared" si="73"/>
        <v>0</v>
      </c>
      <c r="Q169" s="60">
        <f t="shared" si="73"/>
        <v>0</v>
      </c>
      <c r="R169" s="60">
        <f t="shared" si="73"/>
        <v>0</v>
      </c>
      <c r="S169" s="60">
        <f t="shared" si="73"/>
        <v>0</v>
      </c>
      <c r="T169" s="60">
        <f t="shared" si="73"/>
        <v>0</v>
      </c>
      <c r="U169" s="60">
        <f t="shared" si="73"/>
        <v>0</v>
      </c>
      <c r="V169" s="60">
        <f t="shared" si="73"/>
        <v>0</v>
      </c>
      <c r="W169" s="60">
        <f t="shared" si="73"/>
        <v>0</v>
      </c>
      <c r="X169" s="60">
        <f t="shared" si="73"/>
        <v>0</v>
      </c>
      <c r="Y169" s="60">
        <f t="shared" si="73"/>
        <v>0</v>
      </c>
    </row>
    <row r="170" spans="1:28" x14ac:dyDescent="0.25">
      <c r="A170" s="126" t="str">
        <f>A$23</f>
        <v>lot9</v>
      </c>
      <c r="B170" s="60">
        <f t="shared" ref="B170:Y170" si="74">IF(B84=1,B157,0)</f>
        <v>0</v>
      </c>
      <c r="C170" s="60">
        <f t="shared" si="74"/>
        <v>0</v>
      </c>
      <c r="D170" s="60">
        <f t="shared" si="74"/>
        <v>0</v>
      </c>
      <c r="E170" s="60">
        <f t="shared" si="74"/>
        <v>0</v>
      </c>
      <c r="F170" s="60">
        <f t="shared" si="74"/>
        <v>0</v>
      </c>
      <c r="G170" s="60">
        <f t="shared" si="74"/>
        <v>0</v>
      </c>
      <c r="H170" s="60">
        <f t="shared" si="74"/>
        <v>0</v>
      </c>
      <c r="I170" s="60">
        <f t="shared" si="74"/>
        <v>0</v>
      </c>
      <c r="J170" s="60">
        <f t="shared" si="74"/>
        <v>0</v>
      </c>
      <c r="K170" s="60">
        <f t="shared" si="74"/>
        <v>0</v>
      </c>
      <c r="L170" s="60">
        <f t="shared" si="74"/>
        <v>0</v>
      </c>
      <c r="M170" s="60">
        <f t="shared" si="74"/>
        <v>0</v>
      </c>
      <c r="N170" s="60">
        <f t="shared" si="74"/>
        <v>0</v>
      </c>
      <c r="O170" s="60">
        <f t="shared" si="74"/>
        <v>0</v>
      </c>
      <c r="P170" s="60">
        <f t="shared" si="74"/>
        <v>0</v>
      </c>
      <c r="Q170" s="60">
        <f t="shared" si="74"/>
        <v>0</v>
      </c>
      <c r="R170" s="60">
        <f t="shared" si="74"/>
        <v>0</v>
      </c>
      <c r="S170" s="60">
        <f t="shared" si="74"/>
        <v>0</v>
      </c>
      <c r="T170" s="60">
        <f t="shared" si="74"/>
        <v>0</v>
      </c>
      <c r="U170" s="60">
        <f t="shared" si="74"/>
        <v>0</v>
      </c>
      <c r="V170" s="60">
        <f t="shared" si="74"/>
        <v>0</v>
      </c>
      <c r="W170" s="60">
        <f t="shared" si="74"/>
        <v>0</v>
      </c>
      <c r="X170" s="60">
        <f t="shared" si="74"/>
        <v>0</v>
      </c>
      <c r="Y170" s="60">
        <f t="shared" si="74"/>
        <v>0</v>
      </c>
    </row>
    <row r="171" spans="1:28" x14ac:dyDescent="0.25">
      <c r="A171" s="127" t="str">
        <f>A$24</f>
        <v>lot10</v>
      </c>
      <c r="B171" s="60">
        <f t="shared" ref="B171:Y171" si="75">IF(B85=1,B158,0)</f>
        <v>0</v>
      </c>
      <c r="C171" s="60">
        <f t="shared" si="75"/>
        <v>0</v>
      </c>
      <c r="D171" s="60">
        <f t="shared" si="75"/>
        <v>0</v>
      </c>
      <c r="E171" s="60">
        <f t="shared" si="75"/>
        <v>0</v>
      </c>
      <c r="F171" s="60">
        <f t="shared" si="75"/>
        <v>0</v>
      </c>
      <c r="G171" s="60">
        <f t="shared" si="75"/>
        <v>0</v>
      </c>
      <c r="H171" s="60">
        <f t="shared" si="75"/>
        <v>0</v>
      </c>
      <c r="I171" s="60">
        <f t="shared" si="75"/>
        <v>0</v>
      </c>
      <c r="J171" s="60">
        <f t="shared" si="75"/>
        <v>0</v>
      </c>
      <c r="K171" s="60">
        <f t="shared" si="75"/>
        <v>0</v>
      </c>
      <c r="L171" s="60">
        <f t="shared" si="75"/>
        <v>0</v>
      </c>
      <c r="M171" s="60">
        <f t="shared" si="75"/>
        <v>0</v>
      </c>
      <c r="N171" s="60">
        <f t="shared" si="75"/>
        <v>0</v>
      </c>
      <c r="O171" s="60">
        <f t="shared" si="75"/>
        <v>0</v>
      </c>
      <c r="P171" s="60">
        <f t="shared" si="75"/>
        <v>0</v>
      </c>
      <c r="Q171" s="60">
        <f t="shared" si="75"/>
        <v>0</v>
      </c>
      <c r="R171" s="60">
        <f t="shared" si="75"/>
        <v>0</v>
      </c>
      <c r="S171" s="60">
        <f t="shared" si="75"/>
        <v>0</v>
      </c>
      <c r="T171" s="60">
        <f t="shared" si="75"/>
        <v>0</v>
      </c>
      <c r="U171" s="60">
        <f t="shared" si="75"/>
        <v>0</v>
      </c>
      <c r="V171" s="60">
        <f t="shared" si="75"/>
        <v>0</v>
      </c>
      <c r="W171" s="60">
        <f t="shared" si="75"/>
        <v>0</v>
      </c>
      <c r="X171" s="60">
        <f t="shared" si="75"/>
        <v>0</v>
      </c>
      <c r="Y171" s="60">
        <f t="shared" si="75"/>
        <v>0</v>
      </c>
    </row>
    <row r="172" spans="1:28" x14ac:dyDescent="0.25">
      <c r="A172" s="38" t="s">
        <v>210</v>
      </c>
      <c r="B172" s="60">
        <f>SUM(B162:B171)</f>
        <v>0.70843895652173916</v>
      </c>
      <c r="C172" s="60">
        <f t="shared" ref="C172:Y172" si="76">SUM(C162:C171)</f>
        <v>0.70843895652173916</v>
      </c>
      <c r="D172" s="60">
        <f t="shared" si="76"/>
        <v>0.63988034782608705</v>
      </c>
      <c r="E172" s="60">
        <f t="shared" si="76"/>
        <v>0.63988034782608705</v>
      </c>
      <c r="F172" s="60">
        <f t="shared" si="76"/>
        <v>0.70843895652173916</v>
      </c>
      <c r="G172" s="60">
        <f t="shared" si="76"/>
        <v>3.3970680507826092</v>
      </c>
      <c r="H172" s="60">
        <f t="shared" si="76"/>
        <v>3.2740038678260888</v>
      </c>
      <c r="I172" s="60">
        <f t="shared" si="76"/>
        <v>3.2605225252173922</v>
      </c>
      <c r="J172" s="60">
        <f t="shared" si="76"/>
        <v>3.341345168000001</v>
      </c>
      <c r="K172" s="60">
        <f t="shared" si="76"/>
        <v>3.7566051234782614</v>
      </c>
      <c r="L172" s="60">
        <f t="shared" si="76"/>
        <v>3.6354243130434787</v>
      </c>
      <c r="M172" s="60">
        <f t="shared" si="76"/>
        <v>5.2537766400000008</v>
      </c>
      <c r="N172" s="60">
        <f t="shared" si="76"/>
        <v>5.4289025280000009</v>
      </c>
      <c r="O172" s="60">
        <f t="shared" si="76"/>
        <v>5.4289025280000009</v>
      </c>
      <c r="P172" s="60">
        <f t="shared" si="76"/>
        <v>5.4289025280000009</v>
      </c>
      <c r="Q172" s="60">
        <f t="shared" si="76"/>
        <v>3.7566051234782614</v>
      </c>
      <c r="R172" s="60">
        <f t="shared" si="76"/>
        <v>2.5565227617391311</v>
      </c>
      <c r="S172" s="60">
        <f t="shared" si="76"/>
        <v>2.5565227617391311</v>
      </c>
      <c r="T172" s="60">
        <f t="shared" si="76"/>
        <v>2.2830348848695659</v>
      </c>
      <c r="U172" s="60">
        <f t="shared" si="76"/>
        <v>3.3046813008695652</v>
      </c>
      <c r="V172" s="60">
        <f t="shared" si="76"/>
        <v>0.6855860869565219</v>
      </c>
      <c r="W172" s="60">
        <f t="shared" si="76"/>
        <v>0.6855860869565219</v>
      </c>
      <c r="X172" s="60">
        <f t="shared" si="76"/>
        <v>0.70843895652173916</v>
      </c>
      <c r="Y172" s="60">
        <f t="shared" si="76"/>
        <v>0.70843895652173916</v>
      </c>
      <c r="AA172" s="63">
        <f>SUM(B172:Y172)</f>
        <v>62.8559477572174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7">IF(B76=2,B149,0)</f>
        <v>0</v>
      </c>
      <c r="C175" s="60">
        <f t="shared" si="77"/>
        <v>0</v>
      </c>
      <c r="D175" s="60">
        <f t="shared" si="77"/>
        <v>0</v>
      </c>
      <c r="E175" s="60">
        <f t="shared" si="77"/>
        <v>0</v>
      </c>
      <c r="F175" s="60">
        <f t="shared" si="77"/>
        <v>0</v>
      </c>
      <c r="G175" s="60">
        <f t="shared" si="77"/>
        <v>0</v>
      </c>
      <c r="H175" s="60">
        <f t="shared" si="77"/>
        <v>0</v>
      </c>
      <c r="I175" s="60">
        <f t="shared" si="77"/>
        <v>0</v>
      </c>
      <c r="J175" s="60">
        <f t="shared" si="77"/>
        <v>0</v>
      </c>
      <c r="K175" s="60">
        <f t="shared" si="77"/>
        <v>0</v>
      </c>
      <c r="L175" s="60">
        <f t="shared" si="77"/>
        <v>0</v>
      </c>
      <c r="M175" s="60">
        <f t="shared" si="77"/>
        <v>0</v>
      </c>
      <c r="N175" s="60">
        <f t="shared" si="77"/>
        <v>0</v>
      </c>
      <c r="O175" s="60">
        <f t="shared" si="77"/>
        <v>0</v>
      </c>
      <c r="P175" s="60">
        <f t="shared" si="77"/>
        <v>0</v>
      </c>
      <c r="Q175" s="60">
        <f t="shared" si="77"/>
        <v>0</v>
      </c>
      <c r="R175" s="60">
        <f t="shared" si="77"/>
        <v>0</v>
      </c>
      <c r="S175" s="60">
        <f t="shared" si="77"/>
        <v>0</v>
      </c>
      <c r="T175" s="60">
        <f t="shared" si="77"/>
        <v>0</v>
      </c>
      <c r="U175" s="60">
        <f t="shared" si="77"/>
        <v>0</v>
      </c>
      <c r="V175" s="60">
        <f t="shared" si="77"/>
        <v>0</v>
      </c>
      <c r="W175" s="60">
        <f t="shared" si="77"/>
        <v>0</v>
      </c>
      <c r="X175" s="60">
        <f t="shared" si="77"/>
        <v>0</v>
      </c>
      <c r="Y175" s="60">
        <f t="shared" si="77"/>
        <v>0</v>
      </c>
    </row>
    <row r="176" spans="1:28" x14ac:dyDescent="0.25">
      <c r="A176" s="127" t="str">
        <f>A$16</f>
        <v>vides</v>
      </c>
      <c r="B176" s="60">
        <f t="shared" ref="B176:Y176" si="78">IF(B77=2,B150,0)</f>
        <v>0</v>
      </c>
      <c r="C176" s="60">
        <f t="shared" si="78"/>
        <v>0</v>
      </c>
      <c r="D176" s="60">
        <f t="shared" si="78"/>
        <v>0</v>
      </c>
      <c r="E176" s="60">
        <f t="shared" si="78"/>
        <v>0</v>
      </c>
      <c r="F176" s="60">
        <f t="shared" si="78"/>
        <v>0</v>
      </c>
      <c r="G176" s="60">
        <f t="shared" si="78"/>
        <v>0</v>
      </c>
      <c r="H176" s="60">
        <f t="shared" si="78"/>
        <v>0</v>
      </c>
      <c r="I176" s="60">
        <f t="shared" si="78"/>
        <v>0</v>
      </c>
      <c r="J176" s="60">
        <f t="shared" si="78"/>
        <v>0</v>
      </c>
      <c r="K176" s="60">
        <f t="shared" ref="K176:T176" si="79">IF(K77=2,K150,0)</f>
        <v>0</v>
      </c>
      <c r="L176" s="60">
        <f t="shared" si="79"/>
        <v>0</v>
      </c>
      <c r="M176" s="60">
        <f t="shared" si="79"/>
        <v>0</v>
      </c>
      <c r="N176" s="60">
        <f t="shared" si="79"/>
        <v>0</v>
      </c>
      <c r="O176" s="60">
        <f t="shared" si="79"/>
        <v>0</v>
      </c>
      <c r="P176" s="60">
        <f t="shared" si="79"/>
        <v>0</v>
      </c>
      <c r="Q176" s="60">
        <f t="shared" si="79"/>
        <v>0</v>
      </c>
      <c r="R176" s="60">
        <f t="shared" si="79"/>
        <v>0</v>
      </c>
      <c r="S176" s="60">
        <f t="shared" si="79"/>
        <v>0</v>
      </c>
      <c r="T176" s="60">
        <f t="shared" si="79"/>
        <v>0</v>
      </c>
      <c r="U176" s="60">
        <f t="shared" si="78"/>
        <v>0</v>
      </c>
      <c r="V176" s="60">
        <f t="shared" si="78"/>
        <v>0</v>
      </c>
      <c r="W176" s="60">
        <f t="shared" si="78"/>
        <v>0</v>
      </c>
      <c r="X176" s="60">
        <f t="shared" si="78"/>
        <v>0</v>
      </c>
      <c r="Y176" s="60">
        <f t="shared" si="78"/>
        <v>0</v>
      </c>
    </row>
    <row r="177" spans="1:28" x14ac:dyDescent="0.25">
      <c r="A177" s="126" t="str">
        <f>A$17</f>
        <v>agnelles</v>
      </c>
      <c r="B177" s="60">
        <f t="shared" ref="B177:Y177" si="80">IF(B78=2,B151,0)</f>
        <v>0</v>
      </c>
      <c r="C177" s="60">
        <f t="shared" si="80"/>
        <v>0</v>
      </c>
      <c r="D177" s="60">
        <f t="shared" si="80"/>
        <v>0</v>
      </c>
      <c r="E177" s="60">
        <f t="shared" si="80"/>
        <v>0</v>
      </c>
      <c r="F177" s="60">
        <f t="shared" si="80"/>
        <v>0</v>
      </c>
      <c r="G177" s="60">
        <f t="shared" si="80"/>
        <v>0</v>
      </c>
      <c r="H177" s="60">
        <f t="shared" si="80"/>
        <v>0</v>
      </c>
      <c r="I177" s="60">
        <f t="shared" si="80"/>
        <v>0</v>
      </c>
      <c r="J177" s="60">
        <f t="shared" si="80"/>
        <v>0</v>
      </c>
      <c r="K177" s="60">
        <f t="shared" si="80"/>
        <v>0</v>
      </c>
      <c r="L177" s="60">
        <f t="shared" si="80"/>
        <v>0</v>
      </c>
      <c r="M177" s="60">
        <f t="shared" si="80"/>
        <v>0</v>
      </c>
      <c r="N177" s="60">
        <f t="shared" si="80"/>
        <v>0</v>
      </c>
      <c r="O177" s="60">
        <f t="shared" si="80"/>
        <v>0</v>
      </c>
      <c r="P177" s="60">
        <f t="shared" si="80"/>
        <v>0</v>
      </c>
      <c r="Q177" s="60">
        <f t="shared" si="80"/>
        <v>0</v>
      </c>
      <c r="R177" s="60">
        <f t="shared" si="80"/>
        <v>0</v>
      </c>
      <c r="S177" s="60">
        <f t="shared" si="80"/>
        <v>0</v>
      </c>
      <c r="T177" s="60">
        <f t="shared" si="80"/>
        <v>0</v>
      </c>
      <c r="U177" s="60">
        <f t="shared" si="80"/>
        <v>0</v>
      </c>
      <c r="V177" s="60">
        <f t="shared" si="80"/>
        <v>0</v>
      </c>
      <c r="W177" s="60">
        <f t="shared" si="80"/>
        <v>0</v>
      </c>
      <c r="X177" s="60">
        <f t="shared" si="80"/>
        <v>0</v>
      </c>
      <c r="Y177" s="60">
        <f t="shared" si="80"/>
        <v>0</v>
      </c>
    </row>
    <row r="178" spans="1:28" x14ac:dyDescent="0.25">
      <c r="A178" s="127" t="str">
        <f>A$18</f>
        <v>beliers</v>
      </c>
      <c r="B178" s="60">
        <f t="shared" ref="B178:Y178" si="81">IF(B79=2,B152,0)</f>
        <v>0</v>
      </c>
      <c r="C178" s="60">
        <f t="shared" si="81"/>
        <v>0</v>
      </c>
      <c r="D178" s="60">
        <f t="shared" si="81"/>
        <v>0</v>
      </c>
      <c r="E178" s="60">
        <f t="shared" si="81"/>
        <v>0</v>
      </c>
      <c r="F178" s="60">
        <f t="shared" si="81"/>
        <v>0</v>
      </c>
      <c r="G178" s="60">
        <f t="shared" si="81"/>
        <v>0</v>
      </c>
      <c r="H178" s="60">
        <f t="shared" si="81"/>
        <v>0</v>
      </c>
      <c r="I178" s="60">
        <f t="shared" si="81"/>
        <v>0</v>
      </c>
      <c r="J178" s="60">
        <f t="shared" si="81"/>
        <v>0</v>
      </c>
      <c r="K178" s="60">
        <f t="shared" si="81"/>
        <v>0</v>
      </c>
      <c r="L178" s="60">
        <f t="shared" si="81"/>
        <v>0</v>
      </c>
      <c r="M178" s="60">
        <f t="shared" si="81"/>
        <v>0</v>
      </c>
      <c r="N178" s="60">
        <f t="shared" si="81"/>
        <v>0</v>
      </c>
      <c r="O178" s="60">
        <f t="shared" si="81"/>
        <v>0</v>
      </c>
      <c r="P178" s="60">
        <f t="shared" si="81"/>
        <v>0</v>
      </c>
      <c r="Q178" s="60">
        <f t="shared" si="81"/>
        <v>0</v>
      </c>
      <c r="R178" s="60">
        <f t="shared" si="81"/>
        <v>0</v>
      </c>
      <c r="S178" s="60">
        <f t="shared" si="81"/>
        <v>0</v>
      </c>
      <c r="T178" s="60">
        <f t="shared" si="81"/>
        <v>0</v>
      </c>
      <c r="U178" s="60">
        <f t="shared" si="81"/>
        <v>0</v>
      </c>
      <c r="V178" s="60">
        <f t="shared" si="81"/>
        <v>0</v>
      </c>
      <c r="W178" s="60">
        <f t="shared" si="81"/>
        <v>0</v>
      </c>
      <c r="X178" s="60">
        <f t="shared" si="81"/>
        <v>0</v>
      </c>
      <c r="Y178" s="60">
        <f t="shared" si="81"/>
        <v>0</v>
      </c>
    </row>
    <row r="179" spans="1:28" x14ac:dyDescent="0.25">
      <c r="A179" s="127" t="str">
        <f>A$19</f>
        <v>lot5</v>
      </c>
      <c r="B179" s="60">
        <f t="shared" ref="B179:Y179" si="82">IF(B80=2,B153,0)</f>
        <v>0</v>
      </c>
      <c r="C179" s="60">
        <f t="shared" si="82"/>
        <v>0</v>
      </c>
      <c r="D179" s="60">
        <f t="shared" si="82"/>
        <v>0</v>
      </c>
      <c r="E179" s="60">
        <f t="shared" si="82"/>
        <v>0</v>
      </c>
      <c r="F179" s="60">
        <f t="shared" si="82"/>
        <v>0</v>
      </c>
      <c r="G179" s="60">
        <f t="shared" si="82"/>
        <v>0</v>
      </c>
      <c r="H179" s="60">
        <f t="shared" si="82"/>
        <v>0</v>
      </c>
      <c r="I179" s="60">
        <f t="shared" si="82"/>
        <v>0</v>
      </c>
      <c r="J179" s="60">
        <f t="shared" si="82"/>
        <v>0</v>
      </c>
      <c r="K179" s="60">
        <f t="shared" si="82"/>
        <v>0</v>
      </c>
      <c r="L179" s="60">
        <f t="shared" si="82"/>
        <v>0</v>
      </c>
      <c r="M179" s="60">
        <f t="shared" si="82"/>
        <v>0</v>
      </c>
      <c r="N179" s="60">
        <f t="shared" si="82"/>
        <v>0</v>
      </c>
      <c r="O179" s="60">
        <f t="shared" si="82"/>
        <v>0</v>
      </c>
      <c r="P179" s="60">
        <f t="shared" si="82"/>
        <v>0</v>
      </c>
      <c r="Q179" s="60">
        <f t="shared" si="82"/>
        <v>0</v>
      </c>
      <c r="R179" s="60">
        <f t="shared" si="82"/>
        <v>0</v>
      </c>
      <c r="S179" s="60">
        <f t="shared" si="82"/>
        <v>0</v>
      </c>
      <c r="T179" s="60">
        <f t="shared" si="82"/>
        <v>0</v>
      </c>
      <c r="U179" s="60">
        <f t="shared" si="82"/>
        <v>0</v>
      </c>
      <c r="V179" s="60">
        <f t="shared" si="82"/>
        <v>0</v>
      </c>
      <c r="W179" s="60">
        <f t="shared" si="82"/>
        <v>0</v>
      </c>
      <c r="X179" s="60">
        <f t="shared" si="82"/>
        <v>0</v>
      </c>
      <c r="Y179" s="60">
        <f t="shared" si="82"/>
        <v>0</v>
      </c>
    </row>
    <row r="180" spans="1:28" x14ac:dyDescent="0.25">
      <c r="A180" s="127" t="str">
        <f>A$20</f>
        <v>lot6</v>
      </c>
      <c r="B180" s="60">
        <f t="shared" ref="B180:Y180" si="83">IF(B81=2,B154,0)</f>
        <v>0</v>
      </c>
      <c r="C180" s="60">
        <f t="shared" si="83"/>
        <v>0</v>
      </c>
      <c r="D180" s="60">
        <f t="shared" si="83"/>
        <v>0</v>
      </c>
      <c r="E180" s="60">
        <f t="shared" si="83"/>
        <v>0</v>
      </c>
      <c r="F180" s="60">
        <f t="shared" si="83"/>
        <v>0</v>
      </c>
      <c r="G180" s="60">
        <f t="shared" si="83"/>
        <v>0</v>
      </c>
      <c r="H180" s="60">
        <f t="shared" si="83"/>
        <v>0</v>
      </c>
      <c r="I180" s="60">
        <f t="shared" si="83"/>
        <v>0</v>
      </c>
      <c r="J180" s="60">
        <f t="shared" si="83"/>
        <v>0</v>
      </c>
      <c r="K180" s="60">
        <f t="shared" si="83"/>
        <v>0</v>
      </c>
      <c r="L180" s="60">
        <f t="shared" si="83"/>
        <v>0</v>
      </c>
      <c r="M180" s="60">
        <f t="shared" si="83"/>
        <v>0</v>
      </c>
      <c r="N180" s="60">
        <f t="shared" si="83"/>
        <v>0</v>
      </c>
      <c r="O180" s="60">
        <f t="shared" si="83"/>
        <v>0</v>
      </c>
      <c r="P180" s="60">
        <f t="shared" si="83"/>
        <v>0</v>
      </c>
      <c r="Q180" s="60">
        <f t="shared" si="83"/>
        <v>0</v>
      </c>
      <c r="R180" s="60">
        <f t="shared" si="83"/>
        <v>0</v>
      </c>
      <c r="S180" s="60">
        <f t="shared" si="83"/>
        <v>0</v>
      </c>
      <c r="T180" s="60">
        <f t="shared" si="83"/>
        <v>0</v>
      </c>
      <c r="U180" s="60">
        <f t="shared" si="83"/>
        <v>0</v>
      </c>
      <c r="V180" s="60">
        <f t="shared" si="83"/>
        <v>0</v>
      </c>
      <c r="W180" s="60">
        <f t="shared" si="83"/>
        <v>0</v>
      </c>
      <c r="X180" s="60">
        <f t="shared" si="83"/>
        <v>0</v>
      </c>
      <c r="Y180" s="60">
        <f t="shared" si="83"/>
        <v>0</v>
      </c>
    </row>
    <row r="181" spans="1:28" x14ac:dyDescent="0.25">
      <c r="A181" s="126" t="str">
        <f>A$21</f>
        <v>lot7</v>
      </c>
      <c r="B181" s="60">
        <f t="shared" ref="B181:Y181" si="84">IF(B82=2,B155,0)</f>
        <v>0</v>
      </c>
      <c r="C181" s="60">
        <f t="shared" si="84"/>
        <v>0</v>
      </c>
      <c r="D181" s="60">
        <f t="shared" si="84"/>
        <v>0</v>
      </c>
      <c r="E181" s="60">
        <f t="shared" si="84"/>
        <v>0</v>
      </c>
      <c r="F181" s="60">
        <f t="shared" si="84"/>
        <v>0</v>
      </c>
      <c r="G181" s="60">
        <f t="shared" si="84"/>
        <v>0</v>
      </c>
      <c r="H181" s="60">
        <f t="shared" si="84"/>
        <v>0</v>
      </c>
      <c r="I181" s="60">
        <f t="shared" si="84"/>
        <v>0</v>
      </c>
      <c r="J181" s="60">
        <f t="shared" si="84"/>
        <v>0</v>
      </c>
      <c r="K181" s="60">
        <f t="shared" si="84"/>
        <v>0</v>
      </c>
      <c r="L181" s="60">
        <f t="shared" si="84"/>
        <v>0</v>
      </c>
      <c r="M181" s="60">
        <f t="shared" si="84"/>
        <v>0</v>
      </c>
      <c r="N181" s="60">
        <f t="shared" si="84"/>
        <v>0</v>
      </c>
      <c r="O181" s="60">
        <f t="shared" si="84"/>
        <v>0</v>
      </c>
      <c r="P181" s="60">
        <f t="shared" si="84"/>
        <v>0</v>
      </c>
      <c r="Q181" s="60">
        <f t="shared" si="84"/>
        <v>0</v>
      </c>
      <c r="R181" s="60">
        <f t="shared" si="84"/>
        <v>0</v>
      </c>
      <c r="S181" s="60">
        <f t="shared" si="84"/>
        <v>0</v>
      </c>
      <c r="T181" s="60">
        <f t="shared" si="84"/>
        <v>0</v>
      </c>
      <c r="U181" s="60">
        <f t="shared" si="84"/>
        <v>0</v>
      </c>
      <c r="V181" s="60">
        <f t="shared" si="84"/>
        <v>0</v>
      </c>
      <c r="W181" s="60">
        <f t="shared" si="84"/>
        <v>0</v>
      </c>
      <c r="X181" s="60">
        <f t="shared" si="84"/>
        <v>0</v>
      </c>
      <c r="Y181" s="60">
        <f t="shared" si="84"/>
        <v>0</v>
      </c>
    </row>
    <row r="182" spans="1:28" x14ac:dyDescent="0.25">
      <c r="A182" s="127" t="str">
        <f>A$22</f>
        <v>lot8</v>
      </c>
      <c r="B182" s="60">
        <f t="shared" ref="B182:Y182" si="85">IF(B83=2,B156,0)</f>
        <v>0</v>
      </c>
      <c r="C182" s="60">
        <f t="shared" si="85"/>
        <v>0</v>
      </c>
      <c r="D182" s="60">
        <f t="shared" si="85"/>
        <v>0</v>
      </c>
      <c r="E182" s="60">
        <f t="shared" si="85"/>
        <v>0</v>
      </c>
      <c r="F182" s="60">
        <f t="shared" si="85"/>
        <v>0</v>
      </c>
      <c r="G182" s="60">
        <f t="shared" si="85"/>
        <v>0</v>
      </c>
      <c r="H182" s="60">
        <f t="shared" si="85"/>
        <v>0</v>
      </c>
      <c r="I182" s="60">
        <f t="shared" si="85"/>
        <v>0</v>
      </c>
      <c r="J182" s="60">
        <f t="shared" si="85"/>
        <v>0</v>
      </c>
      <c r="K182" s="60">
        <f t="shared" si="85"/>
        <v>0</v>
      </c>
      <c r="L182" s="60">
        <f t="shared" si="85"/>
        <v>0</v>
      </c>
      <c r="M182" s="60">
        <f t="shared" si="85"/>
        <v>0</v>
      </c>
      <c r="N182" s="60">
        <f t="shared" si="85"/>
        <v>0</v>
      </c>
      <c r="O182" s="60">
        <f t="shared" si="85"/>
        <v>0</v>
      </c>
      <c r="P182" s="60">
        <f t="shared" si="85"/>
        <v>0</v>
      </c>
      <c r="Q182" s="60">
        <f t="shared" si="85"/>
        <v>0</v>
      </c>
      <c r="R182" s="60">
        <f t="shared" si="85"/>
        <v>0</v>
      </c>
      <c r="S182" s="60">
        <f t="shared" si="85"/>
        <v>0</v>
      </c>
      <c r="T182" s="60">
        <f t="shared" si="85"/>
        <v>0</v>
      </c>
      <c r="U182" s="60">
        <f t="shared" si="85"/>
        <v>0</v>
      </c>
      <c r="V182" s="60">
        <f t="shared" si="85"/>
        <v>0</v>
      </c>
      <c r="W182" s="60">
        <f t="shared" si="85"/>
        <v>0</v>
      </c>
      <c r="X182" s="60">
        <f t="shared" si="85"/>
        <v>0</v>
      </c>
      <c r="Y182" s="60">
        <f t="shared" si="85"/>
        <v>0</v>
      </c>
    </row>
    <row r="183" spans="1:28" x14ac:dyDescent="0.25">
      <c r="A183" s="127" t="str">
        <f>A$23</f>
        <v>lot9</v>
      </c>
      <c r="B183" s="60">
        <f t="shared" ref="B183:Y183" si="86">IF(B84=2,B157,0)</f>
        <v>0</v>
      </c>
      <c r="C183" s="60">
        <f t="shared" si="86"/>
        <v>0</v>
      </c>
      <c r="D183" s="60">
        <f t="shared" si="86"/>
        <v>0</v>
      </c>
      <c r="E183" s="60">
        <f t="shared" si="86"/>
        <v>0</v>
      </c>
      <c r="F183" s="60">
        <f t="shared" si="86"/>
        <v>0</v>
      </c>
      <c r="G183" s="60">
        <f t="shared" si="86"/>
        <v>0</v>
      </c>
      <c r="H183" s="60">
        <f t="shared" si="86"/>
        <v>0</v>
      </c>
      <c r="I183" s="60">
        <f t="shared" si="86"/>
        <v>0</v>
      </c>
      <c r="J183" s="60">
        <f t="shared" si="86"/>
        <v>0</v>
      </c>
      <c r="K183" s="60">
        <f t="shared" si="86"/>
        <v>0</v>
      </c>
      <c r="L183" s="60">
        <f t="shared" si="86"/>
        <v>0</v>
      </c>
      <c r="M183" s="60">
        <f t="shared" si="86"/>
        <v>0</v>
      </c>
      <c r="N183" s="60">
        <f t="shared" si="86"/>
        <v>0</v>
      </c>
      <c r="O183" s="60">
        <f t="shared" si="86"/>
        <v>0</v>
      </c>
      <c r="P183" s="60">
        <f t="shared" si="86"/>
        <v>0</v>
      </c>
      <c r="Q183" s="60">
        <f t="shared" si="86"/>
        <v>0</v>
      </c>
      <c r="R183" s="60">
        <f t="shared" si="86"/>
        <v>0</v>
      </c>
      <c r="S183" s="60">
        <f t="shared" si="86"/>
        <v>0</v>
      </c>
      <c r="T183" s="60">
        <f t="shared" si="86"/>
        <v>0</v>
      </c>
      <c r="U183" s="60">
        <f t="shared" si="86"/>
        <v>0</v>
      </c>
      <c r="V183" s="60">
        <f t="shared" si="86"/>
        <v>0</v>
      </c>
      <c r="W183" s="60">
        <f t="shared" si="86"/>
        <v>0</v>
      </c>
      <c r="X183" s="60">
        <f t="shared" si="86"/>
        <v>0</v>
      </c>
      <c r="Y183" s="60">
        <f t="shared" si="86"/>
        <v>0</v>
      </c>
    </row>
    <row r="184" spans="1:28" x14ac:dyDescent="0.25">
      <c r="A184" s="127" t="str">
        <f>A$24</f>
        <v>lot10</v>
      </c>
      <c r="B184" s="60">
        <f t="shared" ref="B184:Y184" si="87">IF(B85=2,B158,0)</f>
        <v>0</v>
      </c>
      <c r="C184" s="60">
        <f t="shared" si="87"/>
        <v>0</v>
      </c>
      <c r="D184" s="60">
        <f t="shared" si="87"/>
        <v>0</v>
      </c>
      <c r="E184" s="60">
        <f t="shared" si="87"/>
        <v>0</v>
      </c>
      <c r="F184" s="60">
        <f t="shared" si="87"/>
        <v>0</v>
      </c>
      <c r="G184" s="60">
        <f t="shared" si="87"/>
        <v>0</v>
      </c>
      <c r="H184" s="60">
        <f t="shared" si="87"/>
        <v>0</v>
      </c>
      <c r="I184" s="60">
        <f t="shared" si="87"/>
        <v>0</v>
      </c>
      <c r="J184" s="60">
        <f t="shared" si="87"/>
        <v>0</v>
      </c>
      <c r="K184" s="60">
        <f t="shared" si="87"/>
        <v>0</v>
      </c>
      <c r="L184" s="60">
        <f t="shared" si="87"/>
        <v>0</v>
      </c>
      <c r="M184" s="60">
        <f t="shared" si="87"/>
        <v>0</v>
      </c>
      <c r="N184" s="60">
        <f t="shared" si="87"/>
        <v>0</v>
      </c>
      <c r="O184" s="60">
        <f t="shared" si="87"/>
        <v>0</v>
      </c>
      <c r="P184" s="60">
        <f t="shared" si="87"/>
        <v>0</v>
      </c>
      <c r="Q184" s="60">
        <f t="shared" si="87"/>
        <v>0</v>
      </c>
      <c r="R184" s="60">
        <f t="shared" si="87"/>
        <v>0</v>
      </c>
      <c r="S184" s="60">
        <f t="shared" si="87"/>
        <v>0</v>
      </c>
      <c r="T184" s="60">
        <f t="shared" si="87"/>
        <v>0</v>
      </c>
      <c r="U184" s="60">
        <f t="shared" si="87"/>
        <v>0</v>
      </c>
      <c r="V184" s="60">
        <f t="shared" si="87"/>
        <v>0</v>
      </c>
      <c r="W184" s="60">
        <f t="shared" si="87"/>
        <v>0</v>
      </c>
      <c r="X184" s="60">
        <f t="shared" si="87"/>
        <v>0</v>
      </c>
      <c r="Y184" s="60">
        <f t="shared" si="87"/>
        <v>0</v>
      </c>
    </row>
    <row r="185" spans="1:28" x14ac:dyDescent="0.25">
      <c r="A185" s="38" t="s">
        <v>317</v>
      </c>
      <c r="B185" s="60">
        <f>SUM(CdTrp1!B175:B184)</f>
        <v>0</v>
      </c>
      <c r="C185" s="60">
        <f>SUM(CdTrp1!C175:C184)</f>
        <v>0</v>
      </c>
      <c r="D185" s="60">
        <f>SUM(CdTrp1!D175:D184)</f>
        <v>0</v>
      </c>
      <c r="E185" s="60">
        <f>SUM(CdTrp1!E175:E184)</f>
        <v>0</v>
      </c>
      <c r="F185" s="60">
        <f>SUM(CdTrp1!F175:F184)</f>
        <v>0</v>
      </c>
      <c r="G185" s="60">
        <f>SUM(CdTrp1!G175:G184)</f>
        <v>0</v>
      </c>
      <c r="H185" s="60">
        <f>SUM(CdTrp1!H175:H184)</f>
        <v>0</v>
      </c>
      <c r="I185" s="60">
        <f>SUM(CdTrp1!I175:I184)</f>
        <v>0</v>
      </c>
      <c r="J185" s="60">
        <f>SUM(CdTrp1!J175:J184)</f>
        <v>0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</v>
      </c>
      <c r="V185" s="60">
        <f>SUM(CdTrp1!V175:V184)</f>
        <v>0</v>
      </c>
      <c r="W185" s="60">
        <f>SUM(CdTrp1!W175:W184)</f>
        <v>0</v>
      </c>
      <c r="X185" s="60">
        <f>SUM(CdTrp1!X175:X184)</f>
        <v>0</v>
      </c>
      <c r="Y185" s="60">
        <f>SUM(CdTrp1!Y175:Y184)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8">IF(B76=3,B149,0)</f>
        <v>0</v>
      </c>
      <c r="C188" s="60">
        <f t="shared" si="88"/>
        <v>0</v>
      </c>
      <c r="D188" s="60">
        <f t="shared" si="88"/>
        <v>0</v>
      </c>
      <c r="E188" s="60">
        <f t="shared" si="88"/>
        <v>0</v>
      </c>
      <c r="F188" s="60">
        <f t="shared" si="88"/>
        <v>0</v>
      </c>
      <c r="G188" s="60">
        <f t="shared" si="88"/>
        <v>0</v>
      </c>
      <c r="H188" s="60">
        <f t="shared" si="88"/>
        <v>0</v>
      </c>
      <c r="I188" s="60">
        <f t="shared" si="88"/>
        <v>0</v>
      </c>
      <c r="J188" s="60">
        <f t="shared" si="88"/>
        <v>0</v>
      </c>
      <c r="K188" s="60">
        <f t="shared" si="88"/>
        <v>0</v>
      </c>
      <c r="L188" s="60">
        <f t="shared" si="88"/>
        <v>0</v>
      </c>
      <c r="M188" s="60">
        <f t="shared" si="88"/>
        <v>0</v>
      </c>
      <c r="N188" s="60">
        <f t="shared" si="88"/>
        <v>0</v>
      </c>
      <c r="O188" s="60">
        <f t="shared" si="88"/>
        <v>0</v>
      </c>
      <c r="P188" s="60">
        <f t="shared" si="88"/>
        <v>0</v>
      </c>
      <c r="Q188" s="60">
        <f t="shared" si="88"/>
        <v>0</v>
      </c>
      <c r="R188" s="60">
        <f t="shared" si="88"/>
        <v>0</v>
      </c>
      <c r="S188" s="60">
        <f t="shared" si="88"/>
        <v>0</v>
      </c>
      <c r="T188" s="60">
        <f t="shared" si="88"/>
        <v>0</v>
      </c>
      <c r="U188" s="60">
        <f t="shared" si="88"/>
        <v>0</v>
      </c>
      <c r="V188" s="60">
        <f t="shared" si="88"/>
        <v>0</v>
      </c>
      <c r="W188" s="60">
        <f t="shared" si="88"/>
        <v>0</v>
      </c>
      <c r="X188" s="60">
        <f t="shared" si="88"/>
        <v>0</v>
      </c>
      <c r="Y188" s="60">
        <f t="shared" si="88"/>
        <v>0</v>
      </c>
    </row>
    <row r="189" spans="1:28" x14ac:dyDescent="0.25">
      <c r="A189" s="127" t="str">
        <f>A$16</f>
        <v>vides</v>
      </c>
      <c r="B189" s="60">
        <f t="shared" ref="B189:Y189" si="89">IF(B77=3,B150,0)</f>
        <v>0</v>
      </c>
      <c r="C189" s="60">
        <f t="shared" si="89"/>
        <v>0</v>
      </c>
      <c r="D189" s="60">
        <f t="shared" si="89"/>
        <v>0</v>
      </c>
      <c r="E189" s="60">
        <f t="shared" si="89"/>
        <v>0</v>
      </c>
      <c r="F189" s="60">
        <f t="shared" si="89"/>
        <v>0</v>
      </c>
      <c r="G189" s="60">
        <f t="shared" si="89"/>
        <v>0</v>
      </c>
      <c r="H189" s="60">
        <f t="shared" si="89"/>
        <v>0</v>
      </c>
      <c r="I189" s="60">
        <f t="shared" si="89"/>
        <v>0</v>
      </c>
      <c r="J189" s="60">
        <f t="shared" si="89"/>
        <v>0</v>
      </c>
      <c r="K189" s="60">
        <f t="shared" ref="K189:T189" si="90">IF(K77=3,K150,0)</f>
        <v>0</v>
      </c>
      <c r="L189" s="60">
        <f t="shared" si="90"/>
        <v>0</v>
      </c>
      <c r="M189" s="60">
        <f t="shared" si="90"/>
        <v>0</v>
      </c>
      <c r="N189" s="60">
        <f t="shared" si="90"/>
        <v>0</v>
      </c>
      <c r="O189" s="60">
        <f t="shared" si="90"/>
        <v>0</v>
      </c>
      <c r="P189" s="60">
        <f t="shared" si="90"/>
        <v>0</v>
      </c>
      <c r="Q189" s="60">
        <f t="shared" si="90"/>
        <v>0</v>
      </c>
      <c r="R189" s="60">
        <f t="shared" si="90"/>
        <v>0</v>
      </c>
      <c r="S189" s="60">
        <f t="shared" si="90"/>
        <v>0</v>
      </c>
      <c r="T189" s="60">
        <f t="shared" si="90"/>
        <v>0</v>
      </c>
      <c r="U189" s="60">
        <f t="shared" si="89"/>
        <v>0</v>
      </c>
      <c r="V189" s="60">
        <f t="shared" si="89"/>
        <v>0</v>
      </c>
      <c r="W189" s="60">
        <f t="shared" si="89"/>
        <v>0</v>
      </c>
      <c r="X189" s="60">
        <f t="shared" si="89"/>
        <v>0</v>
      </c>
      <c r="Y189" s="60">
        <f t="shared" si="89"/>
        <v>0</v>
      </c>
    </row>
    <row r="190" spans="1:28" x14ac:dyDescent="0.25">
      <c r="A190" s="126" t="str">
        <f>A$17</f>
        <v>agnelles</v>
      </c>
      <c r="B190" s="60">
        <f t="shared" ref="B190:Y190" si="91">IF(B78=3,B151,0)</f>
        <v>0</v>
      </c>
      <c r="C190" s="60">
        <f t="shared" si="91"/>
        <v>0</v>
      </c>
      <c r="D190" s="60">
        <f t="shared" si="91"/>
        <v>0</v>
      </c>
      <c r="E190" s="60">
        <f t="shared" si="91"/>
        <v>0</v>
      </c>
      <c r="F190" s="60">
        <f t="shared" si="91"/>
        <v>0</v>
      </c>
      <c r="G190" s="60">
        <f t="shared" si="91"/>
        <v>0</v>
      </c>
      <c r="H190" s="60">
        <f t="shared" si="91"/>
        <v>0</v>
      </c>
      <c r="I190" s="60">
        <f t="shared" si="91"/>
        <v>0</v>
      </c>
      <c r="J190" s="60">
        <f t="shared" si="91"/>
        <v>0</v>
      </c>
      <c r="K190" s="60">
        <f t="shared" si="91"/>
        <v>0</v>
      </c>
      <c r="L190" s="60">
        <f t="shared" si="91"/>
        <v>0</v>
      </c>
      <c r="M190" s="60">
        <f t="shared" si="91"/>
        <v>0</v>
      </c>
      <c r="N190" s="60">
        <f t="shared" si="91"/>
        <v>0</v>
      </c>
      <c r="O190" s="60">
        <f t="shared" si="91"/>
        <v>0</v>
      </c>
      <c r="P190" s="60">
        <f t="shared" si="91"/>
        <v>0</v>
      </c>
      <c r="Q190" s="60">
        <f t="shared" si="91"/>
        <v>0</v>
      </c>
      <c r="R190" s="60">
        <f t="shared" si="91"/>
        <v>0</v>
      </c>
      <c r="S190" s="60">
        <f t="shared" si="91"/>
        <v>0</v>
      </c>
      <c r="T190" s="60">
        <f t="shared" si="91"/>
        <v>0</v>
      </c>
      <c r="U190" s="60">
        <f t="shared" si="91"/>
        <v>0</v>
      </c>
      <c r="V190" s="60">
        <f t="shared" si="91"/>
        <v>0</v>
      </c>
      <c r="W190" s="60">
        <f t="shared" si="91"/>
        <v>0</v>
      </c>
      <c r="X190" s="60">
        <f t="shared" si="91"/>
        <v>0</v>
      </c>
      <c r="Y190" s="60">
        <f t="shared" si="91"/>
        <v>0</v>
      </c>
    </row>
    <row r="191" spans="1:28" x14ac:dyDescent="0.25">
      <c r="A191" s="127" t="str">
        <f>A$18</f>
        <v>beliers</v>
      </c>
      <c r="B191" s="60">
        <f t="shared" ref="B191:Y191" si="92">IF(B79=3,B152,0)</f>
        <v>0</v>
      </c>
      <c r="C191" s="60">
        <f t="shared" si="92"/>
        <v>0</v>
      </c>
      <c r="D191" s="60">
        <f t="shared" si="92"/>
        <v>0</v>
      </c>
      <c r="E191" s="60">
        <f t="shared" si="92"/>
        <v>0</v>
      </c>
      <c r="F191" s="60">
        <f t="shared" si="92"/>
        <v>0</v>
      </c>
      <c r="G191" s="60">
        <f t="shared" si="92"/>
        <v>0</v>
      </c>
      <c r="H191" s="60">
        <f t="shared" si="92"/>
        <v>0</v>
      </c>
      <c r="I191" s="60">
        <f t="shared" si="92"/>
        <v>0</v>
      </c>
      <c r="J191" s="60">
        <f t="shared" si="92"/>
        <v>0</v>
      </c>
      <c r="K191" s="60">
        <f t="shared" si="92"/>
        <v>0</v>
      </c>
      <c r="L191" s="60">
        <f t="shared" si="92"/>
        <v>0</v>
      </c>
      <c r="M191" s="60">
        <f t="shared" si="92"/>
        <v>0</v>
      </c>
      <c r="N191" s="60">
        <f t="shared" si="92"/>
        <v>0</v>
      </c>
      <c r="O191" s="60">
        <f t="shared" si="92"/>
        <v>0</v>
      </c>
      <c r="P191" s="60">
        <f t="shared" si="92"/>
        <v>0</v>
      </c>
      <c r="Q191" s="60">
        <f t="shared" si="92"/>
        <v>0</v>
      </c>
      <c r="R191" s="60">
        <f t="shared" si="92"/>
        <v>0</v>
      </c>
      <c r="S191" s="60">
        <f t="shared" si="92"/>
        <v>0</v>
      </c>
      <c r="T191" s="60">
        <f t="shared" si="92"/>
        <v>0</v>
      </c>
      <c r="U191" s="60">
        <f t="shared" si="92"/>
        <v>0</v>
      </c>
      <c r="V191" s="60">
        <f t="shared" si="92"/>
        <v>0</v>
      </c>
      <c r="W191" s="60">
        <f t="shared" si="92"/>
        <v>0</v>
      </c>
      <c r="X191" s="60">
        <f t="shared" si="92"/>
        <v>0</v>
      </c>
      <c r="Y191" s="60">
        <f t="shared" si="92"/>
        <v>0</v>
      </c>
    </row>
    <row r="192" spans="1:28" x14ac:dyDescent="0.25">
      <c r="A192" s="127" t="str">
        <f>A$19</f>
        <v>lot5</v>
      </c>
      <c r="B192" s="60">
        <f t="shared" ref="B192:Y192" si="93">IF(B80=3,B153,0)</f>
        <v>0</v>
      </c>
      <c r="C192" s="60">
        <f t="shared" si="93"/>
        <v>0</v>
      </c>
      <c r="D192" s="60">
        <f t="shared" si="93"/>
        <v>0</v>
      </c>
      <c r="E192" s="60">
        <f t="shared" si="93"/>
        <v>0</v>
      </c>
      <c r="F192" s="60">
        <f t="shared" si="93"/>
        <v>0</v>
      </c>
      <c r="G192" s="60">
        <f t="shared" si="93"/>
        <v>0</v>
      </c>
      <c r="H192" s="60">
        <f t="shared" si="93"/>
        <v>0</v>
      </c>
      <c r="I192" s="60">
        <f t="shared" si="93"/>
        <v>0</v>
      </c>
      <c r="J192" s="60">
        <f t="shared" si="93"/>
        <v>0</v>
      </c>
      <c r="K192" s="60">
        <f t="shared" si="93"/>
        <v>0</v>
      </c>
      <c r="L192" s="60">
        <f t="shared" si="93"/>
        <v>0</v>
      </c>
      <c r="M192" s="60">
        <f t="shared" si="93"/>
        <v>0</v>
      </c>
      <c r="N192" s="60">
        <f t="shared" si="93"/>
        <v>0</v>
      </c>
      <c r="O192" s="60">
        <f t="shared" si="93"/>
        <v>0</v>
      </c>
      <c r="P192" s="60">
        <f t="shared" si="93"/>
        <v>0</v>
      </c>
      <c r="Q192" s="60">
        <f t="shared" si="93"/>
        <v>0</v>
      </c>
      <c r="R192" s="60">
        <f t="shared" si="93"/>
        <v>0</v>
      </c>
      <c r="S192" s="60">
        <f t="shared" si="93"/>
        <v>0</v>
      </c>
      <c r="T192" s="60">
        <f t="shared" si="93"/>
        <v>0</v>
      </c>
      <c r="U192" s="60">
        <f t="shared" si="93"/>
        <v>0</v>
      </c>
      <c r="V192" s="60">
        <f t="shared" si="93"/>
        <v>0</v>
      </c>
      <c r="W192" s="60">
        <f t="shared" si="93"/>
        <v>0</v>
      </c>
      <c r="X192" s="60">
        <f t="shared" si="93"/>
        <v>0</v>
      </c>
      <c r="Y192" s="60">
        <f t="shared" si="93"/>
        <v>0</v>
      </c>
    </row>
    <row r="193" spans="1:28" x14ac:dyDescent="0.25">
      <c r="A193" s="127" t="str">
        <f>A$20</f>
        <v>lot6</v>
      </c>
      <c r="B193" s="60">
        <f t="shared" ref="B193:Y193" si="94">IF(B81=3,B154,0)</f>
        <v>0</v>
      </c>
      <c r="C193" s="60">
        <f t="shared" si="94"/>
        <v>0</v>
      </c>
      <c r="D193" s="60">
        <f t="shared" si="94"/>
        <v>0</v>
      </c>
      <c r="E193" s="60">
        <f t="shared" si="94"/>
        <v>0</v>
      </c>
      <c r="F193" s="60">
        <f t="shared" si="94"/>
        <v>0</v>
      </c>
      <c r="G193" s="60">
        <f t="shared" si="94"/>
        <v>0</v>
      </c>
      <c r="H193" s="60">
        <f t="shared" si="94"/>
        <v>0</v>
      </c>
      <c r="I193" s="60">
        <f t="shared" si="94"/>
        <v>0</v>
      </c>
      <c r="J193" s="60">
        <f t="shared" si="94"/>
        <v>0</v>
      </c>
      <c r="K193" s="60">
        <f t="shared" si="94"/>
        <v>0</v>
      </c>
      <c r="L193" s="60">
        <f t="shared" si="94"/>
        <v>0</v>
      </c>
      <c r="M193" s="60">
        <f t="shared" si="94"/>
        <v>0</v>
      </c>
      <c r="N193" s="60">
        <f t="shared" si="94"/>
        <v>0</v>
      </c>
      <c r="O193" s="60">
        <f t="shared" si="94"/>
        <v>0</v>
      </c>
      <c r="P193" s="60">
        <f t="shared" si="94"/>
        <v>0</v>
      </c>
      <c r="Q193" s="60">
        <f t="shared" si="94"/>
        <v>0</v>
      </c>
      <c r="R193" s="60">
        <f t="shared" si="94"/>
        <v>0</v>
      </c>
      <c r="S193" s="60">
        <f t="shared" si="94"/>
        <v>0</v>
      </c>
      <c r="T193" s="60">
        <f t="shared" si="94"/>
        <v>0</v>
      </c>
      <c r="U193" s="60">
        <f t="shared" si="94"/>
        <v>0</v>
      </c>
      <c r="V193" s="60">
        <f t="shared" si="94"/>
        <v>0</v>
      </c>
      <c r="W193" s="60">
        <f t="shared" si="94"/>
        <v>0</v>
      </c>
      <c r="X193" s="60">
        <f t="shared" si="94"/>
        <v>0</v>
      </c>
      <c r="Y193" s="60">
        <f t="shared" si="94"/>
        <v>0</v>
      </c>
    </row>
    <row r="194" spans="1:28" x14ac:dyDescent="0.25">
      <c r="A194" s="126" t="str">
        <f>A$21</f>
        <v>lot7</v>
      </c>
      <c r="B194" s="60">
        <f t="shared" ref="B194:Y194" si="95">IF(B82=3,B155,0)</f>
        <v>0</v>
      </c>
      <c r="C194" s="60">
        <f t="shared" si="95"/>
        <v>0</v>
      </c>
      <c r="D194" s="60">
        <f t="shared" si="95"/>
        <v>0</v>
      </c>
      <c r="E194" s="60">
        <f t="shared" si="95"/>
        <v>0</v>
      </c>
      <c r="F194" s="60">
        <f t="shared" si="95"/>
        <v>0</v>
      </c>
      <c r="G194" s="60">
        <f t="shared" si="95"/>
        <v>0</v>
      </c>
      <c r="H194" s="60">
        <f t="shared" si="95"/>
        <v>0</v>
      </c>
      <c r="I194" s="60">
        <f t="shared" si="95"/>
        <v>0</v>
      </c>
      <c r="J194" s="60">
        <f t="shared" si="95"/>
        <v>0</v>
      </c>
      <c r="K194" s="60">
        <f t="shared" si="95"/>
        <v>0</v>
      </c>
      <c r="L194" s="60">
        <f t="shared" si="95"/>
        <v>0</v>
      </c>
      <c r="M194" s="60">
        <f t="shared" si="95"/>
        <v>0</v>
      </c>
      <c r="N194" s="60">
        <f t="shared" si="95"/>
        <v>0</v>
      </c>
      <c r="O194" s="60">
        <f t="shared" si="95"/>
        <v>0</v>
      </c>
      <c r="P194" s="60">
        <f t="shared" si="95"/>
        <v>0</v>
      </c>
      <c r="Q194" s="60">
        <f t="shared" si="95"/>
        <v>0</v>
      </c>
      <c r="R194" s="60">
        <f t="shared" si="95"/>
        <v>0</v>
      </c>
      <c r="S194" s="60">
        <f t="shared" si="95"/>
        <v>0</v>
      </c>
      <c r="T194" s="60">
        <f t="shared" si="95"/>
        <v>0</v>
      </c>
      <c r="U194" s="60">
        <f t="shared" si="95"/>
        <v>0</v>
      </c>
      <c r="V194" s="60">
        <f t="shared" si="95"/>
        <v>0</v>
      </c>
      <c r="W194" s="60">
        <f t="shared" si="95"/>
        <v>0</v>
      </c>
      <c r="X194" s="60">
        <f t="shared" si="95"/>
        <v>0</v>
      </c>
      <c r="Y194" s="60">
        <f t="shared" si="95"/>
        <v>0</v>
      </c>
    </row>
    <row r="195" spans="1:28" x14ac:dyDescent="0.25">
      <c r="A195" s="127" t="str">
        <f>A$22</f>
        <v>lot8</v>
      </c>
      <c r="B195" s="60">
        <f t="shared" ref="B195:Y195" si="96">IF(B83=3,B156,0)</f>
        <v>0</v>
      </c>
      <c r="C195" s="60">
        <f t="shared" si="96"/>
        <v>0</v>
      </c>
      <c r="D195" s="60">
        <f t="shared" si="96"/>
        <v>0</v>
      </c>
      <c r="E195" s="60">
        <f t="shared" si="96"/>
        <v>0</v>
      </c>
      <c r="F195" s="60">
        <f t="shared" si="96"/>
        <v>0</v>
      </c>
      <c r="G195" s="60">
        <f t="shared" si="96"/>
        <v>0</v>
      </c>
      <c r="H195" s="60">
        <f t="shared" si="96"/>
        <v>0</v>
      </c>
      <c r="I195" s="60">
        <f t="shared" si="96"/>
        <v>0</v>
      </c>
      <c r="J195" s="60">
        <f t="shared" si="96"/>
        <v>0</v>
      </c>
      <c r="K195" s="60">
        <f t="shared" si="96"/>
        <v>0</v>
      </c>
      <c r="L195" s="60">
        <f t="shared" si="96"/>
        <v>0</v>
      </c>
      <c r="M195" s="60">
        <f t="shared" si="96"/>
        <v>0</v>
      </c>
      <c r="N195" s="60">
        <f t="shared" si="96"/>
        <v>0</v>
      </c>
      <c r="O195" s="60">
        <f t="shared" si="96"/>
        <v>0</v>
      </c>
      <c r="P195" s="60">
        <f t="shared" si="96"/>
        <v>0</v>
      </c>
      <c r="Q195" s="60">
        <f t="shared" si="96"/>
        <v>0</v>
      </c>
      <c r="R195" s="60">
        <f t="shared" si="96"/>
        <v>0</v>
      </c>
      <c r="S195" s="60">
        <f t="shared" si="96"/>
        <v>0</v>
      </c>
      <c r="T195" s="60">
        <f t="shared" si="96"/>
        <v>0</v>
      </c>
      <c r="U195" s="60">
        <f t="shared" si="96"/>
        <v>0</v>
      </c>
      <c r="V195" s="60">
        <f t="shared" si="96"/>
        <v>0</v>
      </c>
      <c r="W195" s="60">
        <f t="shared" si="96"/>
        <v>0</v>
      </c>
      <c r="X195" s="60">
        <f t="shared" si="96"/>
        <v>0</v>
      </c>
      <c r="Y195" s="60">
        <f t="shared" si="96"/>
        <v>0</v>
      </c>
    </row>
    <row r="196" spans="1:28" x14ac:dyDescent="0.25">
      <c r="A196" s="127" t="str">
        <f>A$23</f>
        <v>lot9</v>
      </c>
      <c r="B196" s="60">
        <f t="shared" ref="B196:Y196" si="97">IF(B84=3,B157,0)</f>
        <v>0</v>
      </c>
      <c r="C196" s="60">
        <f t="shared" si="97"/>
        <v>0</v>
      </c>
      <c r="D196" s="60">
        <f t="shared" si="97"/>
        <v>0</v>
      </c>
      <c r="E196" s="60">
        <f t="shared" si="97"/>
        <v>0</v>
      </c>
      <c r="F196" s="60">
        <f t="shared" si="97"/>
        <v>0</v>
      </c>
      <c r="G196" s="60">
        <f t="shared" si="97"/>
        <v>0</v>
      </c>
      <c r="H196" s="60">
        <f t="shared" si="97"/>
        <v>0</v>
      </c>
      <c r="I196" s="60">
        <f t="shared" si="97"/>
        <v>0</v>
      </c>
      <c r="J196" s="60">
        <f t="shared" si="97"/>
        <v>0</v>
      </c>
      <c r="K196" s="60">
        <f t="shared" si="97"/>
        <v>0</v>
      </c>
      <c r="L196" s="60">
        <f t="shared" si="97"/>
        <v>0</v>
      </c>
      <c r="M196" s="60">
        <f t="shared" si="97"/>
        <v>0</v>
      </c>
      <c r="N196" s="60">
        <f t="shared" si="97"/>
        <v>0</v>
      </c>
      <c r="O196" s="60">
        <f t="shared" si="97"/>
        <v>0</v>
      </c>
      <c r="P196" s="60">
        <f t="shared" si="97"/>
        <v>0</v>
      </c>
      <c r="Q196" s="60">
        <f t="shared" si="97"/>
        <v>0</v>
      </c>
      <c r="R196" s="60">
        <f t="shared" si="97"/>
        <v>0</v>
      </c>
      <c r="S196" s="60">
        <f t="shared" si="97"/>
        <v>0</v>
      </c>
      <c r="T196" s="60">
        <f t="shared" si="97"/>
        <v>0</v>
      </c>
      <c r="U196" s="60">
        <f t="shared" si="97"/>
        <v>0</v>
      </c>
      <c r="V196" s="60">
        <f t="shared" si="97"/>
        <v>0</v>
      </c>
      <c r="W196" s="60">
        <f t="shared" si="97"/>
        <v>0</v>
      </c>
      <c r="X196" s="60">
        <f t="shared" si="97"/>
        <v>0</v>
      </c>
      <c r="Y196" s="60">
        <f t="shared" si="97"/>
        <v>0</v>
      </c>
    </row>
    <row r="197" spans="1:28" x14ac:dyDescent="0.25">
      <c r="A197" s="127" t="str">
        <f>A$24</f>
        <v>lot10</v>
      </c>
      <c r="B197" s="60">
        <f t="shared" ref="B197:Y197" si="98">IF(B85=3,B158,0)</f>
        <v>0</v>
      </c>
      <c r="C197" s="60">
        <f t="shared" si="98"/>
        <v>0</v>
      </c>
      <c r="D197" s="60">
        <f t="shared" si="98"/>
        <v>0</v>
      </c>
      <c r="E197" s="60">
        <f t="shared" si="98"/>
        <v>0</v>
      </c>
      <c r="F197" s="60">
        <f t="shared" si="98"/>
        <v>0</v>
      </c>
      <c r="G197" s="60">
        <f t="shared" si="98"/>
        <v>0</v>
      </c>
      <c r="H197" s="60">
        <f t="shared" si="98"/>
        <v>0</v>
      </c>
      <c r="I197" s="60">
        <f t="shared" si="98"/>
        <v>0</v>
      </c>
      <c r="J197" s="60">
        <f t="shared" si="98"/>
        <v>0</v>
      </c>
      <c r="K197" s="60">
        <f t="shared" si="98"/>
        <v>0</v>
      </c>
      <c r="L197" s="60">
        <f t="shared" si="98"/>
        <v>0</v>
      </c>
      <c r="M197" s="60">
        <f t="shared" si="98"/>
        <v>0</v>
      </c>
      <c r="N197" s="60">
        <f t="shared" si="98"/>
        <v>0</v>
      </c>
      <c r="O197" s="60">
        <f t="shared" si="98"/>
        <v>0</v>
      </c>
      <c r="P197" s="60">
        <f t="shared" si="98"/>
        <v>0</v>
      </c>
      <c r="Q197" s="60">
        <f t="shared" si="98"/>
        <v>0</v>
      </c>
      <c r="R197" s="60">
        <f t="shared" si="98"/>
        <v>0</v>
      </c>
      <c r="S197" s="60">
        <f t="shared" si="98"/>
        <v>0</v>
      </c>
      <c r="T197" s="60">
        <f t="shared" si="98"/>
        <v>0</v>
      </c>
      <c r="U197" s="60">
        <f t="shared" si="98"/>
        <v>0</v>
      </c>
      <c r="V197" s="60">
        <f t="shared" si="98"/>
        <v>0</v>
      </c>
      <c r="W197" s="60">
        <f t="shared" si="98"/>
        <v>0</v>
      </c>
      <c r="X197" s="60">
        <f t="shared" si="98"/>
        <v>0</v>
      </c>
      <c r="Y197" s="60">
        <f t="shared" si="98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9">SUM(C188:C197)</f>
        <v>0</v>
      </c>
      <c r="D198" s="60">
        <f t="shared" si="99"/>
        <v>0</v>
      </c>
      <c r="E198" s="60">
        <f t="shared" si="99"/>
        <v>0</v>
      </c>
      <c r="F198" s="60">
        <f t="shared" si="99"/>
        <v>0</v>
      </c>
      <c r="G198" s="60">
        <f t="shared" si="99"/>
        <v>0</v>
      </c>
      <c r="H198" s="60">
        <f t="shared" si="99"/>
        <v>0</v>
      </c>
      <c r="I198" s="60">
        <f t="shared" si="99"/>
        <v>0</v>
      </c>
      <c r="J198" s="60">
        <f t="shared" si="99"/>
        <v>0</v>
      </c>
      <c r="K198" s="60">
        <f t="shared" si="99"/>
        <v>0</v>
      </c>
      <c r="L198" s="60">
        <f t="shared" si="99"/>
        <v>0</v>
      </c>
      <c r="M198" s="60">
        <f t="shared" si="99"/>
        <v>0</v>
      </c>
      <c r="N198" s="60">
        <f t="shared" si="99"/>
        <v>0</v>
      </c>
      <c r="O198" s="60">
        <f t="shared" si="99"/>
        <v>0</v>
      </c>
      <c r="P198" s="60">
        <f t="shared" si="99"/>
        <v>0</v>
      </c>
      <c r="Q198" s="60">
        <f t="shared" si="99"/>
        <v>0</v>
      </c>
      <c r="R198" s="60">
        <f t="shared" si="99"/>
        <v>0</v>
      </c>
      <c r="S198" s="60">
        <f t="shared" si="99"/>
        <v>0</v>
      </c>
      <c r="T198" s="60">
        <f t="shared" si="99"/>
        <v>0</v>
      </c>
      <c r="U198" s="60">
        <f t="shared" si="99"/>
        <v>0</v>
      </c>
      <c r="V198" s="60">
        <f t="shared" si="99"/>
        <v>0</v>
      </c>
      <c r="W198" s="60">
        <f t="shared" si="99"/>
        <v>0</v>
      </c>
      <c r="X198" s="60">
        <f t="shared" si="99"/>
        <v>0</v>
      </c>
      <c r="Y198" s="60">
        <f t="shared" si="99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100">IF(C76&gt;=4,C149,0)</f>
        <v>0</v>
      </c>
      <c r="D201" s="60">
        <f t="shared" si="100"/>
        <v>0</v>
      </c>
      <c r="E201" s="60">
        <f t="shared" si="100"/>
        <v>0</v>
      </c>
      <c r="F201" s="60">
        <f t="shared" si="100"/>
        <v>0</v>
      </c>
      <c r="G201" s="60">
        <f t="shared" si="100"/>
        <v>0</v>
      </c>
      <c r="H201" s="60">
        <f t="shared" si="100"/>
        <v>0</v>
      </c>
      <c r="I201" s="60">
        <f t="shared" si="100"/>
        <v>0</v>
      </c>
      <c r="J201" s="60">
        <f t="shared" si="100"/>
        <v>0</v>
      </c>
      <c r="K201" s="60">
        <f t="shared" si="100"/>
        <v>0</v>
      </c>
      <c r="L201" s="60">
        <f t="shared" si="100"/>
        <v>0</v>
      </c>
      <c r="M201" s="60">
        <f t="shared" si="100"/>
        <v>0</v>
      </c>
      <c r="N201" s="60">
        <f t="shared" si="100"/>
        <v>0</v>
      </c>
      <c r="O201" s="60">
        <f t="shared" si="100"/>
        <v>0</v>
      </c>
      <c r="P201" s="60">
        <f t="shared" si="100"/>
        <v>0</v>
      </c>
      <c r="Q201" s="60">
        <f t="shared" si="100"/>
        <v>0</v>
      </c>
      <c r="R201" s="60">
        <f t="shared" si="100"/>
        <v>0</v>
      </c>
      <c r="S201" s="60">
        <f t="shared" si="100"/>
        <v>0</v>
      </c>
      <c r="T201" s="60">
        <f t="shared" si="100"/>
        <v>0</v>
      </c>
      <c r="U201" s="60">
        <f t="shared" si="100"/>
        <v>0</v>
      </c>
      <c r="V201" s="60">
        <f t="shared" si="100"/>
        <v>0</v>
      </c>
      <c r="W201" s="60">
        <f t="shared" si="100"/>
        <v>0</v>
      </c>
      <c r="X201" s="60">
        <f t="shared" si="100"/>
        <v>0</v>
      </c>
      <c r="Y201" s="60">
        <f t="shared" si="100"/>
        <v>0</v>
      </c>
    </row>
    <row r="202" spans="1:28" x14ac:dyDescent="0.25">
      <c r="A202" s="127" t="str">
        <f>A$16</f>
        <v>vides</v>
      </c>
      <c r="B202" s="60">
        <f t="shared" ref="B202:Y202" si="101">IF(B77&gt;=4,B150,0)</f>
        <v>0</v>
      </c>
      <c r="C202" s="60">
        <f t="shared" si="101"/>
        <v>0</v>
      </c>
      <c r="D202" s="60">
        <f t="shared" si="101"/>
        <v>0</v>
      </c>
      <c r="E202" s="60">
        <f t="shared" si="101"/>
        <v>0</v>
      </c>
      <c r="F202" s="60">
        <f t="shared" si="101"/>
        <v>0</v>
      </c>
      <c r="G202" s="60">
        <f t="shared" si="101"/>
        <v>0</v>
      </c>
      <c r="H202" s="60">
        <f t="shared" si="101"/>
        <v>0</v>
      </c>
      <c r="I202" s="60">
        <f t="shared" si="101"/>
        <v>0</v>
      </c>
      <c r="J202" s="60">
        <f t="shared" si="101"/>
        <v>0</v>
      </c>
      <c r="K202" s="60">
        <f t="shared" ref="K202:T202" si="102">IF(K77&gt;=4,K150,0)</f>
        <v>0</v>
      </c>
      <c r="L202" s="60">
        <f t="shared" si="102"/>
        <v>0</v>
      </c>
      <c r="M202" s="60">
        <f t="shared" si="102"/>
        <v>0</v>
      </c>
      <c r="N202" s="60">
        <f t="shared" si="102"/>
        <v>0</v>
      </c>
      <c r="O202" s="60">
        <f t="shared" si="102"/>
        <v>0</v>
      </c>
      <c r="P202" s="60">
        <f t="shared" si="102"/>
        <v>0</v>
      </c>
      <c r="Q202" s="60">
        <f t="shared" si="102"/>
        <v>0</v>
      </c>
      <c r="R202" s="60">
        <f t="shared" si="102"/>
        <v>0</v>
      </c>
      <c r="S202" s="60">
        <f t="shared" si="102"/>
        <v>0</v>
      </c>
      <c r="T202" s="60">
        <f t="shared" si="102"/>
        <v>0</v>
      </c>
      <c r="U202" s="60">
        <f t="shared" si="101"/>
        <v>0</v>
      </c>
      <c r="V202" s="60">
        <f t="shared" si="101"/>
        <v>0</v>
      </c>
      <c r="W202" s="60">
        <f t="shared" si="101"/>
        <v>0</v>
      </c>
      <c r="X202" s="60">
        <f t="shared" si="101"/>
        <v>0</v>
      </c>
      <c r="Y202" s="60">
        <f t="shared" si="101"/>
        <v>0</v>
      </c>
    </row>
    <row r="203" spans="1:28" x14ac:dyDescent="0.25">
      <c r="A203" s="126" t="str">
        <f>A$17</f>
        <v>agnelles</v>
      </c>
      <c r="B203" s="60">
        <f t="shared" ref="B203:Y203" si="103">IF(B78&gt;=4,B151,0)</f>
        <v>0</v>
      </c>
      <c r="C203" s="60">
        <f t="shared" si="103"/>
        <v>0</v>
      </c>
      <c r="D203" s="60">
        <f t="shared" si="103"/>
        <v>0</v>
      </c>
      <c r="E203" s="60">
        <f t="shared" si="103"/>
        <v>0</v>
      </c>
      <c r="F203" s="60">
        <f t="shared" si="103"/>
        <v>0</v>
      </c>
      <c r="G203" s="60">
        <f t="shared" si="103"/>
        <v>0</v>
      </c>
      <c r="H203" s="60">
        <f t="shared" si="103"/>
        <v>0</v>
      </c>
      <c r="I203" s="60">
        <f t="shared" si="103"/>
        <v>0</v>
      </c>
      <c r="J203" s="60">
        <f t="shared" si="103"/>
        <v>0</v>
      </c>
      <c r="K203" s="60">
        <f t="shared" si="103"/>
        <v>0</v>
      </c>
      <c r="L203" s="60">
        <f t="shared" si="103"/>
        <v>0</v>
      </c>
      <c r="M203" s="60">
        <f t="shared" si="103"/>
        <v>0</v>
      </c>
      <c r="N203" s="60">
        <f t="shared" si="103"/>
        <v>0</v>
      </c>
      <c r="O203" s="60">
        <f t="shared" si="103"/>
        <v>0</v>
      </c>
      <c r="P203" s="60">
        <f t="shared" si="103"/>
        <v>0</v>
      </c>
      <c r="Q203" s="60">
        <f t="shared" si="103"/>
        <v>0</v>
      </c>
      <c r="R203" s="60">
        <f t="shared" si="103"/>
        <v>0</v>
      </c>
      <c r="S203" s="60">
        <f t="shared" si="103"/>
        <v>0</v>
      </c>
      <c r="T203" s="60">
        <f t="shared" si="103"/>
        <v>0</v>
      </c>
      <c r="U203" s="60">
        <f t="shared" si="103"/>
        <v>0</v>
      </c>
      <c r="V203" s="60">
        <f t="shared" si="103"/>
        <v>0</v>
      </c>
      <c r="W203" s="60">
        <f t="shared" si="103"/>
        <v>0</v>
      </c>
      <c r="X203" s="60">
        <f t="shared" si="103"/>
        <v>0</v>
      </c>
      <c r="Y203" s="60">
        <f t="shared" si="103"/>
        <v>0</v>
      </c>
    </row>
    <row r="204" spans="1:28" x14ac:dyDescent="0.25">
      <c r="A204" s="127" t="str">
        <f>A$18</f>
        <v>beliers</v>
      </c>
      <c r="B204" s="60">
        <f t="shared" ref="B204:Y204" si="104">IF(B79&gt;=4,B152,0)</f>
        <v>0</v>
      </c>
      <c r="C204" s="60">
        <f t="shared" si="104"/>
        <v>0</v>
      </c>
      <c r="D204" s="60">
        <f t="shared" si="104"/>
        <v>0</v>
      </c>
      <c r="E204" s="60">
        <f t="shared" si="104"/>
        <v>0</v>
      </c>
      <c r="F204" s="60">
        <f t="shared" si="104"/>
        <v>0</v>
      </c>
      <c r="G204" s="60">
        <f t="shared" si="104"/>
        <v>0</v>
      </c>
      <c r="H204" s="60">
        <f t="shared" si="104"/>
        <v>0</v>
      </c>
      <c r="I204" s="60">
        <f t="shared" si="104"/>
        <v>0</v>
      </c>
      <c r="J204" s="60">
        <f t="shared" si="104"/>
        <v>0</v>
      </c>
      <c r="K204" s="60">
        <f t="shared" si="104"/>
        <v>0</v>
      </c>
      <c r="L204" s="60">
        <f t="shared" si="104"/>
        <v>0</v>
      </c>
      <c r="M204" s="60">
        <f t="shared" si="104"/>
        <v>0</v>
      </c>
      <c r="N204" s="60">
        <f t="shared" si="104"/>
        <v>0</v>
      </c>
      <c r="O204" s="60">
        <f t="shared" si="104"/>
        <v>0</v>
      </c>
      <c r="P204" s="60">
        <f t="shared" si="104"/>
        <v>0</v>
      </c>
      <c r="Q204" s="60">
        <f t="shared" si="104"/>
        <v>0</v>
      </c>
      <c r="R204" s="60">
        <f t="shared" si="104"/>
        <v>0</v>
      </c>
      <c r="S204" s="60">
        <f t="shared" si="104"/>
        <v>0</v>
      </c>
      <c r="T204" s="60">
        <f t="shared" si="104"/>
        <v>0</v>
      </c>
      <c r="U204" s="60">
        <f t="shared" si="104"/>
        <v>0</v>
      </c>
      <c r="V204" s="60">
        <f t="shared" si="104"/>
        <v>0</v>
      </c>
      <c r="W204" s="60">
        <f t="shared" si="104"/>
        <v>0</v>
      </c>
      <c r="X204" s="60">
        <f t="shared" si="104"/>
        <v>0</v>
      </c>
      <c r="Y204" s="60">
        <f t="shared" si="104"/>
        <v>0</v>
      </c>
    </row>
    <row r="205" spans="1:28" x14ac:dyDescent="0.25">
      <c r="A205" s="127" t="str">
        <f>A$19</f>
        <v>lot5</v>
      </c>
      <c r="B205" s="60">
        <f t="shared" ref="B205:Y205" si="105">IF(B80&gt;=4,B153,0)</f>
        <v>0</v>
      </c>
      <c r="C205" s="60">
        <f t="shared" si="105"/>
        <v>0</v>
      </c>
      <c r="D205" s="60">
        <f t="shared" si="105"/>
        <v>0</v>
      </c>
      <c r="E205" s="60">
        <f t="shared" si="105"/>
        <v>0</v>
      </c>
      <c r="F205" s="60">
        <f t="shared" si="105"/>
        <v>0</v>
      </c>
      <c r="G205" s="60">
        <f t="shared" si="105"/>
        <v>0</v>
      </c>
      <c r="H205" s="60">
        <f t="shared" si="105"/>
        <v>0</v>
      </c>
      <c r="I205" s="60">
        <f t="shared" si="105"/>
        <v>0</v>
      </c>
      <c r="J205" s="60">
        <f t="shared" si="105"/>
        <v>0</v>
      </c>
      <c r="K205" s="60">
        <f t="shared" si="105"/>
        <v>0</v>
      </c>
      <c r="L205" s="60">
        <f t="shared" si="105"/>
        <v>0</v>
      </c>
      <c r="M205" s="60">
        <f t="shared" si="105"/>
        <v>0</v>
      </c>
      <c r="N205" s="60">
        <f t="shared" si="105"/>
        <v>0</v>
      </c>
      <c r="O205" s="60">
        <f t="shared" si="105"/>
        <v>0</v>
      </c>
      <c r="P205" s="60">
        <f t="shared" si="105"/>
        <v>0</v>
      </c>
      <c r="Q205" s="60">
        <f t="shared" si="105"/>
        <v>0</v>
      </c>
      <c r="R205" s="60">
        <f t="shared" si="105"/>
        <v>0</v>
      </c>
      <c r="S205" s="60">
        <f t="shared" si="105"/>
        <v>0</v>
      </c>
      <c r="T205" s="60">
        <f t="shared" si="105"/>
        <v>0</v>
      </c>
      <c r="U205" s="60">
        <f t="shared" si="105"/>
        <v>0</v>
      </c>
      <c r="V205" s="60">
        <f t="shared" si="105"/>
        <v>0</v>
      </c>
      <c r="W205" s="60">
        <f t="shared" si="105"/>
        <v>0</v>
      </c>
      <c r="X205" s="60">
        <f t="shared" si="105"/>
        <v>0</v>
      </c>
      <c r="Y205" s="60">
        <f t="shared" si="105"/>
        <v>0</v>
      </c>
    </row>
    <row r="206" spans="1:28" x14ac:dyDescent="0.25">
      <c r="A206" s="127" t="str">
        <f>A$20</f>
        <v>lot6</v>
      </c>
      <c r="B206" s="60">
        <f t="shared" ref="B206:Y206" si="106">IF(B81&gt;=4,B154,0)</f>
        <v>0</v>
      </c>
      <c r="C206" s="60">
        <f t="shared" si="106"/>
        <v>0</v>
      </c>
      <c r="D206" s="60">
        <f t="shared" si="106"/>
        <v>0</v>
      </c>
      <c r="E206" s="60">
        <f t="shared" si="106"/>
        <v>0</v>
      </c>
      <c r="F206" s="60">
        <f t="shared" si="106"/>
        <v>0</v>
      </c>
      <c r="G206" s="60">
        <f t="shared" si="106"/>
        <v>0</v>
      </c>
      <c r="H206" s="60">
        <f t="shared" si="106"/>
        <v>0</v>
      </c>
      <c r="I206" s="60">
        <f t="shared" si="106"/>
        <v>0</v>
      </c>
      <c r="J206" s="60">
        <f t="shared" si="106"/>
        <v>0</v>
      </c>
      <c r="K206" s="60">
        <f t="shared" si="106"/>
        <v>0</v>
      </c>
      <c r="L206" s="60">
        <f t="shared" si="106"/>
        <v>0</v>
      </c>
      <c r="M206" s="60">
        <f t="shared" si="106"/>
        <v>0</v>
      </c>
      <c r="N206" s="60">
        <f t="shared" si="106"/>
        <v>0</v>
      </c>
      <c r="O206" s="60">
        <f t="shared" si="106"/>
        <v>0</v>
      </c>
      <c r="P206" s="60">
        <f t="shared" si="106"/>
        <v>0</v>
      </c>
      <c r="Q206" s="60">
        <f t="shared" si="106"/>
        <v>0</v>
      </c>
      <c r="R206" s="60">
        <f t="shared" si="106"/>
        <v>0</v>
      </c>
      <c r="S206" s="60">
        <f t="shared" si="106"/>
        <v>0</v>
      </c>
      <c r="T206" s="60">
        <f t="shared" si="106"/>
        <v>0</v>
      </c>
      <c r="U206" s="60">
        <f t="shared" si="106"/>
        <v>0</v>
      </c>
      <c r="V206" s="60">
        <f t="shared" si="106"/>
        <v>0</v>
      </c>
      <c r="W206" s="60">
        <f t="shared" si="106"/>
        <v>0</v>
      </c>
      <c r="X206" s="60">
        <f t="shared" si="106"/>
        <v>0</v>
      </c>
      <c r="Y206" s="60">
        <f t="shared" si="106"/>
        <v>0</v>
      </c>
    </row>
    <row r="207" spans="1:28" x14ac:dyDescent="0.25">
      <c r="A207" s="126" t="str">
        <f>A$21</f>
        <v>lot7</v>
      </c>
      <c r="B207" s="60">
        <f t="shared" ref="B207:Y207" si="107">IF(B82&gt;=4,B155,0)</f>
        <v>0</v>
      </c>
      <c r="C207" s="60">
        <f t="shared" si="107"/>
        <v>0</v>
      </c>
      <c r="D207" s="60">
        <f t="shared" si="107"/>
        <v>0</v>
      </c>
      <c r="E207" s="60">
        <f t="shared" si="107"/>
        <v>0</v>
      </c>
      <c r="F207" s="60">
        <f t="shared" si="107"/>
        <v>0</v>
      </c>
      <c r="G207" s="60">
        <f t="shared" si="107"/>
        <v>0</v>
      </c>
      <c r="H207" s="60">
        <f t="shared" si="107"/>
        <v>0</v>
      </c>
      <c r="I207" s="60">
        <f t="shared" si="107"/>
        <v>0</v>
      </c>
      <c r="J207" s="60">
        <f t="shared" si="107"/>
        <v>0</v>
      </c>
      <c r="K207" s="60">
        <f t="shared" si="107"/>
        <v>0</v>
      </c>
      <c r="L207" s="60">
        <f t="shared" si="107"/>
        <v>0</v>
      </c>
      <c r="M207" s="60">
        <f t="shared" si="107"/>
        <v>0</v>
      </c>
      <c r="N207" s="60">
        <f t="shared" si="107"/>
        <v>0</v>
      </c>
      <c r="O207" s="60">
        <f t="shared" si="107"/>
        <v>0</v>
      </c>
      <c r="P207" s="60">
        <f t="shared" si="107"/>
        <v>0</v>
      </c>
      <c r="Q207" s="60">
        <f t="shared" si="107"/>
        <v>0</v>
      </c>
      <c r="R207" s="60">
        <f t="shared" si="107"/>
        <v>0</v>
      </c>
      <c r="S207" s="60">
        <f t="shared" si="107"/>
        <v>0</v>
      </c>
      <c r="T207" s="60">
        <f t="shared" si="107"/>
        <v>0</v>
      </c>
      <c r="U207" s="60">
        <f t="shared" si="107"/>
        <v>0</v>
      </c>
      <c r="V207" s="60">
        <f t="shared" si="107"/>
        <v>0</v>
      </c>
      <c r="W207" s="60">
        <f t="shared" si="107"/>
        <v>0</v>
      </c>
      <c r="X207" s="60">
        <f t="shared" si="107"/>
        <v>0</v>
      </c>
      <c r="Y207" s="60">
        <f t="shared" si="107"/>
        <v>0</v>
      </c>
    </row>
    <row r="208" spans="1:28" x14ac:dyDescent="0.25">
      <c r="A208" s="127" t="str">
        <f>A$22</f>
        <v>lot8</v>
      </c>
      <c r="B208" s="60">
        <f t="shared" ref="B208:Y208" si="108">IF(B83&gt;=4,B156,0)</f>
        <v>0</v>
      </c>
      <c r="C208" s="60">
        <f t="shared" si="108"/>
        <v>0</v>
      </c>
      <c r="D208" s="60">
        <f t="shared" si="108"/>
        <v>0</v>
      </c>
      <c r="E208" s="60">
        <f t="shared" si="108"/>
        <v>0</v>
      </c>
      <c r="F208" s="60">
        <f t="shared" si="108"/>
        <v>0</v>
      </c>
      <c r="G208" s="60">
        <f t="shared" si="108"/>
        <v>0</v>
      </c>
      <c r="H208" s="60">
        <f t="shared" si="108"/>
        <v>0</v>
      </c>
      <c r="I208" s="60">
        <f t="shared" si="108"/>
        <v>0</v>
      </c>
      <c r="J208" s="60">
        <f t="shared" si="108"/>
        <v>0</v>
      </c>
      <c r="K208" s="60">
        <f t="shared" si="108"/>
        <v>0</v>
      </c>
      <c r="L208" s="60">
        <f t="shared" si="108"/>
        <v>0</v>
      </c>
      <c r="M208" s="60">
        <f t="shared" si="108"/>
        <v>0</v>
      </c>
      <c r="N208" s="60">
        <f t="shared" si="108"/>
        <v>0</v>
      </c>
      <c r="O208" s="60">
        <f t="shared" si="108"/>
        <v>0</v>
      </c>
      <c r="P208" s="60">
        <f t="shared" si="108"/>
        <v>0</v>
      </c>
      <c r="Q208" s="60">
        <f t="shared" si="108"/>
        <v>0</v>
      </c>
      <c r="R208" s="60">
        <f t="shared" si="108"/>
        <v>0</v>
      </c>
      <c r="S208" s="60">
        <f t="shared" si="108"/>
        <v>0</v>
      </c>
      <c r="T208" s="60">
        <f t="shared" si="108"/>
        <v>0</v>
      </c>
      <c r="U208" s="60">
        <f t="shared" si="108"/>
        <v>0</v>
      </c>
      <c r="V208" s="60">
        <f t="shared" si="108"/>
        <v>0</v>
      </c>
      <c r="W208" s="60">
        <f t="shared" si="108"/>
        <v>0</v>
      </c>
      <c r="X208" s="60">
        <f t="shared" si="108"/>
        <v>0</v>
      </c>
      <c r="Y208" s="60">
        <f t="shared" si="108"/>
        <v>0</v>
      </c>
    </row>
    <row r="209" spans="1:28" x14ac:dyDescent="0.25">
      <c r="A209" s="127" t="str">
        <f>A$23</f>
        <v>lot9</v>
      </c>
      <c r="B209" s="60">
        <f t="shared" ref="B209:Y209" si="109">IF(B84&gt;=4,B157,0)</f>
        <v>0</v>
      </c>
      <c r="C209" s="60">
        <f t="shared" si="109"/>
        <v>0</v>
      </c>
      <c r="D209" s="60">
        <f t="shared" si="109"/>
        <v>0</v>
      </c>
      <c r="E209" s="60">
        <f t="shared" si="109"/>
        <v>0</v>
      </c>
      <c r="F209" s="60">
        <f t="shared" si="109"/>
        <v>0</v>
      </c>
      <c r="G209" s="60">
        <f t="shared" si="109"/>
        <v>0</v>
      </c>
      <c r="H209" s="60">
        <f t="shared" si="109"/>
        <v>0</v>
      </c>
      <c r="I209" s="60">
        <f t="shared" si="109"/>
        <v>0</v>
      </c>
      <c r="J209" s="60">
        <f t="shared" si="109"/>
        <v>0</v>
      </c>
      <c r="K209" s="60">
        <f t="shared" si="109"/>
        <v>0</v>
      </c>
      <c r="L209" s="60">
        <f t="shared" si="109"/>
        <v>0</v>
      </c>
      <c r="M209" s="60">
        <f t="shared" si="109"/>
        <v>0</v>
      </c>
      <c r="N209" s="60">
        <f t="shared" si="109"/>
        <v>0</v>
      </c>
      <c r="O209" s="60">
        <f t="shared" si="109"/>
        <v>0</v>
      </c>
      <c r="P209" s="60">
        <f t="shared" si="109"/>
        <v>0</v>
      </c>
      <c r="Q209" s="60">
        <f t="shared" si="109"/>
        <v>0</v>
      </c>
      <c r="R209" s="60">
        <f t="shared" si="109"/>
        <v>0</v>
      </c>
      <c r="S209" s="60">
        <f t="shared" si="109"/>
        <v>0</v>
      </c>
      <c r="T209" s="60">
        <f t="shared" si="109"/>
        <v>0</v>
      </c>
      <c r="U209" s="60">
        <f t="shared" si="109"/>
        <v>0</v>
      </c>
      <c r="V209" s="60">
        <f t="shared" si="109"/>
        <v>0</v>
      </c>
      <c r="W209" s="60">
        <f t="shared" si="109"/>
        <v>0</v>
      </c>
      <c r="X209" s="60">
        <f t="shared" si="109"/>
        <v>0</v>
      </c>
      <c r="Y209" s="60">
        <f t="shared" si="109"/>
        <v>0</v>
      </c>
    </row>
    <row r="210" spans="1:28" x14ac:dyDescent="0.25">
      <c r="A210" s="127" t="str">
        <f>A$24</f>
        <v>lot10</v>
      </c>
      <c r="B210" s="60">
        <f t="shared" ref="B210:Y210" si="110">IF(B85&gt;=4,B158,0)</f>
        <v>0</v>
      </c>
      <c r="C210" s="60">
        <f t="shared" si="110"/>
        <v>0</v>
      </c>
      <c r="D210" s="60">
        <f t="shared" si="110"/>
        <v>0</v>
      </c>
      <c r="E210" s="60">
        <f t="shared" si="110"/>
        <v>0</v>
      </c>
      <c r="F210" s="60">
        <f t="shared" si="110"/>
        <v>0</v>
      </c>
      <c r="G210" s="60">
        <f t="shared" si="110"/>
        <v>0</v>
      </c>
      <c r="H210" s="60">
        <f t="shared" si="110"/>
        <v>0</v>
      </c>
      <c r="I210" s="60">
        <f t="shared" si="110"/>
        <v>0</v>
      </c>
      <c r="J210" s="60">
        <f t="shared" si="110"/>
        <v>0</v>
      </c>
      <c r="K210" s="60">
        <f t="shared" si="110"/>
        <v>0</v>
      </c>
      <c r="L210" s="60">
        <f t="shared" si="110"/>
        <v>0</v>
      </c>
      <c r="M210" s="60">
        <f t="shared" si="110"/>
        <v>0</v>
      </c>
      <c r="N210" s="60">
        <f t="shared" si="110"/>
        <v>0</v>
      </c>
      <c r="O210" s="60">
        <f t="shared" si="110"/>
        <v>0</v>
      </c>
      <c r="P210" s="60">
        <f t="shared" si="110"/>
        <v>0</v>
      </c>
      <c r="Q210" s="60">
        <f t="shared" si="110"/>
        <v>0</v>
      </c>
      <c r="R210" s="60">
        <f t="shared" si="110"/>
        <v>0</v>
      </c>
      <c r="S210" s="60">
        <f t="shared" si="110"/>
        <v>0</v>
      </c>
      <c r="T210" s="60">
        <f t="shared" si="110"/>
        <v>0</v>
      </c>
      <c r="U210" s="60">
        <f t="shared" si="110"/>
        <v>0</v>
      </c>
      <c r="V210" s="60">
        <f t="shared" si="110"/>
        <v>0</v>
      </c>
      <c r="W210" s="60">
        <f t="shared" si="110"/>
        <v>0</v>
      </c>
      <c r="X210" s="60">
        <f t="shared" si="110"/>
        <v>0</v>
      </c>
      <c r="Y210" s="60">
        <f t="shared" si="110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11">SUM(C201:C210)</f>
        <v>0</v>
      </c>
      <c r="D211" s="60">
        <f t="shared" si="111"/>
        <v>0</v>
      </c>
      <c r="E211" s="60">
        <f t="shared" si="111"/>
        <v>0</v>
      </c>
      <c r="F211" s="60">
        <f t="shared" si="111"/>
        <v>0</v>
      </c>
      <c r="G211" s="60">
        <f t="shared" si="111"/>
        <v>0</v>
      </c>
      <c r="H211" s="60">
        <f t="shared" si="111"/>
        <v>0</v>
      </c>
      <c r="I211" s="60">
        <f t="shared" si="111"/>
        <v>0</v>
      </c>
      <c r="J211" s="60">
        <f t="shared" si="111"/>
        <v>0</v>
      </c>
      <c r="K211" s="60">
        <f t="shared" si="111"/>
        <v>0</v>
      </c>
      <c r="L211" s="60">
        <f t="shared" si="111"/>
        <v>0</v>
      </c>
      <c r="M211" s="60">
        <f t="shared" si="111"/>
        <v>0</v>
      </c>
      <c r="N211" s="60">
        <f t="shared" si="111"/>
        <v>0</v>
      </c>
      <c r="O211" s="60">
        <f t="shared" si="111"/>
        <v>0</v>
      </c>
      <c r="P211" s="60">
        <f t="shared" si="111"/>
        <v>0</v>
      </c>
      <c r="Q211" s="60">
        <f t="shared" si="111"/>
        <v>0</v>
      </c>
      <c r="R211" s="60">
        <f t="shared" si="111"/>
        <v>0</v>
      </c>
      <c r="S211" s="60">
        <f t="shared" si="111"/>
        <v>0</v>
      </c>
      <c r="T211" s="60">
        <f t="shared" si="111"/>
        <v>0</v>
      </c>
      <c r="U211" s="60">
        <f t="shared" si="111"/>
        <v>0</v>
      </c>
      <c r="V211" s="60">
        <f t="shared" si="111"/>
        <v>0</v>
      </c>
      <c r="W211" s="60">
        <f t="shared" si="111"/>
        <v>0</v>
      </c>
      <c r="X211" s="60">
        <f t="shared" si="111"/>
        <v>0</v>
      </c>
      <c r="Y211" s="60">
        <f t="shared" si="111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0.70843895652173916</v>
      </c>
      <c r="C215" s="60">
        <f t="shared" ref="C215:Y215" si="112">C172</f>
        <v>0.70843895652173916</v>
      </c>
      <c r="D215" s="60">
        <f t="shared" si="112"/>
        <v>0.63988034782608705</v>
      </c>
      <c r="E215" s="60">
        <f t="shared" si="112"/>
        <v>0.63988034782608705</v>
      </c>
      <c r="F215" s="60">
        <f t="shared" si="112"/>
        <v>0.70843895652173916</v>
      </c>
      <c r="G215" s="60">
        <f t="shared" si="112"/>
        <v>3.3970680507826092</v>
      </c>
      <c r="H215" s="60">
        <f t="shared" si="112"/>
        <v>3.2740038678260888</v>
      </c>
      <c r="I215" s="60">
        <f t="shared" si="112"/>
        <v>3.2605225252173922</v>
      </c>
      <c r="J215" s="60">
        <f t="shared" si="112"/>
        <v>3.341345168000001</v>
      </c>
      <c r="K215" s="60">
        <f t="shared" si="112"/>
        <v>3.7566051234782614</v>
      </c>
      <c r="L215" s="60">
        <f t="shared" si="112"/>
        <v>3.6354243130434787</v>
      </c>
      <c r="M215" s="60">
        <f t="shared" si="112"/>
        <v>5.2537766400000008</v>
      </c>
      <c r="N215" s="60">
        <f t="shared" si="112"/>
        <v>5.4289025280000009</v>
      </c>
      <c r="O215" s="60">
        <f t="shared" si="112"/>
        <v>5.4289025280000009</v>
      </c>
      <c r="P215" s="60">
        <f t="shared" si="112"/>
        <v>5.4289025280000009</v>
      </c>
      <c r="Q215" s="60">
        <f t="shared" si="112"/>
        <v>3.7566051234782614</v>
      </c>
      <c r="R215" s="60">
        <f t="shared" si="112"/>
        <v>2.5565227617391311</v>
      </c>
      <c r="S215" s="60">
        <f t="shared" si="112"/>
        <v>2.5565227617391311</v>
      </c>
      <c r="T215" s="60">
        <f t="shared" si="112"/>
        <v>2.2830348848695659</v>
      </c>
      <c r="U215" s="60">
        <f t="shared" si="112"/>
        <v>3.3046813008695652</v>
      </c>
      <c r="V215" s="60">
        <f t="shared" si="112"/>
        <v>0.6855860869565219</v>
      </c>
      <c r="W215" s="60">
        <f t="shared" si="112"/>
        <v>0.6855860869565219</v>
      </c>
      <c r="X215" s="60">
        <f t="shared" si="112"/>
        <v>0.70843895652173916</v>
      </c>
      <c r="Y215" s="60">
        <f t="shared" si="112"/>
        <v>0.70843895652173916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113">C185</f>
        <v>0</v>
      </c>
      <c r="D216" s="60">
        <f t="shared" si="113"/>
        <v>0</v>
      </c>
      <c r="E216" s="60">
        <f t="shared" si="113"/>
        <v>0</v>
      </c>
      <c r="F216" s="60">
        <f t="shared" si="113"/>
        <v>0</v>
      </c>
      <c r="G216" s="60">
        <f t="shared" si="113"/>
        <v>0</v>
      </c>
      <c r="H216" s="60">
        <f t="shared" si="113"/>
        <v>0</v>
      </c>
      <c r="I216" s="60">
        <f t="shared" si="113"/>
        <v>0</v>
      </c>
      <c r="J216" s="60">
        <f t="shared" si="113"/>
        <v>0</v>
      </c>
      <c r="K216" s="60">
        <f t="shared" si="113"/>
        <v>0</v>
      </c>
      <c r="L216" s="60">
        <f t="shared" si="113"/>
        <v>0</v>
      </c>
      <c r="M216" s="60">
        <f t="shared" si="113"/>
        <v>0</v>
      </c>
      <c r="N216" s="60">
        <f t="shared" si="113"/>
        <v>0</v>
      </c>
      <c r="O216" s="60">
        <f t="shared" si="113"/>
        <v>0</v>
      </c>
      <c r="P216" s="60">
        <f t="shared" si="113"/>
        <v>0</v>
      </c>
      <c r="Q216" s="60">
        <f t="shared" si="113"/>
        <v>0</v>
      </c>
      <c r="R216" s="60">
        <f t="shared" si="113"/>
        <v>0</v>
      </c>
      <c r="S216" s="60">
        <f t="shared" si="113"/>
        <v>0</v>
      </c>
      <c r="T216" s="60">
        <f t="shared" si="113"/>
        <v>0</v>
      </c>
      <c r="U216" s="60">
        <f t="shared" si="113"/>
        <v>0</v>
      </c>
      <c r="V216" s="60">
        <f t="shared" si="113"/>
        <v>0</v>
      </c>
      <c r="W216" s="60">
        <f t="shared" si="113"/>
        <v>0</v>
      </c>
      <c r="X216" s="60">
        <f t="shared" si="113"/>
        <v>0</v>
      </c>
      <c r="Y216" s="60">
        <f t="shared" si="113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4">C198</f>
        <v>0</v>
      </c>
      <c r="D217" s="60">
        <f t="shared" si="114"/>
        <v>0</v>
      </c>
      <c r="E217" s="60">
        <f t="shared" si="114"/>
        <v>0</v>
      </c>
      <c r="F217" s="60">
        <f t="shared" si="114"/>
        <v>0</v>
      </c>
      <c r="G217" s="60">
        <f t="shared" si="114"/>
        <v>0</v>
      </c>
      <c r="H217" s="60">
        <f t="shared" si="114"/>
        <v>0</v>
      </c>
      <c r="I217" s="60">
        <f t="shared" si="114"/>
        <v>0</v>
      </c>
      <c r="J217" s="60">
        <f t="shared" si="114"/>
        <v>0</v>
      </c>
      <c r="K217" s="60">
        <f t="shared" si="114"/>
        <v>0</v>
      </c>
      <c r="L217" s="60">
        <f t="shared" si="114"/>
        <v>0</v>
      </c>
      <c r="M217" s="60">
        <f t="shared" si="114"/>
        <v>0</v>
      </c>
      <c r="N217" s="60">
        <f t="shared" si="114"/>
        <v>0</v>
      </c>
      <c r="O217" s="60">
        <f t="shared" si="114"/>
        <v>0</v>
      </c>
      <c r="P217" s="60">
        <f t="shared" si="114"/>
        <v>0</v>
      </c>
      <c r="Q217" s="60">
        <f t="shared" si="114"/>
        <v>0</v>
      </c>
      <c r="R217" s="60">
        <f t="shared" si="114"/>
        <v>0</v>
      </c>
      <c r="S217" s="60">
        <f t="shared" si="114"/>
        <v>0</v>
      </c>
      <c r="T217" s="60">
        <f t="shared" si="114"/>
        <v>0</v>
      </c>
      <c r="U217" s="60">
        <f t="shared" si="114"/>
        <v>0</v>
      </c>
      <c r="V217" s="60">
        <f t="shared" si="114"/>
        <v>0</v>
      </c>
      <c r="W217" s="60">
        <f t="shared" si="114"/>
        <v>0</v>
      </c>
      <c r="X217" s="60">
        <f t="shared" si="114"/>
        <v>0</v>
      </c>
      <c r="Y217" s="60">
        <f t="shared" si="114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5">C211</f>
        <v>0</v>
      </c>
      <c r="D218" s="60">
        <f t="shared" si="115"/>
        <v>0</v>
      </c>
      <c r="E218" s="60">
        <f t="shared" si="115"/>
        <v>0</v>
      </c>
      <c r="F218" s="60">
        <f t="shared" si="115"/>
        <v>0</v>
      </c>
      <c r="G218" s="60">
        <f t="shared" si="115"/>
        <v>0</v>
      </c>
      <c r="H218" s="60">
        <f t="shared" si="115"/>
        <v>0</v>
      </c>
      <c r="I218" s="60">
        <f t="shared" si="115"/>
        <v>0</v>
      </c>
      <c r="J218" s="60">
        <f t="shared" si="115"/>
        <v>0</v>
      </c>
      <c r="K218" s="60">
        <f t="shared" si="115"/>
        <v>0</v>
      </c>
      <c r="L218" s="60">
        <f t="shared" si="115"/>
        <v>0</v>
      </c>
      <c r="M218" s="60">
        <f t="shared" si="115"/>
        <v>0</v>
      </c>
      <c r="N218" s="60">
        <f t="shared" si="115"/>
        <v>0</v>
      </c>
      <c r="O218" s="60">
        <f t="shared" si="115"/>
        <v>0</v>
      </c>
      <c r="P218" s="60">
        <f t="shared" si="115"/>
        <v>0</v>
      </c>
      <c r="Q218" s="60">
        <f t="shared" si="115"/>
        <v>0</v>
      </c>
      <c r="R218" s="60">
        <f t="shared" si="115"/>
        <v>0</v>
      </c>
      <c r="S218" s="60">
        <f t="shared" si="115"/>
        <v>0</v>
      </c>
      <c r="T218" s="60">
        <f t="shared" si="115"/>
        <v>0</v>
      </c>
      <c r="U218" s="60">
        <f t="shared" si="115"/>
        <v>0</v>
      </c>
      <c r="V218" s="60">
        <f t="shared" si="115"/>
        <v>0</v>
      </c>
      <c r="W218" s="60">
        <f t="shared" si="115"/>
        <v>0</v>
      </c>
      <c r="X218" s="60">
        <f t="shared" si="115"/>
        <v>0</v>
      </c>
      <c r="Y218" s="60">
        <f t="shared" si="115"/>
        <v>0</v>
      </c>
    </row>
    <row r="219" spans="1:28" x14ac:dyDescent="0.25">
      <c r="AA219" s="30">
        <f>SUM(B215:Y218)</f>
        <v>62.8559477572174</v>
      </c>
      <c r="AB219" t="s">
        <v>222</v>
      </c>
    </row>
    <row r="220" spans="1:28" x14ac:dyDescent="0.25">
      <c r="AA220" s="30">
        <f>SUM(B215:Y217)</f>
        <v>62.8559477572174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8" activePane="bottomLeft" state="frozen"/>
      <selection pane="bottomLeft" activeCell="B76" sqref="B76:Y78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5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0.5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1.16127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32.30410256592593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43.47218956592593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45.64579904422223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1.16127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68.45264232000001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0.18836999999999998</v>
      </c>
      <c r="M172" s="60">
        <f t="shared" si="57"/>
        <v>0.18836999999999998</v>
      </c>
      <c r="N172" s="60">
        <f t="shared" si="57"/>
        <v>0.19464899999999996</v>
      </c>
      <c r="O172" s="60">
        <f t="shared" si="57"/>
        <v>0.19464899999999996</v>
      </c>
      <c r="P172" s="60">
        <f t="shared" si="57"/>
        <v>0.19464899999999996</v>
      </c>
      <c r="Q172" s="60">
        <f t="shared" si="57"/>
        <v>0.19464899999999996</v>
      </c>
      <c r="R172" s="60">
        <f t="shared" si="57"/>
        <v>0.18836999999999998</v>
      </c>
      <c r="S172" s="60">
        <f t="shared" si="57"/>
        <v>0.18836999999999998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14.583673020000001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0.18836999999999998</v>
      </c>
      <c r="M215" s="60">
        <f t="shared" si="90"/>
        <v>0.18836999999999998</v>
      </c>
      <c r="N215" s="60">
        <f t="shared" si="90"/>
        <v>0.19464899999999996</v>
      </c>
      <c r="O215" s="60">
        <f t="shared" si="90"/>
        <v>0.19464899999999996</v>
      </c>
      <c r="P215" s="60">
        <f t="shared" si="90"/>
        <v>0.19464899999999996</v>
      </c>
      <c r="Q215" s="60">
        <f t="shared" si="90"/>
        <v>0.19464899999999996</v>
      </c>
      <c r="R215" s="60">
        <f t="shared" si="90"/>
        <v>0.18836999999999998</v>
      </c>
      <c r="S215" s="60">
        <f t="shared" si="90"/>
        <v>0.18836999999999998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39.096889020000006</v>
      </c>
      <c r="AB219" t="s">
        <v>222</v>
      </c>
    </row>
    <row r="220" spans="1:28" x14ac:dyDescent="0.25">
      <c r="AA220" s="30">
        <f>SUM(B215:Y217)</f>
        <v>39.096889020000006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2023-01-15T18:46:48Z</dcterms:modified>
</cp:coreProperties>
</file>