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8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7" i="29" l="1"/>
  <c r="BE17" i="29" s="1"/>
  <c r="BF17" i="29" s="1"/>
  <c r="BG17" i="29" s="1"/>
  <c r="BD18" i="29"/>
  <c r="BE18" i="29" s="1"/>
  <c r="BF18" i="29" s="1"/>
  <c r="BK18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I7" i="29"/>
  <c r="BG7" i="29"/>
  <c r="BH7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7" i="29" l="1"/>
  <c r="BL17" i="29"/>
  <c r="BJ17" i="29"/>
  <c r="BK17" i="29"/>
  <c r="BI18" i="29"/>
  <c r="BJ18" i="29"/>
  <c r="BG18" i="29"/>
  <c r="BH18" i="29"/>
  <c r="BL18" i="29"/>
  <c r="BI19" i="29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Q40" i="30"/>
  <c r="BP40" i="30"/>
  <c r="BO40" i="30"/>
  <c r="BN40" i="30"/>
  <c r="BN93" i="30" s="1"/>
  <c r="BM40" i="30"/>
  <c r="BL40" i="30"/>
  <c r="BL93" i="30" s="1"/>
  <c r="BK40" i="30"/>
  <c r="BK93" i="30" s="1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C92" i="30" s="1"/>
  <c r="BB39" i="30"/>
  <c r="BA39" i="30"/>
  <c r="AZ39" i="30"/>
  <c r="AY39" i="30"/>
  <c r="AX39" i="30"/>
  <c r="AW39" i="30"/>
  <c r="AV39" i="30"/>
  <c r="BS38" i="30"/>
  <c r="BS91" i="30" s="1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K90" i="30" s="1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R93" i="30"/>
  <c r="BQ93" i="30"/>
  <c r="BP93" i="30"/>
  <c r="BO93" i="30"/>
  <c r="BM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S20" i="29"/>
  <c r="S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F16" i="30" s="1"/>
  <c r="AK191" i="33" s="1"/>
  <c r="AO191" i="33" s="1"/>
  <c r="Z171" i="28"/>
  <c r="Y171" i="28"/>
  <c r="X171" i="28"/>
  <c r="T171" i="28"/>
  <c r="Y170" i="31"/>
  <c r="AB170" i="31" s="1"/>
  <c r="X170" i="31"/>
  <c r="AA170" i="31" s="1"/>
  <c r="T170" i="31"/>
  <c r="U170" i="31" s="1"/>
  <c r="Z170" i="31"/>
  <c r="AC170" i="31" s="1"/>
  <c r="Z172" i="28"/>
  <c r="Y172" i="28"/>
  <c r="T172" i="28"/>
  <c r="X172" i="28"/>
  <c r="T171" i="31"/>
  <c r="Z171" i="31"/>
  <c r="Y171" i="31"/>
  <c r="AB171" i="31" s="1"/>
  <c r="X171" i="31"/>
  <c r="AA171" i="31" s="1"/>
  <c r="X169" i="28"/>
  <c r="AA169" i="28" s="1"/>
  <c r="T169" i="28"/>
  <c r="Z169" i="28"/>
  <c r="Y169" i="28"/>
  <c r="Z172" i="31"/>
  <c r="AC172" i="31" s="1"/>
  <c r="Y172" i="31"/>
  <c r="T172" i="31"/>
  <c r="W172" i="31" s="1"/>
  <c r="X172" i="31"/>
  <c r="AA172" i="31" s="1"/>
  <c r="T170" i="28"/>
  <c r="Z170" i="28"/>
  <c r="Y170" i="28"/>
  <c r="X170" i="28"/>
  <c r="Z169" i="31"/>
  <c r="Y169" i="31"/>
  <c r="X169" i="31"/>
  <c r="AA169" i="31" s="1"/>
  <c r="T169" i="31"/>
  <c r="T186" i="31"/>
  <c r="Z186" i="31"/>
  <c r="Y186" i="31"/>
  <c r="X186" i="31"/>
  <c r="T186" i="28"/>
  <c r="Z186" i="28"/>
  <c r="Y186" i="28"/>
  <c r="AB186" i="28" s="1"/>
  <c r="X186" i="28"/>
  <c r="AA186" i="28" s="1"/>
  <c r="C20" i="29"/>
  <c r="S8" i="29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X188" i="28"/>
  <c r="AA188" i="28" s="1"/>
  <c r="Z188" i="28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A168" i="31"/>
  <c r="AB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AX99" i="30" s="1"/>
  <c r="AX100" i="30" s="1"/>
  <c r="AX101" i="30" s="1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65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A189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C188" i="28"/>
  <c r="AB169" i="28"/>
  <c r="AC169" i="28"/>
  <c r="AF169" i="28" s="1"/>
  <c r="AA205" i="28"/>
  <c r="AB205" i="28"/>
  <c r="AC167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C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Y72" i="30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AB24" i="28" l="1"/>
  <c r="P72" i="30"/>
  <c r="AD72" i="30"/>
  <c r="Z72" i="30"/>
  <c r="F8" i="29"/>
  <c r="J72" i="30"/>
  <c r="H8" i="29"/>
  <c r="L72" i="30"/>
  <c r="W8" i="29"/>
  <c r="AA72" i="30"/>
  <c r="G8" i="29"/>
  <c r="K72" i="30"/>
  <c r="M8" i="29"/>
  <c r="Q72" i="30"/>
  <c r="X8" i="29"/>
  <c r="AB72" i="30"/>
  <c r="U72" i="30"/>
  <c r="Q8" i="29"/>
  <c r="Q201" i="29" s="1"/>
  <c r="V72" i="30"/>
  <c r="R8" i="29"/>
  <c r="J8" i="29"/>
  <c r="N72" i="30"/>
  <c r="R72" i="30"/>
  <c r="N8" i="29"/>
  <c r="N201" i="29" s="1"/>
  <c r="S72" i="30"/>
  <c r="O8" i="29"/>
  <c r="O72" i="30"/>
  <c r="K8" i="29"/>
  <c r="G72" i="30"/>
  <c r="C8" i="29"/>
  <c r="C201" i="29" s="1"/>
  <c r="C212" i="29" s="1"/>
  <c r="Y8" i="29"/>
  <c r="AC72" i="30"/>
  <c r="I8" i="29"/>
  <c r="M72" i="30"/>
  <c r="T72" i="30"/>
  <c r="P8" i="29"/>
  <c r="E8" i="29"/>
  <c r="I72" i="30"/>
  <c r="T8" i="29"/>
  <c r="X72" i="30"/>
  <c r="D8" i="29"/>
  <c r="H72" i="30"/>
  <c r="W72" i="30"/>
  <c r="Z24" i="28"/>
  <c r="W24" i="28"/>
  <c r="X24" i="28"/>
  <c r="AA24" i="28"/>
  <c r="Y24" i="28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G169" i="31"/>
  <c r="CH71" i="30"/>
  <c r="B95" i="30"/>
  <c r="D95" i="30" s="1"/>
  <c r="AG190" i="31"/>
  <c r="AE176" i="28"/>
  <c r="J201" i="29"/>
  <c r="X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69" i="31" l="1"/>
  <c r="AJ169" i="28"/>
  <c r="AI169" i="28"/>
  <c r="AI172" i="31"/>
  <c r="AJ170" i="31"/>
  <c r="AI171" i="31"/>
  <c r="AJ170" i="28"/>
  <c r="AI169" i="31"/>
  <c r="AK224" i="33"/>
  <c r="AO224" i="33" s="1"/>
  <c r="F72" i="30"/>
  <c r="BD84" i="30"/>
  <c r="BD81" i="30"/>
  <c r="BD85" i="30" s="1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C275" i="33"/>
  <c r="D275" i="33" s="1"/>
  <c r="D191" i="33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Z76" i="33"/>
  <c r="AZ152" i="33"/>
  <c r="BC76" i="33"/>
  <c r="BC122" i="33" s="1"/>
  <c r="BC168" i="33" s="1"/>
  <c r="BC152" i="33"/>
  <c r="AW76" i="33"/>
  <c r="AW122" i="33" s="1"/>
  <c r="AW168" i="33" s="1"/>
  <c r="AW152" i="33"/>
  <c r="AV76" i="33"/>
  <c r="AV152" i="33"/>
  <c r="BS76" i="33"/>
  <c r="BS152" i="33"/>
  <c r="AX76" i="33"/>
  <c r="AX133" i="33" s="1"/>
  <c r="AX152" i="33"/>
  <c r="BD76" i="33"/>
  <c r="BD122" i="33" s="1"/>
  <c r="BD168" i="33" s="1"/>
  <c r="BD152" i="33"/>
  <c r="BR76" i="33"/>
  <c r="BR152" i="33"/>
  <c r="AY76" i="33"/>
  <c r="AY152" i="33"/>
  <c r="BB76" i="33"/>
  <c r="BB133" i="33" s="1"/>
  <c r="BB152" i="33"/>
  <c r="BQ76" i="33"/>
  <c r="BQ152" i="33"/>
  <c r="BP78" i="33"/>
  <c r="BP154" i="33"/>
  <c r="BS78" i="33"/>
  <c r="BS154" i="33"/>
  <c r="BA78" i="33"/>
  <c r="BA124" i="33" s="1"/>
  <c r="BA170" i="33" s="1"/>
  <c r="BA154" i="33"/>
  <c r="AY78" i="33"/>
  <c r="AY135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AW78" i="33"/>
  <c r="AW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X122" i="33" l="1"/>
  <c r="AX168" i="33" s="1"/>
  <c r="BD133" i="33"/>
  <c r="BQ135" i="33"/>
  <c r="AZ135" i="33"/>
  <c r="BA135" i="33"/>
  <c r="BC133" i="33"/>
  <c r="BC160" i="33"/>
  <c r="BC161" i="33" s="1"/>
  <c r="BC162" i="33" s="1"/>
  <c r="BB124" i="33"/>
  <c r="BB170" i="33" s="1"/>
  <c r="AX135" i="33"/>
  <c r="AY124" i="33"/>
  <c r="AY170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K217" i="24" l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B198" i="18" s="1"/>
  <c r="B218" i="18"/>
  <c r="G9" i="22" s="1"/>
  <c r="AA120" i="18"/>
  <c r="T171" i="18"/>
  <c r="T172" i="18" s="1"/>
  <c r="J170" i="31" l="1"/>
  <c r="AA198" i="18"/>
  <c r="B217" i="18"/>
  <c r="G7" i="22" s="1"/>
  <c r="AS17" i="23" s="1"/>
  <c r="AS38" i="23" s="1"/>
  <c r="BR38" i="23" s="1"/>
  <c r="G93" i="23" s="1"/>
  <c r="G95" i="23" s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<sst xmlns="http://schemas.openxmlformats.org/spreadsheetml/2006/main" count="3090" uniqueCount="1464">
  <si>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</si>
  <si>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</si>
  <si>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</si>
  <si>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</si>
  <si>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</si>
  <si>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</si>
  <si>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</si>
  <si>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</si>
  <si>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</si>
  <si>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</si>
  <si>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</si>
  <si>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</si>
  <si>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</si>
  <si>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</si>
  <si>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</si>
  <si>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</si>
  <si>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</si>
  <si>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</si>
  <si>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</si>
  <si>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</si>
  <si>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</si>
  <si>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</si>
  <si>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</si>
  <si>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</si>
  <si>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</si>
  <si>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</si>
  <si>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</si>
  <si>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</si>
  <si>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</si>
  <si>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</si>
  <si>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</si>
  <si>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</si>
  <si>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</si>
  <si>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</si>
  <si>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</si>
  <si>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</si>
  <si>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</si>
  <si>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</si>
  <si>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</si>
  <si>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</si>
  <si>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</si>
  <si>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</si>
  <si>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</si>
  <si>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</si>
  <si>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</si>
  <si>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</si>
  <si>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</si>
  <si>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</si>
  <si>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</si>
  <si>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</si>
  <si>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</si>
  <si>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</si>
  <si>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</si>
  <si>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</si>
  <si>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</si>
  <si>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</si>
  <si>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</si>
  <si>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</si>
  <si>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</si>
  <si>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</si>
  <si>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</si>
  <si>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</si>
  <si>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</si>
  <si>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</si>
  <si>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</si>
  <si>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</si>
  <si>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</si>
  <si>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</si>
  <si>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</si>
  <si>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</si>
  <si>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</si>
  <si>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</si>
  <si>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</si>
  <si>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</si>
  <si>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</si>
  <si>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</si>
  <si>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</si>
  <si>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</si>
  <si>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</si>
  <si>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</si>
  <si>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</si>
  <si>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</si>
  <si>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</si>
  <si>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</si>
  <si>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</si>
  <si>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</si>
  <si>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</si>
  <si>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</si>
  <si>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</si>
  <si>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</si>
  <si>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</si>
  <si>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</si>
  <si>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</si>
  <si>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</si>
  <si>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</si>
  <si>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</si>
  <si>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</si>
  <si>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</si>
  <si>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</si>
  <si>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</si>
  <si>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</si>
  <si>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</si>
  <si>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</si>
  <si>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</si>
  <si>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</si>
  <si>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</si>
  <si>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</si>
  <si>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</si>
  <si>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</si>
  <si>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</si>
  <si>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</si>
  <si>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</si>
  <si>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</si>
  <si>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</si>
  <si>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</si>
  <si>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</si>
  <si>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</si>
  <si>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</si>
  <si>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</si>
  <si>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</si>
  <si>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</si>
  <si>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</si>
  <si>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</si>
  <si>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</si>
  <si>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</si>
  <si>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</si>
  <si>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</si>
  <si>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</si>
  <si>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</si>
  <si>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</si>
  <si>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</si>
  <si>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</si>
  <si>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</si>
  <si>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</si>
  <si>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</si>
  <si>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</si>
  <si>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</si>
  <si>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</si>
  <si>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</si>
  <si>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</si>
  <si>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</si>
  <si>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</si>
  <si>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</si>
  <si>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</si>
  <si>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</si>
  <si>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</si>
  <si>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</si>
  <si>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</si>
  <si>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</si>
  <si>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</si>
  <si>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</si>
  <si>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</si>
  <si>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</si>
  <si>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</si>
  <si>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</si>
  <si>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</si>
  <si>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</si>
  <si>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</si>
  <si>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</si>
  <si>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</si>
  <si>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</si>
  <si>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</si>
  <si>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</si>
  <si>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</si>
  <si>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</si>
  <si>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</si>
  <si>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</si>
  <si>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</si>
  <si>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</si>
  <si>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</si>
  <si>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</si>
  <si>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</si>
  <si>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</si>
  <si>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</si>
  <si>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</si>
  <si>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</si>
  <si>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</si>
  <si>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</si>
  <si>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</si>
  <si>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</si>
  <si>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</si>
  <si>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</si>
  <si>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</si>
  <si>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</si>
  <si>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</si>
  <si>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</si>
  <si>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</si>
  <si>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</si>
  <si>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</si>
  <si>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</si>
  <si>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</si>
  <si>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</si>
  <si>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</si>
  <si>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</si>
  <si>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</si>
  <si>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</si>
  <si>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</si>
  <si>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</si>
  <si>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</si>
  <si>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</si>
  <si>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</si>
  <si>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</si>
  <si>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</si>
  <si>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</si>
  <si>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</si>
  <si>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</si>
  <si>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</si>
  <si>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</si>
  <si>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</si>
  <si>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</si>
  <si>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</si>
  <si>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</si>
  <si>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</si>
  <si>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</si>
  <si>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</si>
  <si>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</si>
  <si>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</si>
  <si>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</si>
  <si>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</si>
  <si>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</si>
  <si>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</si>
  <si>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</si>
  <si>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</si>
  <si>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</si>
  <si>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</si>
  <si>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</si>
  <si>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</si>
  <si>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</si>
  <si>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</si>
  <si>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</si>
  <si>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</si>
  <si>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</si>
  <si>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</si>
  <si>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</si>
  <si>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</si>
  <si>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</si>
  <si>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</si>
  <si>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</si>
  <si>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</si>
  <si>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</si>
  <si>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</si>
  <si>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</si>
  <si>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</si>
  <si>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</si>
  <si>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</si>
  <si>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</si>
  <si>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</si>
  <si>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</si>
  <si>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</si>
  <si>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</si>
  <si>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</si>
  <si>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</si>
  <si>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</si>
  <si>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</si>
  <si>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</si>
  <si>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</si>
  <si>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</si>
  <si>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</si>
  <si>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</si>
  <si>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</si>
  <si>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</si>
  <si>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</si>
  <si>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</si>
  <si>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</si>
  <si>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</si>
  <si>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</si>
  <si>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</si>
  <si>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</si>
  <si>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</si>
  <si>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</si>
  <si>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</si>
  <si>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</si>
  <si>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</si>
  <si>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</si>
  <si>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</si>
  <si>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</si>
  <si>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</si>
  <si>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</si>
  <si>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</si>
  <si>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</si>
  <si>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</si>
  <si>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</si>
  <si>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</si>
  <si>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</si>
  <si>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</si>
  <si>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</si>
  <si>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</si>
  <si>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</si>
  <si>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</si>
  <si>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</si>
  <si>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</si>
  <si>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</si>
  <si>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</si>
  <si>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</si>
  <si>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</si>
  <si>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</si>
  <si>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</si>
  <si>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</si>
  <si>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</si>
  <si>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</si>
  <si>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</si>
  <si>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</si>
  <si>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</si>
  <si>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</si>
  <si>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</si>
  <si>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</si>
  <si>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</si>
  <si>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</si>
  <si>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</si>
  <si>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</si>
  <si>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</si>
  <si>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</si>
  <si>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</si>
  <si>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</si>
  <si>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</si>
  <si>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</si>
  <si>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</si>
  <si>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</si>
  <si>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</si>
  <si>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</si>
  <si>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</si>
  <si>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</si>
  <si>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</si>
  <si>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</si>
  <si>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</si>
  <si>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</si>
  <si>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</si>
  <si>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</si>
  <si>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</si>
  <si>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</si>
  <si>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</si>
  <si>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</si>
  <si>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</si>
  <si>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</si>
  <si>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</si>
  <si>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</si>
  <si>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</si>
  <si>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</si>
  <si>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</si>
  <si>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</si>
  <si>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</si>
  <si>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</si>
  <si>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</si>
  <si>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</si>
  <si>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</si>
  <si>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</si>
  <si>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</si>
  <si>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</si>
  <si>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</si>
  <si>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</si>
  <si>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</si>
  <si>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</si>
  <si>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</si>
  <si>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</si>
  <si>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</si>
  <si>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</si>
  <si>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</si>
  <si>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</si>
  <si>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</si>
  <si>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</si>
  <si>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</si>
  <si>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</si>
  <si>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</si>
  <si>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</si>
  <si>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</si>
  <si>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</si>
  <si>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</si>
  <si>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</si>
  <si>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</si>
  <si>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</si>
  <si>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</si>
  <si>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</si>
  <si>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</si>
  <si>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</si>
  <si>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</si>
  <si>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</si>
  <si>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</si>
  <si>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</si>
  <si>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</si>
  <si>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</si>
  <si>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</si>
  <si>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</si>
  <si>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</si>
  <si>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</si>
  <si>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</si>
  <si>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</si>
  <si>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</si>
  <si>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</si>
  <si>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</si>
  <si>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</si>
  <si>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</si>
  <si>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</si>
  <si>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</si>
  <si>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</si>
  <si>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</si>
  <si>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</si>
  <si>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</si>
  <si>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</si>
  <si>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</si>
  <si>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</si>
  <si>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</si>
  <si>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</si>
  <si>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</si>
  <si>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</si>
  <si>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</si>
  <si>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</si>
  <si>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</si>
  <si>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</si>
  <si>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</si>
  <si>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</si>
  <si>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</si>
  <si>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</si>
  <si>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</si>
  <si>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</si>
  <si>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</si>
  <si>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</si>
  <si>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</si>
  <si>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</si>
  <si>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</si>
  <si>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</si>
  <si>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</si>
  <si>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</si>
  <si>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</si>
  <si>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</si>
  <si>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</si>
  <si>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</si>
  <si>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</si>
  <si>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</si>
  <si>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</si>
  <si>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</si>
  <si>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</si>
  <si>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</si>
  <si>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</si>
  <si>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</si>
  <si>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</si>
  <si>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</si>
  <si>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</si>
  <si>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</si>
  <si>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</si>
  <si>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</si>
  <si>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</si>
  <si>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</si>
  <si>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</si>
  <si>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</si>
  <si>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</si>
  <si>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</si>
  <si>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</si>
  <si>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</si>
  <si>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</si>
  <si>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</si>
  <si>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</si>
  <si>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</si>
  <si>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</si>
  <si>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</si>
  <si>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</si>
  <si>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</si>
  <si>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</si>
  <si>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</si>
  <si>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</si>
  <si>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</si>
  <si>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</si>
  <si>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</si>
  <si>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</si>
  <si>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</si>
  <si>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</si>
  <si>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</si>
  <si>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</si>
  <si>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</si>
  <si>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</si>
  <si>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</si>
  <si>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</si>
  <si>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</si>
  <si>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</si>
  <si>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</si>
  <si>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</si>
  <si>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</si>
  <si>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</si>
  <si>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</si>
  <si>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</si>
  <si>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</si>
  <si>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</si>
  <si>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</si>
  <si>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</si>
  <si>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</si>
  <si>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</si>
  <si>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</si>
  <si>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</si>
  <si>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</si>
  <si>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</si>
  <si>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</si>
  <si>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</si>
  <si>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</si>
  <si>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</si>
  <si>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</si>
  <si>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</si>
  <si>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</si>
  <si>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</si>
  <si>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</si>
  <si>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</si>
  <si>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</si>
  <si>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</si>
  <si>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</si>
  <si>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</si>
  <si>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</si>
  <si>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</si>
  <si>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</si>
  <si>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</si>
  <si>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</si>
  <si>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</si>
  <si>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</si>
  <si>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</si>
  <si>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</si>
  <si>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</si>
  <si>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</si>
  <si>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</si>
  <si>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</si>
  <si>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</si>
  <si>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</si>
  <si>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</si>
  <si>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</si>
  <si>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</si>
  <si>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</si>
  <si>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</si>
  <si>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</si>
  <si>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</si>
  <si>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</si>
  <si>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</si>
  <si>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</si>
  <si>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</si>
  <si>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</si>
  <si>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</si>
  <si>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</si>
  <si>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</si>
  <si>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</si>
  <si>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</si>
  <si>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</si>
  <si>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</si>
  <si>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</si>
  <si>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</si>
  <si>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</si>
  <si>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</si>
  <si>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</si>
  <si>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</si>
  <si>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</si>
  <si>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</si>
  <si>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</si>
  <si>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</si>
  <si>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</si>
  <si>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</si>
  <si>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</si>
  <si>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</si>
  <si>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</si>
  <si>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</si>
  <si>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</si>
  <si>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</si>
  <si>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</si>
  <si>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</si>
  <si>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</si>
  <si>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</si>
  <si>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</si>
  <si>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</si>
  <si>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</si>
  <si>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</si>
  <si>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</si>
  <si>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</si>
  <si>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</si>
  <si>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</si>
  <si>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</si>
  <si>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</si>
  <si>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</si>
  <si>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</si>
  <si>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</si>
  <si>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</si>
  <si>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</si>
  <si>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</si>
  <si>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</si>
  <si>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</si>
  <si>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</si>
  <si>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</si>
  <si>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</si>
  <si>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</si>
  <si>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</si>
  <si>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</si>
  <si>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</si>
  <si>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</si>
  <si>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</si>
  <si>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</si>
  <si>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</si>
  <si>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</si>
  <si>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</si>
  <si>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</si>
  <si>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</si>
  <si>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</si>
  <si>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</si>
  <si>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</si>
  <si>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</si>
  <si>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</si>
  <si>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</si>
  <si>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</si>
  <si>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</si>
  <si>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</si>
  <si>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</si>
  <si>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</si>
  <si>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</si>
  <si>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</si>
  <si>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</si>
  <si>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</si>
  <si>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</si>
  <si>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</si>
  <si>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</si>
  <si>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</si>
  <si>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</si>
  <si>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</si>
  <si>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</si>
  <si>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</si>
  <si>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</si>
  <si>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</si>
  <si>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</si>
  <si>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</si>
  <si>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</si>
  <si>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</si>
  <si>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</si>
  <si>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</si>
  <si>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</si>
  <si>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</si>
  <si>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</si>
  <si>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</si>
  <si>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</si>
  <si>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</si>
  <si>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</si>
  <si>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</si>
  <si>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</si>
  <si>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</si>
  <si>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</si>
  <si>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</si>
  <si>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</si>
  <si>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</si>
  <si>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</si>
  <si>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</si>
  <si>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</si>
  <si>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</si>
  <si>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</si>
  <si>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</si>
  <si>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</si>
  <si>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</si>
  <si>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</si>
  <si>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</si>
  <si>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</si>
  <si>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</si>
  <si>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</si>
  <si>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</si>
  <si>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</si>
  <si>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</si>
  <si>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</si>
  <si>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</si>
  <si>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</si>
  <si>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</si>
  <si>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</si>
  <si>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</si>
  <si>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</si>
  <si>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</si>
  <si>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</si>
  <si>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</si>
  <si>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</si>
  <si>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</si>
  <si>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</si>
  <si>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</si>
  <si>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</si>
  <si>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</si>
  <si>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</si>
  <si>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</si>
  <si>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</si>
  <si>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</si>
  <si>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</si>
  <si>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</si>
  <si>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</si>
  <si>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</si>
  <si>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</si>
  <si>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</si>
  <si>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</si>
  <si>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</si>
  <si>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</si>
  <si>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</si>
  <si>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</si>
  <si>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</si>
  <si>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</si>
  <si>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</si>
  <si>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</si>
  <si>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</si>
  <si>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</si>
  <si>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</si>
  <si>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</si>
  <si>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</si>
  <si>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</si>
  <si>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</si>
  <si>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</si>
  <si>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</si>
  <si>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</si>
  <si>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</si>
  <si>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</si>
  <si>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</si>
  <si>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</si>
  <si>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</si>
  <si>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</si>
  <si>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</si>
  <si>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</si>
  <si>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</si>
  <si>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</si>
  <si>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</si>
  <si>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</si>
  <si>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</si>
  <si>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</si>
  <si>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</si>
  <si>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</si>
  <si>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</si>
  <si>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</si>
  <si>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</si>
  <si>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</si>
  <si>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</si>
  <si>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</si>
  <si>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</si>
  <si>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</si>
  <si>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</si>
  <si>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</si>
  <si>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</si>
  <si>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</si>
  <si>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</si>
  <si>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</si>
  <si>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</si>
  <si>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</si>
  <si>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</si>
  <si>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</si>
  <si>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</si>
  <si>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</si>
  <si>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</si>
  <si>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</si>
  <si>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</si>
  <si>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</si>
  <si>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</si>
  <si>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</si>
  <si>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</si>
  <si>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</si>
  <si>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</si>
  <si>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</si>
  <si>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</si>
  <si>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</si>
  <si>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</si>
  <si>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</si>
  <si>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</si>
  <si>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</si>
  <si>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</si>
  <si>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</si>
  <si>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</si>
  <si>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</si>
  <si>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</si>
  <si>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</si>
  <si>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</si>
  <si>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</si>
  <si>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</si>
  <si>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</si>
  <si>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</si>
  <si>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</si>
  <si>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</si>
  <si>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</si>
  <si>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</si>
  <si>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</si>
  <si>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</si>
  <si>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</si>
  <si>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</si>
  <si>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</si>
  <si>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</si>
  <si>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</si>
  <si>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</si>
  <si>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</si>
  <si>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</si>
  <si>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</si>
  <si>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</si>
  <si>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</si>
  <si>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</si>
  <si>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</si>
  <si>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</si>
  <si>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</si>
  <si>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</si>
  <si>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</si>
  <si>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</si>
  <si>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</si>
  <si>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</si>
  <si>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</si>
  <si>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</si>
  <si>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</si>
  <si>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</si>
  <si>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</si>
  <si>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</si>
  <si>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</si>
  <si>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</si>
  <si>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</si>
  <si>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</si>
  <si>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</si>
  <si>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</si>
  <si>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</si>
  <si>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</si>
  <si>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</si>
  <si>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</si>
  <si>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</si>
  <si>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</si>
  <si>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</si>
  <si>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</si>
  <si>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</si>
  <si>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</si>
  <si>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</si>
  <si>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</si>
  <si>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</si>
  <si>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</si>
  <si>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</si>
  <si>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</si>
  <si>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</si>
  <si>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</si>
  <si>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</si>
  <si>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</si>
  <si>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</si>
  <si>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</si>
  <si>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</si>
  <si>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</si>
  <si>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</si>
  <si>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</si>
  <si>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</si>
  <si>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</si>
  <si>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</si>
  <si>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</si>
  <si>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</si>
  <si>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</si>
  <si>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</si>
  <si>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</si>
  <si>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</si>
  <si>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</si>
  <si>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</si>
  <si>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</si>
  <si>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</si>
  <si>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</si>
  <si>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</si>
  <si>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</si>
  <si>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</si>
  <si>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</si>
  <si>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</si>
  <si>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</si>
  <si>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</si>
  <si>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</si>
  <si>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</si>
  <si>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</si>
  <si>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</si>
  <si>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</si>
  <si>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</si>
  <si>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</si>
  <si>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</si>
  <si>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</si>
  <si>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</si>
  <si>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</si>
  <si>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</si>
  <si>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</si>
  <si>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</si>
  <si>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</si>
  <si>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</si>
  <si>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</si>
  <si>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</si>
  <si>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</si>
  <si>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</si>
  <si>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</si>
  <si>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</si>
  <si>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</si>
  <si>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</si>
  <si>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</si>
  <si>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</si>
  <si>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</si>
  <si>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</si>
  <si>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</si>
  <si>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</si>
  <si>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</si>
  <si>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</si>
  <si>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</si>
  <si>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</si>
  <si>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</si>
  <si>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</si>
  <si>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</si>
  <si>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</si>
  <si>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</si>
  <si>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</si>
  <si>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</si>
  <si>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</si>
  <si>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</si>
  <si>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</si>
  <si>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</si>
  <si>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</si>
  <si>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</si>
  <si>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</si>
  <si>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</si>
  <si>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</si>
  <si>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</si>
  <si>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</si>
  <si>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</si>
  <si>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</si>
  <si>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</si>
  <si>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</si>
  <si>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</si>
  <si>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</si>
  <si>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</si>
  <si>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</si>
  <si>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</si>
  <si>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</si>
  <si>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</si>
  <si>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</si>
  <si>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</si>
  <si>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</si>
  <si>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</si>
  <si>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</si>
  <si>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</si>
  <si>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</si>
  <si>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</si>
  <si>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</si>
  <si>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</si>
  <si>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</si>
  <si>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</si>
  <si>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</si>
  <si>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</si>
  <si>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</si>
  <si>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</si>
  <si>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</si>
  <si>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</si>
  <si>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</si>
  <si>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</si>
  <si>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</si>
  <si>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</si>
  <si>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</si>
  <si>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</si>
  <si>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</si>
  <si>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</si>
  <si>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</si>
  <si>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</si>
  <si>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</si>
  <si>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</si>
  <si>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</si>
  <si>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</si>
  <si>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</si>
  <si>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</si>
  <si>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</si>
  <si>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</si>
  <si>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</si>
  <si>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</si>
  <si>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</si>
  <si>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</si>
  <si>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</si>
  <si>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</si>
  <si>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</si>
  <si>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</si>
  <si>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</si>
  <si>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</si>
  <si>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</si>
  <si>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</si>
  <si>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</si>
  <si>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</si>
  <si>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</si>
  <si>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</si>
  <si>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</si>
  <si>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</si>
  <si>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</si>
  <si>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</si>
  <si>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</si>
  <si>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</si>
  <si>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</si>
  <si>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</si>
  <si>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</si>
  <si>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</si>
  <si>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</si>
  <si>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</si>
  <si>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</si>
  <si>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</si>
  <si>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</si>
  <si>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</si>
  <si>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</si>
  <si>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</si>
  <si>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</si>
  <si>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</si>
  <si>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</si>
  <si>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</si>
  <si>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</si>
  <si>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</si>
  <si>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</si>
  <si>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</si>
  <si>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</si>
  <si>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</si>
  <si>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</si>
  <si>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</si>
  <si>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</si>
  <si>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</si>
  <si>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</si>
  <si>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</si>
  <si>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</si>
  <si>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</si>
  <si>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</si>
  <si>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</si>
  <si>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</si>
  <si>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</si>
  <si>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</si>
  <si>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</si>
  <si>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</si>
  <si>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</si>
  <si>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</si>
  <si>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</si>
  <si>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</si>
  <si>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</si>
  <si>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</si>
  <si>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</si>
  <si>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</si>
  <si>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</si>
  <si>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</si>
  <si>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</si>
  <si>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</si>
  <si>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</si>
  <si>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</si>
  <si>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</si>
  <si>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</si>
  <si>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</si>
  <si>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</si>
  <si>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</si>
  <si>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</si>
  <si>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</si>
  <si>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</si>
  <si>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</si>
  <si>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</si>
  <si>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</si>
  <si>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</si>
  <si>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</si>
  <si>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</si>
  <si>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</si>
  <si>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</si>
  <si>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</si>
  <si>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</si>
  <si>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</si>
  <si>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</si>
  <si>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</si>
  <si>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</si>
  <si>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</si>
  <si>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</si>
  <si>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</si>
  <si>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</si>
  <si>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</si>
  <si>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</si>
  <si>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</si>
  <si>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</si>
  <si>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</si>
  <si>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</si>
  <si>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</si>
  <si>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</si>
  <si>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</si>
  <si>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</si>
  <si>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</si>
  <si>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</si>
  <si>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</si>
  <si>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</si>
  <si>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</si>
  <si>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</si>
  <si>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</si>
  <si>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</si>
  <si>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</si>
  <si>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</si>
  <si>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</si>
  <si>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</si>
  <si>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</si>
  <si>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</si>
  <si>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</si>
  <si>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</si>
  <si>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</si>
  <si>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</si>
  <si>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</si>
  <si>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</si>
  <si>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</si>
  <si>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</si>
  <si>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</si>
  <si>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</si>
  <si>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</si>
  <si>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</si>
  <si>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</si>
  <si>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</si>
  <si>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</si>
  <si>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</si>
  <si>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</si>
  <si>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</si>
  <si>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</si>
  <si>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</si>
  <si>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</si>
  <si>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</si>
  <si>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</si>
  <si>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</si>
  <si>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</si>
  <si>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</si>
  <si>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</si>
  <si>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</si>
  <si>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</si>
  <si>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</si>
  <si>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</si>
  <si>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</si>
  <si>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</si>
  <si>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</si>
  <si>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</si>
  <si>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</si>
  <si>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</si>
  <si>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</si>
  <si>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</si>
  <si>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</si>
  <si>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</si>
  <si>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</si>
  <si>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</si>
  <si>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</si>
  <si>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</si>
  <si>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</si>
  <si>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</si>
  <si>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</si>
  <si>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</si>
  <si>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</si>
  <si>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</si>
  <si>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</si>
  <si>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</si>
  <si>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</si>
  <si>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</si>
  <si>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</si>
  <si>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</si>
  <si>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</si>
  <si>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</si>
  <si>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</si>
  <si>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</si>
  <si>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</si>
  <si>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</si>
  <si>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</si>
  <si>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</si>
  <si>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</si>
  <si>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</si>
  <si>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</si>
  <si>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</si>
  <si>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</si>
  <si>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</si>
  <si>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</si>
  <si>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</si>
  <si>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</si>
  <si>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</si>
  <si>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</si>
  <si>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</si>
  <si>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</si>
  <si>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</si>
  <si>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</si>
  <si>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</si>
  <si>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</si>
  <si>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</si>
  <si>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</si>
  <si>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</si>
  <si>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</si>
  <si>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</si>
  <si>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</si>
  <si>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</si>
  <si>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</si>
  <si>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</si>
  <si>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</si>
  <si>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</si>
  <si>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</si>
  <si>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</si>
  <si>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</si>
  <si>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</si>
  <si>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</si>
  <si>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</si>
  <si>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</si>
  <si>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</si>
  <si>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</si>
  <si>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</si>
  <si>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</si>
  <si>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</si>
  <si>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</si>
  <si>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</si>
  <si>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</si>
  <si>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</si>
  <si>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</si>
  <si>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</si>
  <si>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</si>
  <si>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</si>
  <si>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</si>
  <si>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</si>
  <si>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</si>
  <si>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</si>
  <si>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</si>
  <si>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</si>
  <si>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</si>
  <si>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</si>
  <si>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</si>
  <si>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</si>
  <si>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</si>
  <si>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</si>
  <si>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</si>
  <si>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</si>
  <si>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</si>
  <si>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</si>
  <si>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</si>
  <si>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</si>
  <si>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</si>
  <si>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</si>
  <si>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</si>
  <si>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</si>
  <si>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</si>
  <si>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</si>
  <si>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</si>
  <si>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</si>
  <si>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</si>
  <si>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</si>
  <si>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</si>
  <si>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</si>
  <si>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</si>
  <si>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</si>
  <si>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</si>
  <si>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</si>
  <si>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</si>
  <si>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</si>
  <si>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</si>
  <si>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</si>
  <si>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</si>
  <si>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</si>
  <si>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</si>
  <si>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</si>
  <si>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</si>
  <si>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</si>
  <si>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</si>
  <si>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</si>
  <si>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</si>
  <si>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</si>
  <si>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</si>
  <si>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</si>
  <si>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</si>
  <si>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</si>
  <si>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</si>
  <si>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</si>
  <si>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</si>
  <si>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</si>
  <si>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</si>
  <si>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</si>
  <si>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</si>
  <si>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</si>
  <si>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</si>
  <si>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</si>
  <si>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</si>
  <si>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</si>
  <si>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</si>
  <si>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</si>
  <si>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</si>
  <si>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</si>
  <si>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</si>
  <si>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</si>
  <si>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</si>
  <si>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</si>
  <si>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</si>
  <si>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</si>
  <si>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</si>
  <si>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</si>
  <si>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</si>
  <si>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</si>
  <si>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</si>
  <si>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</si>
  <si>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</si>
  <si>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</si>
  <si>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</si>
  <si>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</si>
  <si>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</si>
  <si>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</si>
  <si>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</si>
  <si>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</si>
  <si>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</si>
  <si>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</si>
  <si>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</si>
  <si>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</si>
  <si>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</si>
  <si>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</si>
  <si>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</si>
  <si>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</si>
  <si>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</si>
  <si>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</si>
  <si>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</si>
  <si>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</si>
  <si>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</si>
  <si>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</si>
  <si>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</si>
  <si>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</si>
  <si>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</si>
  <si>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</si>
  <si>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</si>
  <si>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</si>
  <si>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</si>
  <si>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</si>
  <si>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</si>
  <si>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</si>
  <si>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</si>
  <si>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</si>
  <si>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</si>
  <si>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</si>
  <si>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</si>
  <si>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</si>
  <si>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</si>
  <si>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</si>
  <si>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</si>
  <si>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</si>
  <si>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</si>
  <si>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</si>
  <si>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</si>
  <si>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</si>
  <si>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</si>
  <si>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</si>
  <si>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</si>
  <si>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</si>
  <si>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</si>
  <si>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</si>
  <si>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</si>
  <si>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</si>
  <si>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</si>
  <si>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</si>
  <si>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</si>
  <si>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</si>
  <si>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</si>
  <si>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</si>
  <si>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</si>
  <si>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</si>
  <si>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</si>
  <si>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</si>
  <si>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</si>
  <si>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</si>
  <si>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</si>
  <si>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</si>
  <si>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</si>
  <si>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</si>
  <si>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</si>
  <si>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</si>
  <si>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</si>
  <si>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</si>
  <si>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</si>
  <si>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</si>
  <si>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</si>
  <si>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</si>
  <si>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</si>
  <si>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</si>
  <si>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</si>
  <si>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</si>
  <si>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</si>
  <si>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</si>
  <si>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</si>
  <si>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</si>
  <si>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</si>
  <si>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</si>
  <si>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</si>
  <si>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</si>
  <si>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</si>
  <si>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</si>
  <si>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</si>
  <si>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</si>
  <si>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</si>
  <si>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</si>
  <si>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</si>
  <si>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</si>
  <si>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</si>
  <si>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</si>
  <si>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</si>
  <si>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</si>
  <si>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</si>
  <si>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</si>
  <si>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</si>
  <si>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</si>
  <si>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</si>
  <si>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</si>
  <si>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</si>
  <si>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</si>
  <si>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</si>
  <si>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</si>
  <si>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</si>
  <si>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</si>
  <si>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</si>
  <si>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</si>
  <si>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</si>
  <si>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</si>
  <si>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</si>
  <si>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</si>
  <si>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</si>
  <si>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</si>
  <si>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</si>
  <si>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</si>
  <si>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</si>
  <si>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</si>
  <si>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</si>
  <si>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</si>
  <si>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</si>
  <si>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</si>
  <si>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</si>
  <si>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</si>
  <si>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</si>
  <si>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</si>
  <si>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</si>
  <si>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</si>
  <si>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</si>
  <si>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</si>
  <si>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</si>
  <si>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</si>
  <si>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</si>
  <si>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</si>
  <si>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</si>
  <si>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</si>
  <si>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</si>
  <si>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</si>
  <si>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</si>
  <si>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</si>
  <si>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</si>
  <si>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</si>
  <si>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</si>
  <si>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</si>
  <si>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</si>
  <si>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</si>
  <si>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</si>
  <si>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</si>
  <si>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</si>
  <si>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</si>
  <si>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</si>
  <si>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</si>
  <si>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</si>
  <si>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</si>
  <si>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</si>
  <si>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</si>
  <si>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</si>
  <si>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</si>
  <si>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</si>
  <si>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</si>
  <si>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</si>
  <si>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</si>
  <si>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</si>
  <si>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</si>
  <si>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</si>
  <si>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</si>
  <si>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</si>
  <si>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</si>
  <si>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</si>
  <si>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</si>
  <si>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</si>
  <si>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</si>
  <si>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</si>
  <si>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</si>
  <si>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</si>
  <si>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</si>
  <si>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</si>
  <si>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</si>
  <si>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</si>
  <si>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</si>
  <si>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</si>
  <si>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</si>
  <si>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</si>
  <si>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</si>
  <si>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</si>
  <si>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</si>
  <si>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</si>
  <si>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</si>
  <si>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</si>
  <si>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</si>
  <si>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</si>
  <si>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</si>
  <si>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</si>
  <si>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</si>
  <si>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Z1_OLBV_T3_SC1s2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</si>
</sst>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178.11313792984313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2.6886290942608699</v>
      </c>
      <c r="M5" s="142">
        <f>CdTrp1!H215+CdTrp2!H215+CdTrp3!H215+CdTrp4!H215</f>
        <v>2.588417780869567</v>
      </c>
      <c r="N5" s="142">
        <f>CdTrp1!I215+CdTrp2!I215+CdTrp3!I215+CdTrp4!I215</f>
        <v>2.5749364382608704</v>
      </c>
      <c r="O5" s="142">
        <f>CdTrp1!J215+CdTrp2!J215+CdTrp3!J215+CdTrp4!J215</f>
        <v>5.6487179614782619</v>
      </c>
      <c r="P5" s="142">
        <f>CdTrp1!K215+CdTrp2!K215+CdTrp3!K215+CdTrp4!K215</f>
        <v>6.7724168734782619</v>
      </c>
      <c r="Q5" s="142">
        <f>CdTrp1!L215+CdTrp2!L215+CdTrp3!L215+CdTrp4!L215</f>
        <v>3.8237943130434786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4.1469698350956534</v>
      </c>
      <c r="Z5" s="142">
        <f>CdTrp1!U215+CdTrp2!U215+CdTrp3!U215+CdTrp4!U215</f>
        <v>5.3400035153043488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117.10678978222609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1.5571919999999997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178.2</v>
      </c>
      <c r="D7" t="s">
        <v>247</v>
      </c>
      <c r="F7" s="38" t="s">
        <v>219</v>
      </c>
      <c r="G7" s="142">
        <f>CdTrp1!B217+CdTrp2!B217+CdTrp3!B217+CdTrp4!B217</f>
        <v>0.70843895652173916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1.5571919999999997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4.7809638678260891</v>
      </c>
      <c r="N8" s="142">
        <f t="shared" si="0"/>
        <v>4.7674825252173916</v>
      </c>
      <c r="O8" s="142">
        <f t="shared" si="0"/>
        <v>7.9143489180000008</v>
      </c>
      <c r="P8" s="142">
        <f t="shared" si="0"/>
        <v>8.3296088734782607</v>
      </c>
      <c r="Q8" s="142">
        <f t="shared" si="0"/>
        <v>5.330754313043478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5.7041618350956531</v>
      </c>
      <c r="Z8" s="142">
        <f t="shared" si="0"/>
        <v>6.8971955153043485</v>
      </c>
      <c r="AA8" s="142">
        <f t="shared" si="0"/>
        <v>3.9475748869565219</v>
      </c>
      <c r="AB8" s="142">
        <f t="shared" si="0"/>
        <v>3.949217086956522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78.625967785704347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46.5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22</v>
      </c>
      <c r="H18" s="157">
        <f>G18/G17</f>
        <v>0.4731182795698925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6</v>
      </c>
      <c r="H19" s="157">
        <f>G19/G17</f>
        <v>0.12903225806451613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7.5</v>
      </c>
      <c r="H20" s="157">
        <f>G20/G17</f>
        <v>0.16129032258064516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C1" zoomScale="90" zoomScaleNormal="90" workbookViewId="0">
      <selection activeCell="Q7" sqref="Q7:R13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8.8554687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4.7809638678260891</v>
      </c>
      <c r="AZ5" s="13">
        <f>'Conduite Trp'!N8</f>
        <v>4.7674825252173916</v>
      </c>
      <c r="BA5" s="13">
        <f>'Conduite Trp'!O8</f>
        <v>7.9143489180000008</v>
      </c>
      <c r="BB5" s="13">
        <f>'Conduite Trp'!P8</f>
        <v>8.3296088734782607</v>
      </c>
      <c r="BC5" s="13">
        <f>'Conduite Trp'!Q8</f>
        <v>5.330754313043478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5.7041618350956531</v>
      </c>
      <c r="BL5" s="13">
        <f>'Conduite Trp'!Z8</f>
        <v>6.8971955153043485</v>
      </c>
      <c r="BM5" s="13">
        <f>'Conduite Trp'!AA8</f>
        <v>3.9475748869565219</v>
      </c>
      <c r="BN5" s="13">
        <f>'Conduite Trp'!AB8</f>
        <v>3.949217086956522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4.5999999999999996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15.179999999999998</v>
      </c>
      <c r="AF7" s="60">
        <f t="shared" ref="AF7:AF26" si="1">$R7*W7</f>
        <v>0</v>
      </c>
      <c r="AG7" s="60">
        <f t="shared" ref="AG7:AG26" si="2">$R7*X7</f>
        <v>6.8999999999999995</v>
      </c>
      <c r="AH7" s="60">
        <f t="shared" ref="AH7:AH26" si="3">$R7*Y7</f>
        <v>4.5999999999999996</v>
      </c>
      <c r="AI7" s="60">
        <f t="shared" ref="AI7:AI26" si="4">$R7*Z7</f>
        <v>3.2199999999999998</v>
      </c>
      <c r="AJ7" s="60">
        <f t="shared" ref="AJ7:AJ26" si="5">$R7*AA7</f>
        <v>0</v>
      </c>
      <c r="AK7" s="140"/>
      <c r="AL7" s="60">
        <f t="shared" ref="AL7:AL26" si="6">R7*AC7</f>
        <v>11.5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4.7809638678260891</v>
      </c>
      <c r="AZ7" s="60">
        <f t="shared" si="7"/>
        <v>4.7674825252173916</v>
      </c>
      <c r="BA7" s="60">
        <f t="shared" si="7"/>
        <v>7.9143489180000008</v>
      </c>
      <c r="BB7" s="60">
        <f t="shared" si="7"/>
        <v>8.3296088734782607</v>
      </c>
      <c r="BC7" s="60">
        <f t="shared" si="7"/>
        <v>5.330754313043478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33.756658932347833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1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1.8</v>
      </c>
      <c r="AF9" s="60">
        <f t="shared" si="1"/>
        <v>1.2</v>
      </c>
      <c r="AG9" s="60">
        <f t="shared" si="2"/>
        <v>1.8</v>
      </c>
      <c r="AH9" s="60">
        <f t="shared" si="3"/>
        <v>0.5</v>
      </c>
      <c r="AI9" s="60">
        <f t="shared" si="4"/>
        <v>0.7</v>
      </c>
      <c r="AJ9" s="60">
        <f t="shared" si="5"/>
        <v>0</v>
      </c>
      <c r="AK9" s="140"/>
      <c r="AL9" s="60">
        <f t="shared" si="6"/>
        <v>3.8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5.7041618350956531</v>
      </c>
      <c r="BL9" s="60">
        <f t="shared" si="10"/>
        <v>6.8971955153043485</v>
      </c>
      <c r="BM9" s="60">
        <f t="shared" si="10"/>
        <v>3.9475748869565219</v>
      </c>
      <c r="BN9" s="60">
        <f t="shared" si="10"/>
        <v>3.949217086956522</v>
      </c>
      <c r="BO9" s="60">
        <f t="shared" si="10"/>
        <v>0</v>
      </c>
      <c r="BP9" s="60">
        <f t="shared" si="10"/>
        <v>0</v>
      </c>
      <c r="BR9" s="60">
        <f t="shared" si="9"/>
        <v>25.765150193878263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2</v>
      </c>
      <c r="AF10" s="60">
        <f t="shared" si="1"/>
        <v>0</v>
      </c>
      <c r="AG10" s="60">
        <f t="shared" si="2"/>
        <v>1.25</v>
      </c>
      <c r="AH10" s="60">
        <f t="shared" si="3"/>
        <v>1.25</v>
      </c>
      <c r="AI10" s="60">
        <f t="shared" si="4"/>
        <v>1.25</v>
      </c>
      <c r="AJ10" s="60">
        <f t="shared" si="5"/>
        <v>0</v>
      </c>
      <c r="AK10" s="140"/>
      <c r="AL10" s="60">
        <f t="shared" si="6"/>
        <v>2.5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265</v>
      </c>
      <c r="R11" s="39">
        <v>1.5</v>
      </c>
      <c r="S11" s="287" t="str">
        <f>VLOOKUP($Q11,[1]MEP!$A$5:$D$300,3)</f>
        <v>PP EXCELLENTE 2 COUPES</v>
      </c>
      <c r="T11" s="75" t="str">
        <f>VLOOKUP($Q11,[1]MEP!$A$5:$D$300,4)</f>
        <v>zone 1</v>
      </c>
      <c r="U11" s="75" t="str">
        <f>VLOOKUP($Q11,[1]MEP!$A$4:$K$300,2)</f>
        <v>F/P</v>
      </c>
      <c r="V11" s="75">
        <f>VLOOKUP($Q11,[1]MEP!$A$4:$K$300,5)</f>
        <v>1.5</v>
      </c>
      <c r="W11" s="75">
        <f>VLOOKUP($Q11,[1]MEP!$A$4:$K$300,6)</f>
        <v>0</v>
      </c>
      <c r="X11" s="75">
        <f>VLOOKUP($Q11,[1]MEP!$A$4:$K$300,7)</f>
        <v>0.8</v>
      </c>
      <c r="Y11" s="75">
        <f>VLOOKUP($Q11,[1]MEP!$A$4:$K$300,8)</f>
        <v>0.5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6.3</v>
      </c>
      <c r="AE11" s="60">
        <f t="shared" si="0"/>
        <v>2.25</v>
      </c>
      <c r="AF11" s="60">
        <f t="shared" si="1"/>
        <v>0</v>
      </c>
      <c r="AG11" s="60">
        <f t="shared" si="2"/>
        <v>1.2000000000000002</v>
      </c>
      <c r="AH11" s="60">
        <f t="shared" si="3"/>
        <v>0.75</v>
      </c>
      <c r="AI11" s="60">
        <f t="shared" si="4"/>
        <v>1.0499999999999998</v>
      </c>
      <c r="AJ11" s="60">
        <f t="shared" si="5"/>
        <v>0</v>
      </c>
      <c r="AK11" s="140"/>
      <c r="AL11" s="60">
        <f t="shared" si="6"/>
        <v>9.4499999999999993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>
        <v>274</v>
      </c>
      <c r="R12" s="39">
        <v>1</v>
      </c>
      <c r="S12" s="287" t="str">
        <f>VLOOKUP($Q12,[1]MEP!$A$5:$D$300,3)</f>
        <v>PP BONNE 3 COUPES ENRUB</v>
      </c>
      <c r="T12" s="75" t="str">
        <f>VLOOKUP($Q12,[1]MEP!$A$5:$D$300,4)</f>
        <v>zone 1</v>
      </c>
      <c r="U12" s="75" t="str">
        <f>VLOOKUP($Q12,[1]MEP!$A$4:$K$300,2)</f>
        <v>F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6.8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6.8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>
        <v>239</v>
      </c>
      <c r="R13" s="39">
        <v>1</v>
      </c>
      <c r="S13" s="287" t="str">
        <f>VLOOKUP($Q13,[1]MEP!$A$5:$D$300,3)</f>
        <v>PP bonnne P prélèvement étalé</v>
      </c>
      <c r="T13" s="75" t="str">
        <f>VLOOKUP($Q13,[1]MEP!$A$5:$D$300,4)</f>
        <v>zone 1</v>
      </c>
      <c r="U13" s="75" t="str">
        <f>VLOOKUP($Q13,[1]MEP!$A$4:$K$300,2)</f>
        <v>P</v>
      </c>
      <c r="V13" s="75">
        <f>VLOOKUP($Q13,[1]MEP!$A$4:$K$300,5)</f>
        <v>3</v>
      </c>
      <c r="W13" s="75">
        <f>VLOOKUP($Q13,[1]MEP!$A$4:$K$300,6)</f>
        <v>2</v>
      </c>
      <c r="X13" s="75">
        <f>VLOOKUP($Q13,[1]MEP!$A$4:$K$300,7)</f>
        <v>1.5</v>
      </c>
      <c r="Y13" s="75">
        <f>VLOOKUP($Q13,[1]MEP!$A$4:$K$300,8)</f>
        <v>0.5</v>
      </c>
      <c r="Z13" s="75">
        <f>VLOOKUP($Q13,[1]MEP!$A$4:$K$300,9)</f>
        <v>0.5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3</v>
      </c>
      <c r="AF13" s="60">
        <f t="shared" si="1"/>
        <v>2</v>
      </c>
      <c r="AG13" s="60">
        <f t="shared" si="2"/>
        <v>1.5</v>
      </c>
      <c r="AH13" s="60">
        <f t="shared" si="3"/>
        <v>0.5</v>
      </c>
      <c r="AI13" s="60">
        <f t="shared" si="4"/>
        <v>0.5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2.6886290942608699</v>
      </c>
      <c r="AY15" s="13">
        <f>'Conduite Trp'!M5</f>
        <v>2.588417780869567</v>
      </c>
      <c r="AZ15" s="13">
        <f>'Conduite Trp'!N5</f>
        <v>2.5749364382608704</v>
      </c>
      <c r="BA15" s="13">
        <f>'Conduite Trp'!O5</f>
        <v>5.6487179614782619</v>
      </c>
      <c r="BB15" s="13">
        <f>'Conduite Trp'!P5</f>
        <v>6.7724168734782619</v>
      </c>
      <c r="BC15" s="13">
        <f>'Conduite Trp'!Q5</f>
        <v>3.8237943130434786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4.1469698350956534</v>
      </c>
      <c r="BL15" s="13">
        <f>'Conduite Trp'!Z5</f>
        <v>5.3400035153043488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1.5571919999999997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0.70843895652173916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1.5571919999999997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2.588417780869567</v>
      </c>
      <c r="AZ19" s="60">
        <f t="shared" si="15"/>
        <v>2.5749364382608704</v>
      </c>
      <c r="BA19" s="60">
        <f t="shared" si="15"/>
        <v>5.6487179614782619</v>
      </c>
      <c r="BB19" s="60">
        <f t="shared" si="15"/>
        <v>6.7724168734782619</v>
      </c>
      <c r="BC19" s="60">
        <f t="shared" si="15"/>
        <v>3.8237943130434786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22.534823801913046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4.1469698350956534</v>
      </c>
      <c r="BL21" s="60">
        <f t="shared" si="18"/>
        <v>5.3400035153043488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15.251754019965221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0.70843895652173916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2.6886290942608699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4.6768287464347829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35.609999999999992</v>
      </c>
      <c r="E24" s="60">
        <f t="shared" si="21"/>
        <v>12.575000000000001</v>
      </c>
      <c r="F24" s="60">
        <f t="shared" si="21"/>
        <v>23.886615999999997</v>
      </c>
      <c r="G24" s="60">
        <f t="shared" si="21"/>
        <v>12.879903999999998</v>
      </c>
      <c r="H24" s="60">
        <f t="shared" si="21"/>
        <v>15.736519999999999</v>
      </c>
      <c r="I24" s="60">
        <f t="shared" si="21"/>
        <v>0</v>
      </c>
      <c r="J24" s="62"/>
      <c r="K24" s="60">
        <f>AL27+AL49+AL71</f>
        <v>110.3228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33.756658932347833</v>
      </c>
      <c r="E25" s="60">
        <f>BR8</f>
        <v>10.885135130434783</v>
      </c>
      <c r="F25" s="60">
        <f>BR9</f>
        <v>25.765150193878263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178.2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1.8533410676521598</v>
      </c>
      <c r="E27" s="92">
        <f t="shared" si="23"/>
        <v>1.6898648695652181</v>
      </c>
      <c r="F27" s="92">
        <f t="shared" si="23"/>
        <v>-1.8785341938782665</v>
      </c>
      <c r="G27" s="92">
        <f t="shared" si="23"/>
        <v>10.046148173913041</v>
      </c>
      <c r="H27" s="92">
        <f t="shared" si="23"/>
        <v>10.351252297043477</v>
      </c>
      <c r="I27" s="92">
        <f t="shared" si="23"/>
        <v>0</v>
      </c>
      <c r="J27" s="62"/>
      <c r="K27" s="92">
        <f>K24-K25</f>
        <v>-67.877199999999988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24.229999999999997</v>
      </c>
      <c r="AF27" s="74">
        <f t="shared" ref="AF27:AJ27" si="24">SUM(AF7:AF26)</f>
        <v>4.2</v>
      </c>
      <c r="AG27" s="74">
        <f t="shared" si="24"/>
        <v>13.649999999999999</v>
      </c>
      <c r="AH27" s="74">
        <f t="shared" si="24"/>
        <v>8.1</v>
      </c>
      <c r="AI27" s="74">
        <f t="shared" si="24"/>
        <v>7.42</v>
      </c>
      <c r="AJ27" s="74">
        <f t="shared" si="24"/>
        <v>0</v>
      </c>
      <c r="AK27"/>
      <c r="AL27" s="74">
        <f>SUM(AL7:AL26)</f>
        <v>40.349999999999994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1.5571919999999997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7.5850319999999982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2.4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1.5716160000000001</v>
      </c>
      <c r="AH29" s="60">
        <f t="shared" ref="AH29:AH48" si="31">$R29*Y29</f>
        <v>0.39290400000000003</v>
      </c>
      <c r="AI29" s="60">
        <f t="shared" ref="AI29:AI48" si="32">$R29*Z29</f>
        <v>1.9645199999999998</v>
      </c>
      <c r="AJ29" s="60">
        <f t="shared" ref="AJ29:AJ48" si="33">$R29*AA29</f>
        <v>0</v>
      </c>
      <c r="AK29"/>
      <c r="AL29" s="60">
        <f t="shared" ref="AL29:AL48" si="34">R29*AC29</f>
        <v>15.0228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7.5850319999999982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294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</v>
      </c>
      <c r="V30" s="75">
        <f>VLOOKUP($Q30,[1]MEP!$A$4:$K$300,5)</f>
        <v>0</v>
      </c>
      <c r="W30" s="75">
        <f>VLOOKUP($Q30,[1]MEP!$A$4:$K$300,6)</f>
        <v>0</v>
      </c>
      <c r="X30" s="75">
        <f>VLOOKUP($Q30,[1]MEP!$A$4:$K$300,7)</f>
        <v>0</v>
      </c>
      <c r="Y30" s="75">
        <f>VLOOKUP($Q30,[1]MEP!$A$4:$K$300,8)</f>
        <v>0</v>
      </c>
      <c r="Z30" s="75">
        <f>VLOOKUP($Q30,[1]MEP!$A$4:$K$300,9)</f>
        <v>0</v>
      </c>
      <c r="AA30" s="75">
        <f>VLOOKUP($Q30,[1]MEP!$A$4:$K$300,10)</f>
        <v>0</v>
      </c>
      <c r="AC30" s="75">
        <f>VLOOKUP($Q30,[1]MEP!$A$4:$K$300,11)</f>
        <v>8</v>
      </c>
      <c r="AE30" s="60">
        <f t="shared" si="28"/>
        <v>0</v>
      </c>
      <c r="AF30" s="60">
        <f t="shared" si="29"/>
        <v>0</v>
      </c>
      <c r="AG30" s="60">
        <f t="shared" si="30"/>
        <v>0</v>
      </c>
      <c r="AH30" s="60">
        <f t="shared" si="31"/>
        <v>0</v>
      </c>
      <c r="AI30" s="60">
        <f t="shared" si="32"/>
        <v>0</v>
      </c>
      <c r="AJ30" s="60">
        <f t="shared" si="33"/>
        <v>0</v>
      </c>
      <c r="AK30"/>
      <c r="AL30" s="60">
        <f t="shared" si="34"/>
        <v>33.6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>
        <v>212</v>
      </c>
      <c r="R33" s="39">
        <v>2.5</v>
      </c>
      <c r="S33" s="287" t="str">
        <f>VLOOKUP($Q33,[1]MEP!$A$5:$D$300,3)</f>
        <v>PP bonne 2 coupes estivales</v>
      </c>
      <c r="T33" s="75" t="str">
        <f>VLOOKUP($Q33,[1]MEP!$A$5:$D$300,4)</f>
        <v>zone 1</v>
      </c>
      <c r="U33" s="75" t="str">
        <f>VLOOKUP($Q33,[1]MEP!$A$4:$K$300,2)</f>
        <v>F/P</v>
      </c>
      <c r="V33" s="75">
        <f>VLOOKUP($Q33,[1]MEP!$A$4:$K$300,5)</f>
        <v>2.2080000000000002</v>
      </c>
      <c r="W33" s="75">
        <f>VLOOKUP($Q33,[1]MEP!$A$4:$K$300,6)</f>
        <v>0</v>
      </c>
      <c r="X33" s="75">
        <f>VLOOKUP($Q33,[1]MEP!$A$4:$K$300,7)</f>
        <v>0.77</v>
      </c>
      <c r="Y33" s="75">
        <f>VLOOKUP($Q33,[1]MEP!$A$4:$K$300,8)</f>
        <v>0.19</v>
      </c>
      <c r="Z33" s="75">
        <f>VLOOKUP($Q33,[1]MEP!$A$4:$K$300,9)</f>
        <v>0.96</v>
      </c>
      <c r="AA33" s="75">
        <f>VLOOKUP($Q33,[1]MEP!$A$4:$K$300,10)</f>
        <v>0</v>
      </c>
      <c r="AC33" s="75">
        <f>VLOOKUP($Q33,[1]MEP!$A$4:$K$300,11)</f>
        <v>3.5</v>
      </c>
      <c r="AE33" s="60">
        <f t="shared" si="28"/>
        <v>5.5200000000000005</v>
      </c>
      <c r="AF33" s="60">
        <f t="shared" si="29"/>
        <v>0</v>
      </c>
      <c r="AG33" s="60">
        <f t="shared" si="30"/>
        <v>1.925</v>
      </c>
      <c r="AH33" s="60">
        <f t="shared" si="31"/>
        <v>0.47499999999999998</v>
      </c>
      <c r="AI33" s="60">
        <f t="shared" si="32"/>
        <v>2.4</v>
      </c>
      <c r="AJ33" s="60">
        <f t="shared" si="33"/>
        <v>0</v>
      </c>
      <c r="AK33"/>
      <c r="AL33" s="60">
        <f t="shared" si="34"/>
        <v>8.75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1.5571919999999997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2.9283641739130433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0.70843895652173916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2.1253168695652174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0.70843895652173916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7.83</v>
      </c>
      <c r="AF49" s="74">
        <f t="shared" ref="AF49" si="50">SUM(AF29:AF48)</f>
        <v>4.0999999999999996</v>
      </c>
      <c r="AG49" s="74">
        <f t="shared" ref="AG49" si="51">SUM(AG29:AG48)</f>
        <v>7.1066159999999998</v>
      </c>
      <c r="AH49" s="74">
        <f t="shared" ref="AH49" si="52">SUM(AH29:AH48)</f>
        <v>2.2179039999999999</v>
      </c>
      <c r="AI49" s="74">
        <f t="shared" ref="AI49" si="53">SUM(AI29:AI48)</f>
        <v>6.2545199999999994</v>
      </c>
      <c r="AJ49" s="74">
        <f t="shared" ref="AJ49" si="54">SUM(AJ29:AJ48)</f>
        <v>0</v>
      </c>
      <c r="AK49"/>
      <c r="AL49" s="74">
        <f>SUM(AL29:AL48)</f>
        <v>69.972800000000007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24.229999999999997</v>
      </c>
      <c r="E72" s="60">
        <f t="shared" ref="E72:H72" si="69">AF27</f>
        <v>4.2</v>
      </c>
      <c r="F72" s="60">
        <f t="shared" si="69"/>
        <v>13.649999999999999</v>
      </c>
      <c r="G72" s="60">
        <f t="shared" si="69"/>
        <v>8.1</v>
      </c>
      <c r="H72" s="60">
        <f t="shared" si="69"/>
        <v>7.42</v>
      </c>
      <c r="I72" s="60">
        <f t="shared" ref="I72" si="70">AJ75+AJ97+AJ119</f>
        <v>0</v>
      </c>
      <c r="J72" s="62"/>
      <c r="K72" s="60">
        <f>+K24</f>
        <v>110.3228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22.534823801913046</v>
      </c>
      <c r="E73" s="60">
        <f>BR20</f>
        <v>4.6563671304347833</v>
      </c>
      <c r="F73" s="60">
        <f>BR21</f>
        <v>15.251754019965221</v>
      </c>
      <c r="G73" s="60">
        <f>BR22</f>
        <v>0.70843895652173916</v>
      </c>
      <c r="H73" s="60">
        <f>BR23</f>
        <v>4.6768287464347829</v>
      </c>
      <c r="I73" s="60">
        <f>BR60</f>
        <v>0</v>
      </c>
      <c r="J73" s="62"/>
      <c r="K73" s="75">
        <f>+K25</f>
        <v>178.2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1.6951761980869513</v>
      </c>
      <c r="E75" s="92">
        <f t="shared" ref="E75:I75" si="71">E72-E73</f>
        <v>-0.45636713043478316</v>
      </c>
      <c r="F75" s="92">
        <f t="shared" si="71"/>
        <v>-1.601754019965222</v>
      </c>
      <c r="G75" s="92">
        <f t="shared" si="71"/>
        <v>7.3915610434782604</v>
      </c>
      <c r="H75" s="92">
        <f t="shared" si="71"/>
        <v>2.7431712535652171</v>
      </c>
      <c r="I75" s="92">
        <f t="shared" si="71"/>
        <v>0</v>
      </c>
      <c r="J75" s="62"/>
      <c r="K75" s="92">
        <f>+K27</f>
        <v>-67.877199999999988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7.83</v>
      </c>
      <c r="E82" s="60">
        <f t="shared" ref="E82:H82" si="72">AF49</f>
        <v>4.0999999999999996</v>
      </c>
      <c r="F82" s="60">
        <f t="shared" si="72"/>
        <v>7.1066159999999998</v>
      </c>
      <c r="G82" s="60">
        <f t="shared" si="72"/>
        <v>2.2179039999999999</v>
      </c>
      <c r="H82" s="60">
        <f t="shared" si="72"/>
        <v>6.2545199999999994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7.5850319999999982</v>
      </c>
      <c r="E83" s="60">
        <f>BR28</f>
        <v>3.1143839999999994</v>
      </c>
      <c r="F83" s="60">
        <f>BR29</f>
        <v>7.5850319999999982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0.24496800000000185</v>
      </c>
      <c r="E85" s="92">
        <f t="shared" ref="E85:H85" si="73">E82-E83</f>
        <v>0.98561600000000027</v>
      </c>
      <c r="F85" s="92">
        <f t="shared" si="73"/>
        <v>-0.4784159999999984</v>
      </c>
      <c r="G85" s="92">
        <f t="shared" si="73"/>
        <v>2.2179039999999999</v>
      </c>
      <c r="H85" s="92">
        <f t="shared" si="73"/>
        <v>6.2545199999999994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2.9283641739130433</v>
      </c>
      <c r="G93" s="60">
        <f>BR38</f>
        <v>2.1253168695652174</v>
      </c>
      <c r="H93" s="60">
        <f>BR39</f>
        <v>0.70843895652173916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0.20163582608695663</v>
      </c>
      <c r="G95" s="92">
        <f t="shared" si="75"/>
        <v>0.43668313043478246</v>
      </c>
      <c r="H95" s="92">
        <f t="shared" si="75"/>
        <v>1.3535610434782606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5335.5446169310299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5335.5446169310299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23.200000000000003</v>
      </c>
      <c r="H63" s="169"/>
      <c r="I63" s="169">
        <f>SUMIF(Parcellaire!$B$2:$B$62,1,Parcellaire!I2:I62)</f>
        <v>30</v>
      </c>
      <c r="J63" s="169">
        <f>SUMIF(Parcellaire!$B$2:$B$62,1,Parcellaire!J2:J62)</f>
        <v>8</v>
      </c>
      <c r="K63" s="169">
        <f>SUMIF(Parcellaire!$B$2:$B$62,1,Parcellaire!K2:K62)</f>
        <v>24.67</v>
      </c>
      <c r="L63" s="169">
        <f>SUMIF(Parcellaire!$B$2:$B$62,1,Parcellaire!L2:L62)</f>
        <v>28.091999999999999</v>
      </c>
      <c r="M63" s="169">
        <f>SUMIF(Parcellaire!$B$2:$B$62,1,Parcellaire!M2:M62)</f>
        <v>1113.5193458208178</v>
      </c>
      <c r="N63" s="169">
        <f>SUMIF(Parcellaire!$B$2:$B$62,1,Parcellaire!N2:N62)</f>
        <v>72</v>
      </c>
      <c r="O63" s="169">
        <f>SUMIF(Parcellaire!$B$2:$B$62,1,Parcellaire!O2:O62)</f>
        <v>60</v>
      </c>
      <c r="P63" s="169">
        <f>SUMIF(Parcellaire!$B$2:$B$62,1,Parcellaire!P2:P62)</f>
        <v>0</v>
      </c>
      <c r="Q63" s="169">
        <f>SUMIF(Parcellaire!$B$2:$B$62,1,Parcellaire!Q2:Q62)</f>
        <v>27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5335.5446169310299</v>
      </c>
      <c r="U63" s="169">
        <f>SUMIF(Parcellaire!$B$2:$B$62,1,Parcellaire!U2:U62)</f>
        <v>2691.142915987753</v>
      </c>
      <c r="V63" s="169">
        <f>SUMIF(Parcellaire!$B$2:$B$62,1,Parcellaire!V2:V62)</f>
        <v>6681.1160749249075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4" zoomScale="80" zoomScaleNormal="80" workbookViewId="0">
      <selection activeCell="L62" sqref="L6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21.2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14.600000000000001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3.4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2.12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 s="79">
        <v>1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4.5999999999999996</v>
      </c>
      <c r="T164" s="172">
        <f>VLOOKUP($R164,[1]MEP!$A$4:$M$300,13)</f>
        <v>1</v>
      </c>
      <c r="U164" s="172">
        <f>IF($T164&gt;0,$S164,0)</f>
        <v>4.5999999999999996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4.5999999999999996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4.5999999999999996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1</v>
      </c>
      <c r="T166" s="172">
        <f>VLOOKUP(R166,[1]MEP!$A$4:$M$300,13)</f>
        <v>1</v>
      </c>
      <c r="U166" s="172">
        <f t="shared" si="10"/>
        <v>1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1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1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</v>
      </c>
      <c r="T167" s="172">
        <f>VLOOKUP(R167,[1]MEP!$A$4:$M$300,13)</f>
        <v>1</v>
      </c>
      <c r="U167" s="172">
        <f t="shared" si="10"/>
        <v>1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265</v>
      </c>
      <c r="S168" s="172">
        <f>'Alim -Surf'!R11</f>
        <v>1.5</v>
      </c>
      <c r="T168" s="172">
        <f>VLOOKUP(R168,[1]MEP!$A$4:$M$300,13)</f>
        <v>2</v>
      </c>
      <c r="U168" s="172">
        <f t="shared" si="10"/>
        <v>1.5</v>
      </c>
      <c r="V168" s="172">
        <f t="shared" si="11"/>
        <v>1.5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1.5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1.5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274</v>
      </c>
      <c r="S169" s="172">
        <f>'Alim -Surf'!R12</f>
        <v>1</v>
      </c>
      <c r="T169" s="172">
        <f>VLOOKUP(R169,[1]MEP!$A$4:$M$300,13)</f>
        <v>3</v>
      </c>
      <c r="U169" s="172">
        <f t="shared" si="10"/>
        <v>1</v>
      </c>
      <c r="V169" s="172">
        <f t="shared" si="11"/>
        <v>1</v>
      </c>
      <c r="W169" s="172">
        <f t="shared" si="12"/>
        <v>1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1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1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239</v>
      </c>
      <c r="S170" s="172">
        <f>'Alim -Surf'!R13</f>
        <v>1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1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1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2.4</v>
      </c>
      <c r="T186" s="172">
        <f>VLOOKUP(R186,[1]MEP!$A$4:$M$300,13)</f>
        <v>3</v>
      </c>
      <c r="U186" s="172">
        <f t="shared" si="10"/>
        <v>2.4</v>
      </c>
      <c r="V186" s="172">
        <f t="shared" si="11"/>
        <v>2.4</v>
      </c>
      <c r="W186" s="172">
        <f t="shared" si="12"/>
        <v>2.4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2.4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2.4</v>
      </c>
      <c r="AL186" s="5"/>
    </row>
    <row r="187" spans="17:38" x14ac:dyDescent="0.25">
      <c r="Q187">
        <v>2</v>
      </c>
      <c r="R187" s="172">
        <f>'Alim -Surf'!Q30</f>
        <v>294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212</v>
      </c>
      <c r="S190" s="172">
        <f>'Alim -Surf'!R33</f>
        <v>2.5</v>
      </c>
      <c r="T190" s="172">
        <f>VLOOKUP(R190,[1]MEP!$A$4:$M$300,13)</f>
        <v>2</v>
      </c>
      <c r="U190" s="172">
        <f t="shared" si="10"/>
        <v>2.5</v>
      </c>
      <c r="V190" s="172">
        <f t="shared" si="11"/>
        <v>2.5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2.5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2.5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21.2</v>
      </c>
      <c r="V228" s="61">
        <f t="shared" ref="V228:W228" si="22">SUM(V164:V227)</f>
        <v>14.600000000000001</v>
      </c>
      <c r="W228" s="61">
        <f t="shared" si="22"/>
        <v>3.4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1.7</v>
      </c>
      <c r="AI228" s="61">
        <f t="shared" si="24"/>
        <v>6.6</v>
      </c>
      <c r="AJ228" s="61">
        <f t="shared" si="24"/>
        <v>14.600000000000001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1</v>
      </c>
      <c r="I3" s="176">
        <f t="shared" si="0"/>
        <v>1</v>
      </c>
      <c r="J3" s="176">
        <f t="shared" si="0"/>
        <v>1</v>
      </c>
      <c r="K3" s="176">
        <f t="shared" si="0"/>
        <v>1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3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4737</v>
      </c>
      <c r="AQ4">
        <f>SUM(BJ31:BL31)</f>
        <v>20.5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1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1</v>
      </c>
      <c r="M5" s="176">
        <f t="shared" si="9"/>
        <v>1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0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7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0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2</v>
      </c>
      <c r="I8" s="176">
        <f>(I3+I4)*[1]Protect!$B$12</f>
        <v>2</v>
      </c>
      <c r="J8" s="176">
        <f>(J3+J4)*[1]Protect!$B$12</f>
        <v>2</v>
      </c>
      <c r="K8" s="176">
        <f>(K3+K4)*[1]Protect!$B$12</f>
        <v>2</v>
      </c>
      <c r="L8" s="176">
        <f>(L3+L4)*[1]Protect!$B$12</f>
        <v>4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6</v>
      </c>
      <c r="V8" s="176">
        <f>(V3+V4)*[1]Protect!$B$12</f>
        <v>4</v>
      </c>
      <c r="W8" s="176">
        <f>(W3+W4)*[1]Protect!$B$12</f>
        <v>0</v>
      </c>
      <c r="X8" s="176">
        <f>(X3+X4)*[1]Protect!$B$12</f>
        <v>0</v>
      </c>
      <c r="Y8" s="176">
        <f>(Y3+Y4)*[1]Protect!$B$12</f>
        <v>0</v>
      </c>
      <c r="Z8" s="176">
        <f>(Z3+Z4)*[1]Protect!$B$12</f>
        <v>0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7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3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3</v>
      </c>
      <c r="M9" s="176">
        <f>M5*[1]Protect!$B$13</f>
        <v>3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3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5</v>
      </c>
      <c r="I11" s="176">
        <f t="shared" si="14"/>
        <v>5</v>
      </c>
      <c r="J11" s="176">
        <f t="shared" si="14"/>
        <v>5</v>
      </c>
      <c r="K11" s="176">
        <f t="shared" si="14"/>
        <v>5</v>
      </c>
      <c r="L11" s="176">
        <f t="shared" si="14"/>
        <v>7</v>
      </c>
      <c r="M11" s="176">
        <f t="shared" si="14"/>
        <v>7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6</v>
      </c>
      <c r="V11" s="176">
        <f t="shared" si="14"/>
        <v>4</v>
      </c>
      <c r="W11" s="176">
        <f t="shared" si="14"/>
        <v>3</v>
      </c>
      <c r="X11" s="176">
        <f t="shared" si="14"/>
        <v>3</v>
      </c>
      <c r="Y11" s="176">
        <f t="shared" si="14"/>
        <v>3</v>
      </c>
      <c r="Z11" s="176">
        <f t="shared" si="14"/>
        <v>3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3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5</v>
      </c>
      <c r="I13" s="176">
        <f t="shared" si="15"/>
        <v>5</v>
      </c>
      <c r="J13" s="176">
        <f t="shared" si="15"/>
        <v>5</v>
      </c>
      <c r="K13" s="176">
        <f t="shared" si="15"/>
        <v>5</v>
      </c>
      <c r="L13" s="176">
        <f t="shared" si="15"/>
        <v>7</v>
      </c>
      <c r="M13" s="176">
        <f t="shared" si="15"/>
        <v>7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6</v>
      </c>
      <c r="V13" s="176">
        <f t="shared" si="15"/>
        <v>4</v>
      </c>
      <c r="W13" s="176">
        <f t="shared" si="15"/>
        <v>3</v>
      </c>
      <c r="X13" s="176">
        <f t="shared" si="15"/>
        <v>3</v>
      </c>
      <c r="Y13" s="176">
        <f t="shared" si="15"/>
        <v>3</v>
      </c>
      <c r="Z13" s="176">
        <f t="shared" si="15"/>
        <v>3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1</v>
      </c>
      <c r="D17" s="172">
        <f t="shared" si="18"/>
        <v>1</v>
      </c>
      <c r="E17" s="172">
        <f t="shared" si="18"/>
        <v>1</v>
      </c>
      <c r="F17" s="172">
        <f t="shared" si="18"/>
        <v>2</v>
      </c>
      <c r="G17" s="172">
        <f t="shared" si="18"/>
        <v>2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1</v>
      </c>
      <c r="X17" s="172">
        <f t="shared" si="18"/>
        <v>1</v>
      </c>
      <c r="Y17" s="172">
        <f t="shared" si="18"/>
        <v>1</v>
      </c>
      <c r="Z17" s="172">
        <f t="shared" si="18"/>
        <v>1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2</v>
      </c>
      <c r="O20" s="172">
        <f t="shared" si="21"/>
        <v>2</v>
      </c>
      <c r="P20" s="172">
        <f t="shared" si="21"/>
        <v>2</v>
      </c>
      <c r="Q20" s="172">
        <f t="shared" si="21"/>
        <v>2</v>
      </c>
      <c r="R20" s="172">
        <f t="shared" si="21"/>
        <v>2</v>
      </c>
      <c r="S20" s="172">
        <f t="shared" si="21"/>
        <v>2</v>
      </c>
      <c r="T20" s="172">
        <f t="shared" si="21"/>
        <v>2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4737</v>
      </c>
      <c r="AE20" s="63">
        <v>0</v>
      </c>
      <c r="AF20" s="63">
        <f>SUM(AD20:AE20)</f>
        <v>4737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4737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4737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20.5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7.1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5</v>
      </c>
      <c r="O69" s="172">
        <f>IF($AA69=0,99,IF(O82&gt;3,CdTrp1!N77,CdTrp1!N53))</f>
        <v>5</v>
      </c>
      <c r="P69" s="172">
        <f>IF($AA69=0,99,IF(P82&gt;3,CdTrp1!O77,CdTrp1!O53))</f>
        <v>5</v>
      </c>
      <c r="Q69" s="172">
        <f>IF($AA69=0,99,IF(Q82&gt;3,CdTrp1!P77,CdTrp1!P53))</f>
        <v>5</v>
      </c>
      <c r="R69" s="172">
        <f>IF($AA69=0,99,IF(R82&gt;3,CdTrp1!Q77,CdTrp1!Q53))</f>
        <v>5</v>
      </c>
      <c r="S69" s="172">
        <f>IF($AA69=0,99,IF(S82&gt;3,CdTrp1!R77,CdTrp1!R53))</f>
        <v>5</v>
      </c>
      <c r="T69" s="172">
        <f>IF($AA69=0,99,IF(T82&gt;3,CdTrp1!S77,CdTrp1!S53))</f>
        <v>5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3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3</v>
      </c>
      <c r="M82" s="172">
        <f>CdTrp1!L77</f>
        <v>3</v>
      </c>
      <c r="N82" s="172">
        <f>CdTrp1!M77</f>
        <v>5</v>
      </c>
      <c r="O82" s="172">
        <f>CdTrp1!N77</f>
        <v>5</v>
      </c>
      <c r="P82" s="172">
        <f>CdTrp1!O77</f>
        <v>5</v>
      </c>
      <c r="Q82" s="172">
        <f>CdTrp1!P77</f>
        <v>5</v>
      </c>
      <c r="R82" s="172">
        <f>CdTrp1!Q77</f>
        <v>5</v>
      </c>
      <c r="S82" s="172">
        <f>CdTrp1!R77</f>
        <v>5</v>
      </c>
      <c r="T82" s="172">
        <f>CdTrp1!S77</f>
        <v>5</v>
      </c>
      <c r="U82" s="172">
        <f>CdTrp1!T77</f>
        <v>1</v>
      </c>
      <c r="V82" s="172">
        <f>CdTrp1!U77</f>
        <v>1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3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5</v>
      </c>
      <c r="I201" s="172">
        <f>IF(Troupeau!$B$3="OL",I8+I9,0)</f>
        <v>5</v>
      </c>
      <c r="J201" s="172">
        <f>IF(Troupeau!$B$3="OL",J8+J9,0)</f>
        <v>5</v>
      </c>
      <c r="K201" s="172">
        <f>IF(Troupeau!$B$3="OL",K8+K9,0)</f>
        <v>5</v>
      </c>
      <c r="L201" s="172">
        <f>IF(Troupeau!$B$3="OL",L8+L9,0)</f>
        <v>7</v>
      </c>
      <c r="M201" s="172">
        <f>IF(Troupeau!$B$3="OL",M8+M9,0)</f>
        <v>7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6</v>
      </c>
      <c r="V201" s="172">
        <f>IF(Troupeau!$B$3="OL",V8+V9,0)</f>
        <v>4</v>
      </c>
      <c r="W201" s="172">
        <f>IF(Troupeau!$B$3="OL",W8+W9,0)</f>
        <v>3</v>
      </c>
      <c r="X201" s="172">
        <f>IF(Troupeau!$B$3="OL",X8+X9,0)</f>
        <v>3</v>
      </c>
      <c r="Y201" s="172">
        <f>IF(Troupeau!$B$3="OL",Y8+Y9,0)</f>
        <v>3</v>
      </c>
      <c r="Z201" s="172">
        <f>IF(Troupeau!$B$3="OL",Z8+Z9,0)</f>
        <v>3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3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5</v>
      </c>
      <c r="I203" s="172">
        <f t="shared" si="51"/>
        <v>5</v>
      </c>
      <c r="J203" s="172">
        <f t="shared" si="51"/>
        <v>5</v>
      </c>
      <c r="K203" s="172">
        <f t="shared" si="51"/>
        <v>5</v>
      </c>
      <c r="L203" s="172">
        <f t="shared" si="51"/>
        <v>7</v>
      </c>
      <c r="M203" s="172">
        <f t="shared" si="51"/>
        <v>7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6</v>
      </c>
      <c r="V203" s="172">
        <f t="shared" si="51"/>
        <v>4</v>
      </c>
      <c r="W203" s="172">
        <f t="shared" si="51"/>
        <v>3</v>
      </c>
      <c r="X203" s="172">
        <f t="shared" si="51"/>
        <v>3</v>
      </c>
      <c r="Y203" s="172">
        <f t="shared" si="51"/>
        <v>3</v>
      </c>
      <c r="Z203" s="172">
        <f t="shared" si="51"/>
        <v>3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3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5</v>
      </c>
      <c r="I212" s="172">
        <f t="shared" si="52"/>
        <v>5</v>
      </c>
      <c r="J212" s="172">
        <f t="shared" si="52"/>
        <v>5</v>
      </c>
      <c r="K212" s="172">
        <f t="shared" si="52"/>
        <v>5</v>
      </c>
      <c r="L212" s="172">
        <f t="shared" si="52"/>
        <v>7</v>
      </c>
      <c r="M212" s="172">
        <f t="shared" si="52"/>
        <v>7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6</v>
      </c>
      <c r="V212" s="172">
        <f t="shared" si="52"/>
        <v>4</v>
      </c>
      <c r="W212" s="172">
        <f t="shared" si="52"/>
        <v>3</v>
      </c>
      <c r="X212" s="172">
        <f t="shared" si="52"/>
        <v>3</v>
      </c>
      <c r="Y212" s="172">
        <f t="shared" si="52"/>
        <v>3</v>
      </c>
      <c r="Z212" s="172">
        <f t="shared" si="52"/>
        <v>3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3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5</v>
      </c>
      <c r="I214" s="172">
        <f t="shared" si="53"/>
        <v>5</v>
      </c>
      <c r="J214" s="172">
        <f t="shared" si="53"/>
        <v>5</v>
      </c>
      <c r="K214" s="172">
        <f t="shared" si="53"/>
        <v>5</v>
      </c>
      <c r="L214" s="172">
        <f t="shared" si="53"/>
        <v>7</v>
      </c>
      <c r="M214" s="172">
        <f t="shared" si="53"/>
        <v>7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6</v>
      </c>
      <c r="V214" s="172">
        <f t="shared" si="53"/>
        <v>4</v>
      </c>
      <c r="W214" s="172">
        <f t="shared" si="53"/>
        <v>3</v>
      </c>
      <c r="X214" s="172">
        <f t="shared" si="53"/>
        <v>3</v>
      </c>
      <c r="Y214" s="172">
        <f t="shared" si="53"/>
        <v>3</v>
      </c>
      <c r="Z214" s="172">
        <f t="shared" si="53"/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511</v>
      </c>
      <c r="G5" s="172">
        <f>AV117</f>
        <v>21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35</v>
      </c>
      <c r="M5" s="172">
        <f t="shared" si="0"/>
        <v>35</v>
      </c>
      <c r="N5" s="172">
        <f t="shared" si="0"/>
        <v>35</v>
      </c>
      <c r="O5" s="172">
        <f t="shared" si="0"/>
        <v>35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28</v>
      </c>
      <c r="AA5" s="172">
        <f t="shared" si="0"/>
        <v>21</v>
      </c>
      <c r="AB5" s="172">
        <f t="shared" si="0"/>
        <v>21</v>
      </c>
      <c r="AC5" s="172">
        <f t="shared" si="0"/>
        <v>21</v>
      </c>
      <c r="AD5" s="172">
        <f t="shared" si="0"/>
        <v>21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2219.0413913043481</v>
      </c>
      <c r="G13" s="30">
        <f>SUM(G5:G11)</f>
        <v>116.06426086956522</v>
      </c>
      <c r="H13" s="30">
        <f t="shared" ref="H13:AD13" si="8">SUM(H5:H11)</f>
        <v>108.97173913043478</v>
      </c>
      <c r="I13" s="30">
        <f t="shared" si="8"/>
        <v>108.87921739130435</v>
      </c>
      <c r="J13" s="30">
        <f t="shared" si="8"/>
        <v>108.83295652173913</v>
      </c>
      <c r="K13" s="30">
        <f t="shared" si="8"/>
        <v>108.7866956521739</v>
      </c>
      <c r="L13" s="30">
        <f t="shared" si="8"/>
        <v>129.7404347826087</v>
      </c>
      <c r="M13" s="30">
        <f t="shared" si="8"/>
        <v>113.94417391304347</v>
      </c>
      <c r="N13" s="30">
        <f t="shared" si="8"/>
        <v>113.89791304347827</v>
      </c>
      <c r="O13" s="30">
        <f t="shared" si="8"/>
        <v>134.80539130434784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119.41756521739131</v>
      </c>
      <c r="AA13" s="30">
        <f t="shared" si="8"/>
        <v>119.41756521739131</v>
      </c>
      <c r="AB13" s="30">
        <f t="shared" si="8"/>
        <v>121.31426086956522</v>
      </c>
      <c r="AC13" s="30">
        <f t="shared" si="8"/>
        <v>116.06426086956522</v>
      </c>
      <c r="AD13" s="30">
        <f t="shared" si="8"/>
        <v>116.06426086956522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1</v>
      </c>
      <c r="C17" s="189">
        <f>VALUE(LEFT(Scénario!K64,1))</f>
        <v>1</v>
      </c>
      <c r="D17" s="189">
        <f>IF(B17&gt;0,VLOOKUP(C17,[1]Trav!$A$86:$D$90,4),0)</f>
        <v>12</v>
      </c>
      <c r="E17" s="189">
        <f>Scénario!K61*2</f>
        <v>8</v>
      </c>
      <c r="F17" s="172">
        <f t="shared" ref="F17:F18" si="15">IF(B17&gt;0,D17*E17/B17,0)</f>
        <v>96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2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1</v>
      </c>
      <c r="BO49" s="172">
        <f>IF(CdTrp1!U77=1,1,IF(CdTrp1!U77=2,2,IF(CdTrp1!U77=3,2,0)))</f>
        <v>1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19.079999999999998</v>
      </c>
      <c r="C55" s="189">
        <f>IF(B55&gt;[1]Trav!E121,[1]Trav!C121,[1]Trav!B121)</f>
        <v>7.2</v>
      </c>
      <c r="D55"/>
      <c r="E55" s="171"/>
      <c r="F55" s="172">
        <f t="shared" si="32"/>
        <v>137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14.600000000000001</v>
      </c>
      <c r="C56" s="189">
        <f>IF(B56&gt;[1]Trav!E121,[1]Trav!C121,[1]Trav!B121)</f>
        <v>7.2</v>
      </c>
      <c r="D56"/>
      <c r="E56" s="171"/>
      <c r="F56" s="172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3.4</v>
      </c>
      <c r="C57" s="189">
        <f>IF(B57&gt;[1]Trav!E121,[1]Trav!C121,[1]Trav!B121)</f>
        <v>7.2</v>
      </c>
      <c r="D57"/>
      <c r="E57" s="171"/>
      <c r="F57" s="172">
        <f t="shared" si="32"/>
        <v>24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2.120000000000001</v>
      </c>
      <c r="C58" s="189">
        <f>IF(B58&gt;[1]Trav!E122,[1]Trav!C122,[1]Trav!B122)</f>
        <v>4.4000000000000004</v>
      </c>
      <c r="E58" s="171"/>
      <c r="F58" s="172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221</v>
      </c>
      <c r="AX61" s="172">
        <f>IF(AX16=0,0,IF(AX38=3,0,VALUE(CONCATENATE(Travail!AX27,Travail!AX38,Travail!AX49))))</f>
        <v>221</v>
      </c>
      <c r="AY61" s="172">
        <f>IF(AY16=0,0,IF(AY38=3,0,VALUE(CONCATENATE(Travail!AY27,Travail!AY38,Travail!AY49))))</f>
        <v>221</v>
      </c>
      <c r="AZ61" s="172">
        <f>IF(AZ16=0,0,IF(AZ38=3,0,VALUE(CONCATENATE(Travail!AZ27,Travail!AZ38,Travail!AZ49))))</f>
        <v>221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221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175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283.5</v>
      </c>
      <c r="G77" s="45">
        <f t="shared" ref="G77:AD77" si="43">+SUM(G69:G76)</f>
        <v>8.5</v>
      </c>
      <c r="H77" s="45">
        <f t="shared" si="43"/>
        <v>8.5</v>
      </c>
      <c r="I77" s="45">
        <f t="shared" si="43"/>
        <v>8.5</v>
      </c>
      <c r="J77" s="45">
        <f t="shared" si="43"/>
        <v>8.5</v>
      </c>
      <c r="K77" s="45">
        <f t="shared" si="43"/>
        <v>8.5</v>
      </c>
      <c r="L77" s="45">
        <f t="shared" si="43"/>
        <v>13.5</v>
      </c>
      <c r="M77" s="45">
        <f t="shared" si="43"/>
        <v>13.5</v>
      </c>
      <c r="N77" s="45">
        <f t="shared" si="43"/>
        <v>13.5</v>
      </c>
      <c r="O77" s="45">
        <f t="shared" si="43"/>
        <v>13.5</v>
      </c>
      <c r="P77" s="45">
        <f t="shared" si="43"/>
        <v>18.5</v>
      </c>
      <c r="Q77" s="45">
        <f t="shared" si="43"/>
        <v>18.5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18.5</v>
      </c>
      <c r="Z77" s="45">
        <f t="shared" si="43"/>
        <v>13.5</v>
      </c>
      <c r="AA77" s="45">
        <f t="shared" si="43"/>
        <v>8.5</v>
      </c>
      <c r="AB77" s="45">
        <f t="shared" si="43"/>
        <v>8.5</v>
      </c>
      <c r="AC77" s="45">
        <f t="shared" si="43"/>
        <v>8.5</v>
      </c>
      <c r="AD77" s="45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</v>
      </c>
      <c r="C81" s="189">
        <f>[1]Protect!$B$10</f>
        <v>4</v>
      </c>
      <c r="D81" s="171"/>
      <c r="E81" s="171"/>
      <c r="F81" s="172">
        <f>ROUND(C81*B81*8,0)</f>
        <v>32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4.7370000000000001</v>
      </c>
      <c r="C83" s="189">
        <f>[1]Protect!$B$24+[1]Protect!$B$26</f>
        <v>0.33</v>
      </c>
      <c r="D83" s="171"/>
      <c r="E83" s="171"/>
      <c r="F83" s="172">
        <f>ROUND(B83*C83,1)</f>
        <v>1.6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1</v>
      </c>
      <c r="AW83" s="172">
        <f t="shared" ref="AW83:BS83" si="50">COUNTIF(AW$71:AW$80,22)</f>
        <v>1</v>
      </c>
      <c r="AX83" s="172">
        <f t="shared" si="50"/>
        <v>1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2</v>
      </c>
      <c r="BP83" s="172">
        <f t="shared" si="50"/>
        <v>1</v>
      </c>
      <c r="BQ83" s="172">
        <f t="shared" si="50"/>
        <v>1</v>
      </c>
      <c r="BR83" s="172">
        <f t="shared" si="50"/>
        <v>1</v>
      </c>
      <c r="BS83" s="172">
        <f t="shared" si="50"/>
        <v>1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3.8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1491.0413913043478</v>
      </c>
      <c r="C91" s="5"/>
      <c r="D91" s="201">
        <f>B91/Troupeau!$B$17</f>
        <v>4.9047414187643019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2129.4413913043477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1">
        <f>IF(B96=0,0,B96/Troupeau!$C$17)</f>
        <v>4.1739130434782608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230.4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52.740434782608695</v>
      </c>
      <c r="BB102" s="61">
        <f t="shared" si="77"/>
        <v>52.694173913043478</v>
      </c>
      <c r="BC102" s="61">
        <f t="shared" si="77"/>
        <v>52.647913043478262</v>
      </c>
      <c r="BD102" s="61">
        <f t="shared" si="77"/>
        <v>52.555391304347829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51.167565217391306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14</v>
      </c>
      <c r="AX107" s="189">
        <f>IF(AX61&gt;0,HLOOKUP(AX61,[1]Trav!$C$11:$O$31,$AU$105),0)</f>
        <v>14</v>
      </c>
      <c r="AY107" s="189">
        <f>IF(AY61&gt;0,HLOOKUP(AY61,[1]Trav!$C$11:$O$31,$AU$105),0)</f>
        <v>14</v>
      </c>
      <c r="AZ107" s="189">
        <f>IF(AZ61&gt;0,HLOOKUP(AZ61,[1]Trav!$C$11:$O$31,$AU$105),0)</f>
        <v>14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14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307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175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175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32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5.4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21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35</v>
      </c>
      <c r="BB117" s="172">
        <f t="shared" si="83"/>
        <v>35</v>
      </c>
      <c r="BC117" s="172">
        <f t="shared" si="83"/>
        <v>35</v>
      </c>
      <c r="BD117" s="172">
        <f t="shared" si="83"/>
        <v>35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28</v>
      </c>
      <c r="BP117" s="172">
        <f t="shared" si="83"/>
        <v>21</v>
      </c>
      <c r="BQ117" s="172">
        <f t="shared" si="83"/>
        <v>21</v>
      </c>
      <c r="BR117" s="172">
        <f t="shared" si="83"/>
        <v>21</v>
      </c>
      <c r="BS117" s="172">
        <f t="shared" si="83"/>
        <v>21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2805.6047246376811</v>
      </c>
      <c r="D118" s="201">
        <f>B118/Troupeau!$B$17</f>
        <v>9.2289629099923722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836.4</v>
      </c>
      <c r="D119" s="201">
        <f>IF(B119=0,0,B119/Troupeau!$C$17)</f>
        <v>36.365217391304348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3642.0047246376812</v>
      </c>
    </row>
    <row r="123" spans="1:132" x14ac:dyDescent="0.25">
      <c r="A123" s="2" t="s">
        <v>856</v>
      </c>
      <c r="B123" s="30">
        <f>B108</f>
        <v>307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199.5</v>
      </c>
    </row>
    <row r="126" spans="1:132" x14ac:dyDescent="0.25">
      <c r="A126" s="2" t="s">
        <v>872</v>
      </c>
      <c r="B126" s="30">
        <f>B114+B115+B116</f>
        <v>181.40000000000003</v>
      </c>
    </row>
    <row r="128" spans="1:132" x14ac:dyDescent="0.25">
      <c r="A128" s="2" t="s">
        <v>873</v>
      </c>
      <c r="B128" s="200">
        <f>SUM(B122:B126)</f>
        <v>4929.9047246376813</v>
      </c>
    </row>
    <row r="129" spans="1:2" x14ac:dyDescent="0.25">
      <c r="A129" s="2" t="s">
        <v>874</v>
      </c>
      <c r="B129" s="30">
        <f>IF(Scénario!K129=1,Travail!F77+Travail!F86,F86)</f>
        <v>427.5</v>
      </c>
    </row>
    <row r="130" spans="1:2" x14ac:dyDescent="0.25">
      <c r="A130" s="2" t="s">
        <v>875</v>
      </c>
      <c r="B130" s="200">
        <f>ROUND((B128-B129)/(Scénario!K4+Scénario!K6),0)</f>
        <v>3002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43"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6668.8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116237.75999999999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67.877199999999988</v>
      </c>
      <c r="C118" s="189">
        <f>IF(Scénario!$K$12="BV",[1]Eco!$B$78,IF(Scénario!$K$12="BL",[1]Eco!$B$77,[1]Eco!$B$76))</f>
        <v>223</v>
      </c>
      <c r="J118" s="172">
        <f>B118*C118</f>
        <v>15136.615599999997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1.7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76.5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6.6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399.36599999999999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14.600000000000001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989.15000000000009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6330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466.33000000000004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55570.861600000004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21.2</v>
      </c>
      <c r="X153" t="s">
        <v>52</v>
      </c>
      <c r="Y153" s="172">
        <f>W153-Scénario!K28</f>
        <v>-1</v>
      </c>
      <c r="Z153" s="172">
        <f>Y153-Y156</f>
        <v>-0.9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14.600000000000001</v>
      </c>
      <c r="X154" t="s">
        <v>52</v>
      </c>
      <c r="Y154" s="172">
        <f>W154-Scénario!K29</f>
        <v>2.5</v>
      </c>
      <c r="Z154" s="172">
        <f>Y154</f>
        <v>2.5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3.4</v>
      </c>
      <c r="X155" t="s">
        <v>52</v>
      </c>
      <c r="Y155" s="172">
        <f>W155-Scénario!K30</f>
        <v>-1.5000000000000004</v>
      </c>
      <c r="Z155" s="172">
        <f t="shared" ref="Z155:Z156" si="68">Y155</f>
        <v>-1.5000000000000004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-0.1</v>
      </c>
      <c r="Z156" s="172">
        <f t="shared" si="68"/>
        <v>-0.1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-0.9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-32.580000000000005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2.5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75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-1.5000000000000004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-45.000000000000014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-0.1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-15.540000000000001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4.5999999999999996</v>
      </c>
      <c r="T164" s="172">
        <f>VLOOKUP($R164,[1]MEP!$A$4:$M$300,13)</f>
        <v>1</v>
      </c>
      <c r="U164" s="172">
        <f>IF($T164&gt;0,$S164,0)</f>
        <v>4.5999999999999996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4.5999999999999996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4.5999999999999996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1</v>
      </c>
      <c r="T166" s="172">
        <f>VLOOKUP(R166,[1]MEP!$A$4:$M$300,13)</f>
        <v>1</v>
      </c>
      <c r="U166" s="172">
        <f t="shared" si="72"/>
        <v>1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1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1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296.40000000000003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3150.7320000000004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</v>
      </c>
      <c r="T167" s="172">
        <f>VLOOKUP(R167,[1]MEP!$A$4:$M$300,13)</f>
        <v>1</v>
      </c>
      <c r="U167" s="172">
        <f t="shared" si="72"/>
        <v>1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265</v>
      </c>
      <c r="S168" s="172">
        <f>'Alim -Surf'!R11</f>
        <v>1.5</v>
      </c>
      <c r="T168" s="172">
        <f>VLOOKUP(R168,[1]MEP!$A$4:$M$300,13)</f>
        <v>2</v>
      </c>
      <c r="U168" s="172">
        <f t="shared" si="72"/>
        <v>1.5</v>
      </c>
      <c r="V168" s="172">
        <f t="shared" si="73"/>
        <v>1.5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1.5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1.5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274</v>
      </c>
      <c r="S169" s="172">
        <f>'Alim -Surf'!R12</f>
        <v>1</v>
      </c>
      <c r="T169" s="172">
        <f>VLOOKUP(R169,[1]MEP!$A$4:$M$300,13)</f>
        <v>3</v>
      </c>
      <c r="U169" s="172">
        <f t="shared" si="72"/>
        <v>1</v>
      </c>
      <c r="V169" s="172">
        <f t="shared" si="73"/>
        <v>1</v>
      </c>
      <c r="W169" s="172">
        <f t="shared" si="74"/>
        <v>1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1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1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29516.223999999998</v>
      </c>
      <c r="K170" s="61"/>
      <c r="L170" s="61"/>
      <c r="M170" s="61"/>
      <c r="N170" s="61"/>
      <c r="Q170">
        <v>7</v>
      </c>
      <c r="R170" s="172">
        <f>'Alim -Surf'!Q13</f>
        <v>239</v>
      </c>
      <c r="S170" s="172">
        <f>'Alim -Surf'!R13</f>
        <v>1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1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1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31150.674399999993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20767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1642.4819603660785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18508.192439633913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12339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2.4</v>
      </c>
      <c r="T186" s="172">
        <f>VLOOKUP(R186,[1]MEP!$A$4:$M$300,13)</f>
        <v>3</v>
      </c>
      <c r="U186" s="172">
        <f t="shared" si="72"/>
        <v>2.4</v>
      </c>
      <c r="V186" s="172">
        <f t="shared" si="73"/>
        <v>2.4</v>
      </c>
      <c r="W186" s="172">
        <f t="shared" si="74"/>
        <v>2.4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2.4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2.4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294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212</v>
      </c>
      <c r="S190" s="172">
        <f>'Alim -Surf'!R33</f>
        <v>2.5</v>
      </c>
      <c r="T190" s="172">
        <f>VLOOKUP(R190,[1]MEP!$A$4:$M$300,13)</f>
        <v>2</v>
      </c>
      <c r="U190" s="172">
        <f t="shared" si="72"/>
        <v>2.5</v>
      </c>
      <c r="V190" s="172">
        <f t="shared" si="73"/>
        <v>2.5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2.5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2.5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21.2</v>
      </c>
      <c r="V228" s="61">
        <f t="shared" ref="V228:W228" si="84">SUM(V164:V227)</f>
        <v>14.600000000000001</v>
      </c>
      <c r="W228" s="61">
        <f t="shared" si="84"/>
        <v>3.4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1.7</v>
      </c>
      <c r="AI228" s="61">
        <f t="shared" si="86"/>
        <v>6.6</v>
      </c>
      <c r="AJ228" s="61">
        <f t="shared" si="86"/>
        <v>14.600000000000001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4737</v>
      </c>
      <c r="U234" t="s">
        <v>1101</v>
      </c>
      <c r="V234" s="172"/>
      <c r="W234" s="172">
        <f>[1]Protect!$B$4</f>
        <v>6</v>
      </c>
      <c r="X234" s="172">
        <f>T234*W234</f>
        <v>28422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2">
        <f>[1]Protect!$B$83</f>
        <v>2000</v>
      </c>
      <c r="X235" s="172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28822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13322</v>
      </c>
      <c r="AB237" s="30">
        <f>(Scénario!K127/100)*AA237</f>
        <v>0</v>
      </c>
      <c r="AC237" s="30">
        <f>AA237-AB237</f>
        <v>13322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1642.4819603660785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7</v>
      </c>
      <c r="X245" s="172">
        <f>ROUND((([1]Protect!$B$5/[1]Protect!$B$11)+[1]Protect!$B$8)*T245,0)</f>
        <v>6330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8336.16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8336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6668.8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6668.8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6668.8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71.055000000000007</v>
      </c>
      <c r="U272" s="172"/>
      <c r="V272" s="172"/>
      <c r="W272" s="172">
        <f>W234</f>
        <v>6</v>
      </c>
      <c r="X272" s="172">
        <f>T272*W272</f>
        <v>426.33000000000004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0.4</v>
      </c>
      <c r="U274" s="172"/>
      <c r="V274" s="172"/>
      <c r="W274" s="172">
        <f>W271</f>
        <v>100</v>
      </c>
      <c r="X274" s="172">
        <f>T274*W274</f>
        <v>40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Z1_OLBV_T3_SC1s2</v>
      </c>
      <c r="D1" s="274" t="str">
        <f>CONCATENATE(C1,"_corr")</f>
        <v>Z1_OLBV_T3_SC1s2_corr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21.2</v>
      </c>
      <c r="D85" s="260">
        <f>ROUND(C85*$D$82/$C$82,3)</f>
        <v>23.32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14.600000000000001</v>
      </c>
      <c r="D86" s="260">
        <f t="shared" ref="D86:D97" si="14">ROUND(C86*$D$82/$C$82,3)</f>
        <v>16.059999999999999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3.4</v>
      </c>
      <c r="D87" s="260">
        <f t="shared" si="14"/>
        <v>3.74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2.12</v>
      </c>
      <c r="D88" s="260">
        <f t="shared" si="14"/>
        <v>2.3319999999999999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3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3</v>
      </c>
      <c r="R95" s="30">
        <f>CdTrp1!L77</f>
        <v>3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1</v>
      </c>
      <c r="AA95" s="30">
        <f>CdTrp1!U77</f>
        <v>1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3</v>
      </c>
      <c r="D98" s="172">
        <f>C98</f>
        <v>3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6</v>
      </c>
      <c r="D101" s="172">
        <f t="shared" si="25"/>
        <v>6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24.5</v>
      </c>
      <c r="D106" s="172">
        <f t="shared" si="25"/>
        <v>24.5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46.5</v>
      </c>
      <c r="D109" s="172">
        <f t="shared" si="25"/>
        <v>46.5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12</v>
      </c>
      <c r="D110" s="172">
        <f t="shared" si="25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2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1</v>
      </c>
      <c r="BO110" s="172">
        <f>IF(CdTrp1!U77=1,1,IF(CdTrp1!U77=2,2,IF(CdTrp1!U77=3,2,IF(CdTrp1!U77=4,4,0))))</f>
        <v>1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5.5</v>
      </c>
      <c r="D116" s="172">
        <f t="shared" si="25"/>
        <v>5.5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7</v>
      </c>
      <c r="D122" s="172">
        <f t="shared" si="25"/>
        <v>7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222</v>
      </c>
      <c r="AW122" s="172">
        <f>IF(AW76=0,0,IF(AW99=3,0,VALUE(CONCATENATE(Travail!AW27,Travail!AW38,Travail!AW49))))</f>
        <v>221</v>
      </c>
      <c r="AX122" s="172">
        <f>IF(AX76=0,0,IF(AX99=3,0,VALUE(CONCATENATE(Travail!AX27,Travail!AX38,Travail!AX49))))</f>
        <v>221</v>
      </c>
      <c r="AY122" s="172">
        <f>IF(AY76=0,0,IF(AY99=3,0,VALUE(CONCATENATE(Travail!AY27,Travail!AY38,Travail!AY49))))</f>
        <v>221</v>
      </c>
      <c r="AZ122" s="172">
        <f>IF(AZ76=0,0,IF(AZ99=3,0,VALUE(CONCATENATE(Travail!AZ27,Travail!AZ38,Travail!AZ49))))</f>
        <v>221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221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222</v>
      </c>
      <c r="BS122" s="172">
        <f>IF(BS76=0,0,IF(BS99=3,0,VALUE(CONCATENATE(Travail!BS27,Travail!BS38,Travail!BS49))))</f>
        <v>222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0.68571428571428572</v>
      </c>
      <c r="D133" s="261">
        <f t="shared" si="25"/>
        <v>0.68571428571428572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0.61971830985915488</v>
      </c>
      <c r="D136" s="261">
        <f t="shared" si="25"/>
        <v>0.61971830985915488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1</v>
      </c>
      <c r="AW144" s="172">
        <f t="shared" ref="AW144:BS144" si="64">COUNTIF(AW$132:AW$141,22)</f>
        <v>1</v>
      </c>
      <c r="AX144" s="172">
        <f t="shared" si="64"/>
        <v>1</v>
      </c>
      <c r="AY144" s="172">
        <f t="shared" si="64"/>
        <v>2</v>
      </c>
      <c r="AZ144" s="172">
        <f t="shared" si="64"/>
        <v>2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2</v>
      </c>
      <c r="BP144" s="172">
        <f t="shared" si="64"/>
        <v>1</v>
      </c>
      <c r="BQ144" s="172">
        <f t="shared" si="64"/>
        <v>1</v>
      </c>
      <c r="BR144" s="172">
        <f t="shared" si="64"/>
        <v>1</v>
      </c>
      <c r="BS144" s="172">
        <f t="shared" si="64"/>
        <v>1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83.166064931965153</v>
      </c>
      <c r="D161" s="262">
        <f t="shared" si="50"/>
        <v>91.482671425161669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133.68667238562091</v>
      </c>
      <c r="D162" s="262">
        <f t="shared" si="50"/>
        <v>147.05533962418301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53.989478260869561</v>
      </c>
      <c r="BB163" s="61">
        <f t="shared" si="92"/>
        <v>53.938591304347824</v>
      </c>
      <c r="BC163" s="61">
        <f t="shared" si="92"/>
        <v>53.887704347826087</v>
      </c>
      <c r="BD163" s="61">
        <f t="shared" si="92"/>
        <v>53.785930434782607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52.259321739130435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14</v>
      </c>
      <c r="AX168" s="189">
        <f>IF(AX122&gt;0,HLOOKUP(AX122,[1]Trav!$C$11:$O$31,$AU$166),0)</f>
        <v>14</v>
      </c>
      <c r="AY168" s="189">
        <f>IF(AY122&gt;0,HLOOKUP(AY122,[1]Trav!$C$11:$O$31,$AU$166),0)</f>
        <v>14</v>
      </c>
      <c r="AZ168" s="189">
        <f>IF(AZ122&gt;0,HLOOKUP(AZ122,[1]Trav!$C$11:$O$31,$AU$166),0)</f>
        <v>14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14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100.68803999999999</v>
      </c>
      <c r="D169" s="262">
        <f t="shared" si="50"/>
        <v>110.75684399999999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78.625967785704361</v>
      </c>
      <c r="D170" s="262">
        <f t="shared" si="50"/>
        <v>86.488564564274796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110.3228</v>
      </c>
      <c r="D171" s="262">
        <f t="shared" si="50"/>
        <v>121.35508000000002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178.2</v>
      </c>
      <c r="D172" s="262">
        <f t="shared" si="50"/>
        <v>196.01999999999998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22.062072214295625</v>
      </c>
      <c r="D173" s="262">
        <f t="shared" si="50"/>
        <v>24.268279435725187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78.099999999999994</v>
      </c>
      <c r="D174" s="262">
        <f t="shared" si="50"/>
        <v>85.91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-67.877199999999988</v>
      </c>
      <c r="D175" s="262">
        <f>C175*$D$82/$C$82</f>
        <v>-74.664919999999981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67.877199999999988</v>
      </c>
      <c r="D176" s="262">
        <f>C176*$D$82/$C$82</f>
        <v>74.664919999999981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74</v>
      </c>
      <c r="D178" s="172">
        <f>ROUND((D170+D171)/(D170+D172),2)*100</f>
        <v>74</v>
      </c>
      <c r="AT178" s="40" t="s">
        <v>865</v>
      </c>
      <c r="AV178" s="172">
        <f>SUM(AV167:AV176)</f>
        <v>21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35</v>
      </c>
      <c r="BB178" s="172">
        <f t="shared" si="98"/>
        <v>35</v>
      </c>
      <c r="BC178" s="172">
        <f t="shared" si="98"/>
        <v>35</v>
      </c>
      <c r="BD178" s="172">
        <f t="shared" si="98"/>
        <v>35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28</v>
      </c>
      <c r="BP178" s="172">
        <f t="shared" si="98"/>
        <v>21</v>
      </c>
      <c r="BQ178" s="172">
        <f t="shared" si="98"/>
        <v>21</v>
      </c>
      <c r="BR178" s="172">
        <f t="shared" si="98"/>
        <v>21</v>
      </c>
      <c r="BS178" s="172">
        <f t="shared" si="98"/>
        <v>21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4737</v>
      </c>
      <c r="D183" s="263">
        <f>ROUND(D184*D185,0)</f>
        <v>5209</v>
      </c>
      <c r="E183" s="17" t="s">
        <v>1295</v>
      </c>
    </row>
    <row r="184" spans="1:132" x14ac:dyDescent="0.25">
      <c r="B184" s="14" t="s">
        <v>1296</v>
      </c>
      <c r="C184" s="172">
        <f>Protection!AK26</f>
        <v>20.5</v>
      </c>
      <c r="D184" s="264">
        <f>C184*D82/C82</f>
        <v>22.55</v>
      </c>
    </row>
    <row r="185" spans="1:132" x14ac:dyDescent="0.25">
      <c r="B185" s="14" t="s">
        <v>1297</v>
      </c>
      <c r="C185" s="172">
        <f>IF(C183=0,0,ROUND(C183/C184,0))</f>
        <v>231</v>
      </c>
      <c r="D185" s="172">
        <f>C185</f>
        <v>231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0.2</v>
      </c>
      <c r="D187" s="172">
        <f>C187</f>
        <v>0.2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7</v>
      </c>
      <c r="D189" s="172">
        <f t="shared" si="101"/>
        <v>7</v>
      </c>
      <c r="AH189" s="15"/>
      <c r="AJ189" s="14" t="s">
        <v>1114</v>
      </c>
      <c r="AK189" s="30">
        <f>D189</f>
        <v>7</v>
      </c>
      <c r="AO189" s="172">
        <f>ROUND((([1]Protect!$B$5/[1]Protect!$B$11)+[1]Protect!$B$8)*AK189,0)</f>
        <v>6330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21.9</v>
      </c>
      <c r="D191" s="172">
        <f>C191</f>
        <v>21.9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0.67500000000000004</v>
      </c>
      <c r="D192" s="265">
        <f>ROUND((D183/1000)*([1]Protect!$B$25*8/10+[1]Protect!$B$26),2)/8</f>
        <v>0.73624999999999996</v>
      </c>
      <c r="E192" s="17" t="s">
        <v>1308</v>
      </c>
      <c r="I192" s="5"/>
      <c r="AN192" s="14" t="s">
        <v>1117</v>
      </c>
      <c r="AO192" s="172">
        <f>SUM(AO189:AO191)</f>
        <v>8336.16</v>
      </c>
    </row>
    <row r="193" spans="1:43" x14ac:dyDescent="0.25">
      <c r="B193" s="14" t="s">
        <v>1309</v>
      </c>
      <c r="C193" s="172">
        <f>(Travail!F75+Travail!F76+Travail!F81)/8</f>
        <v>17.5625</v>
      </c>
      <c r="D193" s="172">
        <f>C193</f>
        <v>17.5625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8336.16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8336.16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8336.16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6669</v>
      </c>
      <c r="D210" s="263">
        <f>ROUND(AL207,0)</f>
        <v>8336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54352.2</v>
      </c>
      <c r="D211" s="263">
        <f>ROUND(SUM(D201:D210),0)</f>
        <v>58937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78.135000000000005</v>
      </c>
      <c r="AK216" s="172"/>
      <c r="AL216" s="172"/>
      <c r="AM216" s="172">
        <f>'Calcul éco'!W272</f>
        <v>6</v>
      </c>
      <c r="AN216" s="172">
        <f>AJ216*AM216</f>
        <v>468.81000000000006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1465.0160000000001</v>
      </c>
      <c r="D217" s="260">
        <f t="shared" si="106"/>
        <v>1612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16669.815599999998</v>
      </c>
      <c r="D218" s="260">
        <f t="shared" si="106"/>
        <v>18337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0.4</v>
      </c>
      <c r="AK218" s="172"/>
      <c r="AL218" s="172"/>
      <c r="AM218" s="172">
        <f>'Calcul éco'!W274</f>
        <v>100</v>
      </c>
      <c r="AN218" s="172">
        <f>AJ218*AM218</f>
        <v>40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6330</v>
      </c>
      <c r="D219" s="260">
        <f t="shared" si="106"/>
        <v>6963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466.33000000000004</v>
      </c>
      <c r="D220" s="263">
        <f>SUM(AN215:AN219)</f>
        <v>508.81000000000006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55571</v>
      </c>
      <c r="D221" s="263">
        <f>ROUND(SUM(D216:D220),0)</f>
        <v>61125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5209</v>
      </c>
      <c r="AL225" t="s">
        <v>1101</v>
      </c>
      <c r="AM225" s="172"/>
      <c r="AN225" s="172">
        <f>[1]Protect!$B$4</f>
        <v>6</v>
      </c>
      <c r="AO225" s="172">
        <f>AK225*AN225</f>
        <v>31254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0.2</v>
      </c>
      <c r="AN226" s="172">
        <f>[1]Protect!$B$83</f>
        <v>2000</v>
      </c>
      <c r="AO226" s="172">
        <f t="shared" ref="AO226:AO227" si="108">AK226*AN226</f>
        <v>400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31654</v>
      </c>
      <c r="AQ228" s="30">
        <f>IF(Scénario!K84=1,MIN(0.8*AO228,[1]Protect!$B$68),IF(Scénario!K84=2,MIN(0.8*AO228,[1]Protect!$B$67),0))</f>
        <v>15500</v>
      </c>
      <c r="AR228" s="30">
        <f>AO228-AQ228</f>
        <v>16154</v>
      </c>
      <c r="AS228" s="30">
        <f>(1-Scénario!K127/100)*AR228</f>
        <v>16154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-32.580000000000005</v>
      </c>
      <c r="D230" s="260">
        <f t="shared" si="109"/>
        <v>-36</v>
      </c>
    </row>
    <row r="231" spans="1:49" x14ac:dyDescent="0.25">
      <c r="B231" s="14" t="s">
        <v>1083</v>
      </c>
      <c r="C231" s="172">
        <f>'Calcul éco'!J159</f>
        <v>75</v>
      </c>
      <c r="D231" s="260">
        <f t="shared" si="109"/>
        <v>83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-45.000000000000014</v>
      </c>
      <c r="D232" s="260">
        <f t="shared" si="109"/>
        <v>-50</v>
      </c>
    </row>
    <row r="233" spans="1:49" x14ac:dyDescent="0.25">
      <c r="B233" s="14" t="s">
        <v>1085</v>
      </c>
      <c r="C233" s="172">
        <f>'Calcul éco'!J161</f>
        <v>-15.540000000000001</v>
      </c>
      <c r="D233" s="260">
        <f t="shared" si="109"/>
        <v>-17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3150.7320000000004</v>
      </c>
      <c r="D235" s="263">
        <f>(D191+D192)*8*[1]Eco!$B$106</f>
        <v>1924.9866999999999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29516</v>
      </c>
      <c r="D236" s="263">
        <f>ROUND(SUM(D222:D235),0)</f>
        <v>30156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31151.199999999997</v>
      </c>
      <c r="D237" s="263">
        <f>D194+D211-D221-D236</f>
        <v>35731</v>
      </c>
    </row>
    <row r="238" spans="1:49" x14ac:dyDescent="0.25">
      <c r="B238" s="210" t="s">
        <v>1090</v>
      </c>
      <c r="C238" s="172">
        <f>ROUND(C237/Scénario!$K$4,0)</f>
        <v>20767</v>
      </c>
      <c r="D238" s="263">
        <f>ROUND(D237/D83,0)</f>
        <v>17866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1642.4819603660785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18509</v>
      </c>
      <c r="D241" s="267">
        <f>ROUND(D237-D239-D240,0)</f>
        <v>24731</v>
      </c>
    </row>
    <row r="242" spans="1:15" x14ac:dyDescent="0.25">
      <c r="B242" s="210" t="s">
        <v>1094</v>
      </c>
      <c r="C242" s="172">
        <f>ROUND(C241/Scénario!K4,0)</f>
        <v>12339</v>
      </c>
      <c r="D242" s="263">
        <f>ROUND(D241/D83,0)</f>
        <v>12366</v>
      </c>
    </row>
    <row r="243" spans="1:15" x14ac:dyDescent="0.25">
      <c r="B243" s="210" t="s">
        <v>1357</v>
      </c>
      <c r="C243" s="172">
        <f>'Calcul éco'!X237+'Calcul éco'!X240</f>
        <v>28822</v>
      </c>
      <c r="D243" s="172">
        <f>C243</f>
        <v>28822</v>
      </c>
    </row>
    <row r="244" spans="1:15" x14ac:dyDescent="0.25">
      <c r="B244" s="210" t="s">
        <v>1358</v>
      </c>
      <c r="C244" s="172">
        <f>'Calcul éco'!AA237+'Calcul éco'!AA240</f>
        <v>13322</v>
      </c>
      <c r="D244" s="172">
        <f>C244</f>
        <v>13322</v>
      </c>
    </row>
    <row r="245" spans="1:15" x14ac:dyDescent="0.25">
      <c r="A245" s="2" t="s">
        <v>1359</v>
      </c>
      <c r="B245" s="14" t="s">
        <v>568</v>
      </c>
      <c r="C245" s="269">
        <f>Travail!F5</f>
        <v>511</v>
      </c>
      <c r="D245" s="172">
        <f>C245</f>
        <v>511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980.04139130434783</v>
      </c>
      <c r="D248" s="263">
        <f>ROUND(SUM(AV163:BS163),1)</f>
        <v>1002.4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96</v>
      </c>
      <c r="D252" s="172">
        <f t="shared" ref="D252:D253" si="113">C252</f>
        <v>96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20.988</v>
      </c>
      <c r="L258" s="189">
        <f>IF(K258&gt;[1]Trav!E121,[1]Trav!C121,[1]Trav!B121)</f>
        <v>7.2</v>
      </c>
      <c r="N258" s="273"/>
      <c r="O258">
        <f t="shared" si="114"/>
        <v>151.11359999999999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16.059999999999999</v>
      </c>
      <c r="L259" s="189">
        <f>IF(K259&gt;[1]Trav!E121,[1]Trav!C121,[1]Trav!B121)</f>
        <v>7.2</v>
      </c>
      <c r="N259" s="273"/>
      <c r="O259">
        <f t="shared" si="114"/>
        <v>115.63199999999999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3.74</v>
      </c>
      <c r="L260" s="189">
        <f>IF(K260&gt;[1]Trav!E121,[1]Trav!C121,[1]Trav!B121)</f>
        <v>7.2</v>
      </c>
      <c r="N260" s="273"/>
      <c r="O260">
        <f t="shared" si="114"/>
        <v>26.928000000000001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2.3319999999999999</v>
      </c>
      <c r="L261" s="189">
        <f>IF(K261&gt;[1]Trav!E122,[1]Trav!C122,[1]Trav!B122)</f>
        <v>4.4000000000000004</v>
      </c>
      <c r="M261" s="5"/>
      <c r="N261" s="273"/>
      <c r="O261">
        <f t="shared" si="114"/>
        <v>10.2608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137</v>
      </c>
      <c r="D267" s="263">
        <f t="shared" si="116"/>
        <v>151</v>
      </c>
    </row>
    <row r="268" spans="1:15" x14ac:dyDescent="0.25">
      <c r="B268" s="32" t="s">
        <v>791</v>
      </c>
      <c r="C268" s="269">
        <f>Travail!F56</f>
        <v>105</v>
      </c>
      <c r="D268" s="263">
        <f t="shared" si="116"/>
        <v>116</v>
      </c>
    </row>
    <row r="269" spans="1:15" x14ac:dyDescent="0.25">
      <c r="B269" s="32" t="s">
        <v>792</v>
      </c>
      <c r="C269" s="269">
        <f>Travail!F57</f>
        <v>24</v>
      </c>
      <c r="D269" s="263">
        <f t="shared" si="116"/>
        <v>27</v>
      </c>
    </row>
    <row r="270" spans="1:15" x14ac:dyDescent="0.25">
      <c r="B270" s="32" t="s">
        <v>793</v>
      </c>
      <c r="C270" s="269">
        <f>Travail!F58</f>
        <v>9</v>
      </c>
      <c r="D270" s="263">
        <f t="shared" si="116"/>
        <v>10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175.2</v>
      </c>
      <c r="D275" s="172">
        <f>C275</f>
        <v>175.2</v>
      </c>
    </row>
    <row r="276" spans="1:4" x14ac:dyDescent="0.25">
      <c r="A276" s="23"/>
      <c r="B276" s="32" t="s">
        <v>1369</v>
      </c>
      <c r="C276" s="269">
        <f>C192*8</f>
        <v>5.4</v>
      </c>
      <c r="D276" s="263">
        <f>D192*8</f>
        <v>5.89</v>
      </c>
    </row>
    <row r="277" spans="1:4" x14ac:dyDescent="0.25">
      <c r="B277" s="32" t="s">
        <v>1420</v>
      </c>
      <c r="C277" s="269">
        <f>Travail!F75+Travail!F81</f>
        <v>116</v>
      </c>
      <c r="D277" s="172">
        <f>C277</f>
        <v>116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2805</v>
      </c>
      <c r="D281" s="263">
        <f>ROUND(D245+D248+D251+D254+D257+D260+D261,0)</f>
        <v>2924</v>
      </c>
    </row>
    <row r="282" spans="1:4" x14ac:dyDescent="0.25">
      <c r="B282" s="14" t="s">
        <v>1372</v>
      </c>
      <c r="C282" s="172">
        <f>ROUND(C246+C249+C252+C255+C258,0)</f>
        <v>836</v>
      </c>
      <c r="D282" s="263">
        <f>ROUND(D246+D249+D252+D255+D258,0)</f>
        <v>846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9.23</v>
      </c>
      <c r="D284" s="172">
        <f>ROUND(D281/(Troupeau!$B$17*G63),2)</f>
        <v>8.74</v>
      </c>
    </row>
    <row r="285" spans="1:4" x14ac:dyDescent="0.25">
      <c r="B285" s="14" t="s">
        <v>1375</v>
      </c>
      <c r="C285" s="172">
        <f>IF(Troupeau!$C$17=0,0,ROUND(C282/Troupeau!$C$17,2))</f>
        <v>36.35</v>
      </c>
      <c r="D285" s="172">
        <f>IF(Troupeau!$C$17=0,0,ROUND(D282/Troupeau!$C$17*G63,2))</f>
        <v>40.46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3641</v>
      </c>
      <c r="D287" s="263">
        <f>SUM(D281:D283)</f>
        <v>3770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307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296.60000000000002</v>
      </c>
      <c r="D290" s="276">
        <f>D275+D276+D277</f>
        <v>297.08999999999997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5013</v>
      </c>
      <c r="D292" s="263">
        <f>ROUND(SUM(D287:D291),0)</f>
        <v>5175</v>
      </c>
    </row>
    <row r="293" spans="2:4" x14ac:dyDescent="0.25">
      <c r="B293" s="14" t="s">
        <v>874</v>
      </c>
      <c r="C293" s="172">
        <f>ROUND(IF(Scénario!$K$129=1,SUM(C275:C280),SUM(C278:C280)),0)</f>
        <v>465</v>
      </c>
      <c r="D293" s="172">
        <f>ROUND(IF(Scénario!$K$129=1,SUM(D275:D280),SUM(D278:D280)),0)</f>
        <v>466</v>
      </c>
    </row>
    <row r="294" spans="2:4" x14ac:dyDescent="0.25">
      <c r="B294" s="14" t="s">
        <v>875</v>
      </c>
      <c r="C294" s="172">
        <f>ROUND((C292-C293)/C83,0)</f>
        <v>3032</v>
      </c>
      <c r="D294" s="172">
        <f>ROUND((D292-D293)/D83,0)</f>
        <v>2355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39.529078765704341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28422</v>
      </c>
    </row>
    <row r="308" spans="2:3" x14ac:dyDescent="0.25">
      <c r="B308" s="14" t="s">
        <v>1460</v>
      </c>
      <c r="C308" s="172">
        <f>'Calcul éco'!X235</f>
        <v>400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7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648</v>
      </c>
      <c r="C73" s="63">
        <f t="shared" ref="C73:Y73" si="28">ROUND(SUM(C63:C72),0)</f>
        <v>642</v>
      </c>
      <c r="D73" s="63">
        <f t="shared" si="28"/>
        <v>575</v>
      </c>
      <c r="E73" s="63">
        <f t="shared" si="28"/>
        <v>320</v>
      </c>
      <c r="F73" s="63">
        <f t="shared" si="28"/>
        <v>352</v>
      </c>
      <c r="G73" s="63">
        <f t="shared" si="28"/>
        <v>351</v>
      </c>
      <c r="H73" s="63">
        <f t="shared" si="28"/>
        <v>338</v>
      </c>
      <c r="I73" s="63">
        <f t="shared" si="28"/>
        <v>337</v>
      </c>
      <c r="J73" s="63">
        <f t="shared" si="28"/>
        <v>390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347</v>
      </c>
      <c r="V73" s="63">
        <f t="shared" si="28"/>
        <v>629</v>
      </c>
      <c r="W73" s="63">
        <f t="shared" si="28"/>
        <v>627</v>
      </c>
      <c r="X73" s="63">
        <f t="shared" si="28"/>
        <v>648</v>
      </c>
      <c r="Y73" s="63">
        <f t="shared" si="28"/>
        <v>648</v>
      </c>
      <c r="Z73" s="51"/>
      <c r="AA73" s="55">
        <f>ROUND(SUM(B73:Y73),0)</f>
        <v>8040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3</v>
      </c>
      <c r="C77" s="59">
        <v>1</v>
      </c>
      <c r="D77" s="59">
        <v>1</v>
      </c>
      <c r="E77" s="59">
        <v>1</v>
      </c>
      <c r="F77" s="59">
        <v>1</v>
      </c>
      <c r="G77" s="59">
        <v>3</v>
      </c>
      <c r="H77" s="59">
        <v>3</v>
      </c>
      <c r="I77" s="59">
        <v>3</v>
      </c>
      <c r="J77" s="59">
        <v>3</v>
      </c>
      <c r="K77" s="59">
        <v>3</v>
      </c>
      <c r="L77" s="59">
        <v>3</v>
      </c>
      <c r="M77" s="59">
        <v>5</v>
      </c>
      <c r="N77" s="59">
        <v>5</v>
      </c>
      <c r="O77" s="59">
        <v>5</v>
      </c>
      <c r="P77" s="59">
        <v>5</v>
      </c>
      <c r="Q77" s="59">
        <v>5</v>
      </c>
      <c r="R77" s="59">
        <v>5</v>
      </c>
      <c r="S77" s="59">
        <v>5</v>
      </c>
      <c r="T77" s="59">
        <v>1</v>
      </c>
      <c r="U77" s="59">
        <v>1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24.5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12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121.53333853238263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133.68667238562091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83.166064931965153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0.70843895652173916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0.96944278260869587</v>
      </c>
      <c r="L164" s="60">
        <f t="shared" si="67"/>
        <v>0.93817043478260886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0.96944278260869587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0.70843895652173916</v>
      </c>
      <c r="D172" s="60">
        <f t="shared" si="75"/>
        <v>0.63988034782608705</v>
      </c>
      <c r="E172" s="60">
        <f t="shared" si="75"/>
        <v>0.63988034782608705</v>
      </c>
      <c r="F172" s="60">
        <f t="shared" si="75"/>
        <v>0.70843895652173916</v>
      </c>
      <c r="G172" s="60">
        <f t="shared" si="75"/>
        <v>2.6886290942608699</v>
      </c>
      <c r="H172" s="60">
        <f t="shared" si="75"/>
        <v>2.588417780869567</v>
      </c>
      <c r="I172" s="60">
        <f t="shared" si="75"/>
        <v>2.5749364382608704</v>
      </c>
      <c r="J172" s="60">
        <f t="shared" si="75"/>
        <v>2.6329062114782618</v>
      </c>
      <c r="K172" s="60">
        <f t="shared" si="75"/>
        <v>3.7566051234782614</v>
      </c>
      <c r="L172" s="60">
        <f t="shared" si="75"/>
        <v>3.6354243130434787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2.4143940950956533</v>
      </c>
      <c r="U172" s="60">
        <f t="shared" si="75"/>
        <v>3.5643055353043485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33.244539635269568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0.70843895652173916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0.70843895652173916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0.70843895652173916</v>
      </c>
      <c r="D215" s="60">
        <f t="shared" si="108"/>
        <v>0.63988034782608705</v>
      </c>
      <c r="E215" s="60">
        <f t="shared" si="108"/>
        <v>0.63988034782608705</v>
      </c>
      <c r="F215" s="60">
        <f t="shared" si="108"/>
        <v>0.70843895652173916</v>
      </c>
      <c r="G215" s="60">
        <f t="shared" si="108"/>
        <v>2.6886290942608699</v>
      </c>
      <c r="H215" s="60">
        <f t="shared" si="108"/>
        <v>2.588417780869567</v>
      </c>
      <c r="I215" s="60">
        <f t="shared" si="108"/>
        <v>2.5749364382608704</v>
      </c>
      <c r="J215" s="60">
        <f t="shared" si="108"/>
        <v>2.6329062114782618</v>
      </c>
      <c r="K215" s="60">
        <f t="shared" si="108"/>
        <v>3.7566051234782614</v>
      </c>
      <c r="L215" s="60">
        <f t="shared" si="108"/>
        <v>3.6354243130434787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2.4143940950956533</v>
      </c>
      <c r="U215" s="60">
        <f t="shared" si="108"/>
        <v>3.5643055353043485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0.70843895652173916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78.009900762226067</v>
      </c>
      <c r="AB219" t="s">
        <v>222</v>
      </c>
    </row>
    <row r="220" spans="1:28" x14ac:dyDescent="0.25">
      <c r="AA220" s="30">
        <f>SUM(B215:Y217)</f>
        <v>39.529078765704341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2023-01-09T09:49:51Z</dcterms:modified>
</cp:coreProperties>
</file>