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firstSheet="3" activeTab="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26" r:id="rId18"/>
  </pivotCaches>
</workbook>
</file>

<file path=xl/calcChain.xml><?xml version="1.0" encoding="utf-8"?>
<calcChain xmlns="http://schemas.openxmlformats.org/spreadsheetml/2006/main">
  <c r="B17" i="30" l="1"/>
  <c r="AV5" i="29" l="1"/>
  <c r="AW5" i="29"/>
  <c r="AX5" i="29"/>
  <c r="AY5" i="29"/>
  <c r="AZ5" i="29"/>
  <c r="BD5" i="29"/>
  <c r="BE5" i="29" s="1"/>
  <c r="BF5" i="29" s="1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G7" i="29"/>
  <c r="BH7" i="29"/>
  <c r="BK14" i="29"/>
  <c r="BJ14" i="29"/>
  <c r="BL14" i="29"/>
  <c r="BG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J18" i="29"/>
  <c r="BK18" i="29"/>
  <c r="BL18" i="29"/>
  <c r="BI17" i="29"/>
  <c r="BJ17" i="29"/>
  <c r="BG17" i="29"/>
  <c r="BK17" i="29"/>
  <c r="BL17" i="29"/>
  <c r="BL5" i="29"/>
  <c r="BG5" i="29"/>
  <c r="BH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9" i="29" l="1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6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U30" i="29"/>
  <c r="T30" i="29"/>
  <c r="S30" i="29"/>
  <c r="R30" i="29"/>
  <c r="N30" i="29"/>
  <c r="M30" i="29"/>
  <c r="F30" i="29"/>
  <c r="E30" i="29"/>
  <c r="D30" i="29"/>
  <c r="C30" i="29"/>
  <c r="Z29" i="29"/>
  <c r="Y29" i="29"/>
  <c r="U29" i="29"/>
  <c r="T29" i="29"/>
  <c r="S29" i="29"/>
  <c r="R29" i="29"/>
  <c r="N29" i="29"/>
  <c r="M29" i="29"/>
  <c r="F29" i="29"/>
  <c r="E29" i="29"/>
  <c r="D29" i="29"/>
  <c r="C29" i="29"/>
  <c r="K12" i="29"/>
  <c r="J12" i="29"/>
  <c r="I12" i="29"/>
  <c r="H12" i="29"/>
  <c r="E12" i="29"/>
  <c r="D12" i="29"/>
  <c r="C12" i="29"/>
  <c r="K10" i="29"/>
  <c r="J10" i="29"/>
  <c r="I10" i="29"/>
  <c r="H10" i="29"/>
  <c r="E10" i="29"/>
  <c r="D10" i="29"/>
  <c r="C10" i="29"/>
  <c r="K9" i="29"/>
  <c r="J9" i="29"/>
  <c r="I9" i="29"/>
  <c r="H9" i="29"/>
  <c r="E9" i="29"/>
  <c r="D9" i="29"/>
  <c r="C9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AV87" i="30" l="1"/>
  <c r="BD87" i="30"/>
  <c r="AV86" i="30"/>
  <c r="BD86" i="30"/>
  <c r="AX86" i="30"/>
  <c r="AX87" i="30"/>
  <c r="AY86" i="30"/>
  <c r="AY87" i="30"/>
  <c r="AZ86" i="30"/>
  <c r="AZ87" i="30"/>
  <c r="AW87" i="30"/>
  <c r="BA86" i="30"/>
  <c r="BQ86" i="30"/>
  <c r="BA87" i="30"/>
  <c r="BQ87" i="30"/>
  <c r="AW86" i="30"/>
  <c r="BB86" i="30"/>
  <c r="BR86" i="30"/>
  <c r="BB87" i="30"/>
  <c r="BR87" i="30"/>
  <c r="BC86" i="30"/>
  <c r="BS86" i="30"/>
  <c r="BC87" i="30"/>
  <c r="BS87" i="30"/>
  <c r="BA106" i="30"/>
  <c r="BH108" i="30"/>
  <c r="AX109" i="30"/>
  <c r="BB106" i="30"/>
  <c r="BI108" i="30"/>
  <c r="AZ109" i="30"/>
  <c r="BF106" i="30"/>
  <c r="AX107" i="30"/>
  <c r="BN108" i="30"/>
  <c r="BA109" i="30"/>
  <c r="BH106" i="30"/>
  <c r="AZ107" i="30"/>
  <c r="BI106" i="30"/>
  <c r="BA107" i="30"/>
  <c r="BN106" i="30"/>
  <c r="BP109" i="30"/>
  <c r="BA108" i="30"/>
  <c r="BQ109" i="30"/>
  <c r="BF108" i="30"/>
  <c r="BJ106" i="30"/>
  <c r="BB107" i="30"/>
  <c r="BB108" i="30"/>
  <c r="BJ108" i="30"/>
  <c r="BB109" i="30"/>
  <c r="BR109" i="30"/>
  <c r="BC106" i="30"/>
  <c r="BK106" i="30"/>
  <c r="BC107" i="30"/>
  <c r="BC108" i="30"/>
  <c r="BK108" i="30"/>
  <c r="BC109" i="30"/>
  <c r="BS109" i="30"/>
  <c r="BD106" i="30"/>
  <c r="BL106" i="30"/>
  <c r="AV107" i="30"/>
  <c r="BD107" i="30"/>
  <c r="BD108" i="30"/>
  <c r="BL108" i="30"/>
  <c r="AV109" i="30"/>
  <c r="BD109" i="30"/>
  <c r="BE106" i="30"/>
  <c r="BM106" i="30"/>
  <c r="AW107" i="30"/>
  <c r="BE108" i="30"/>
  <c r="BM108" i="30"/>
  <c r="AW109" i="30"/>
  <c r="BG106" i="30"/>
  <c r="BO106" i="30"/>
  <c r="AY107" i="30"/>
  <c r="BG108" i="30"/>
  <c r="AY109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I220" i="33" s="1"/>
  <c r="I221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D17" i="30" s="1"/>
  <c r="F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C252" i="33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20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S4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S8" i="29" s="1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AC189" i="31" s="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P8" i="29" s="1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25" i="29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25" i="29"/>
  <c r="C3" i="29"/>
  <c r="C201" i="29" s="1"/>
  <c r="S25" i="29"/>
  <c r="F5" i="29"/>
  <c r="F9" i="29" s="1"/>
  <c r="F20" i="29"/>
  <c r="F21" i="29" s="1"/>
  <c r="F7" i="29" s="1"/>
  <c r="F12" i="29" s="1"/>
  <c r="F4" i="29"/>
  <c r="F3" i="29"/>
  <c r="F8" i="29" s="1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W24" i="28" l="1"/>
  <c r="T8" i="29"/>
  <c r="Q8" i="29"/>
  <c r="R8" i="29"/>
  <c r="R201" i="29" s="1"/>
  <c r="Z24" i="28"/>
  <c r="AB24" i="28"/>
  <c r="AB34" i="28" s="1"/>
  <c r="K32" i="28" s="1"/>
  <c r="C89" i="33" s="1"/>
  <c r="X24" i="28"/>
  <c r="X34" i="28" s="1"/>
  <c r="K35" i="28" s="1"/>
  <c r="C91" i="33" s="1"/>
  <c r="AA24" i="28"/>
  <c r="AA34" i="28" s="1"/>
  <c r="K38" i="28" s="1"/>
  <c r="C94" i="33" s="1"/>
  <c r="Y24" i="28"/>
  <c r="Y34" i="28" s="1"/>
  <c r="K36" i="28" s="1"/>
  <c r="C92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Q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O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CY80" i="30"/>
  <c r="BD80" i="30"/>
  <c r="BD81" i="30" s="1"/>
  <c r="CY71" i="30"/>
  <c r="BS69" i="30"/>
  <c r="AZ61" i="30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65" i="28" l="1"/>
  <c r="AI165" i="31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304" i="33" l="1"/>
  <c r="AA240" i="31"/>
  <c r="AB240" i="31" s="1"/>
  <c r="C310" i="33"/>
  <c r="K48" i="28"/>
  <c r="B154" i="31" s="1"/>
  <c r="J154" i="31" s="1"/>
  <c r="C227" i="33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AC240" i="31"/>
  <c r="AF240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B155" i="31" l="1"/>
  <c r="I155" i="31" s="1"/>
  <c r="B149" i="31"/>
  <c r="J149" i="31" s="1"/>
  <c r="C222" i="33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6" i="33" s="1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Y146" i="33" l="1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O76" i="30" s="1"/>
  <c r="G18" i="29"/>
  <c r="T6" i="29"/>
  <c r="T10" i="29" s="1"/>
  <c r="T181" i="29"/>
  <c r="T196" i="29" s="1"/>
  <c r="X76" i="30" s="1"/>
  <c r="H6" i="29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7" i="30" l="1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B49" i="18"/>
  <c r="AA49" i="18" s="1"/>
  <c r="V265" i="31"/>
  <c r="V264" i="31"/>
  <c r="F9" i="30"/>
  <c r="C248" i="33" s="1"/>
  <c r="I63" i="7"/>
  <c r="J63" i="7"/>
  <c r="O63" i="7"/>
  <c r="P63" i="7"/>
  <c r="Q63" i="7"/>
  <c r="G63" i="7"/>
  <c r="B91" i="30" l="1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K175" i="24" l="1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7" i="24" l="1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K217" i="24" l="1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4"/>
  <c r="C300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BI8" i="29" s="1"/>
  <c r="T5" i="7"/>
  <c r="BB7" i="29" s="1"/>
  <c r="BI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BI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BI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AK21" i="29" s="1"/>
  <c r="AK25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C183" i="33" l="1"/>
  <c r="C185" i="33" s="1"/>
  <c r="B83" i="30"/>
  <c r="F83" i="30" s="1"/>
  <c r="T234" i="31"/>
  <c r="D185" i="33"/>
  <c r="F84" i="30"/>
  <c r="C192" i="33" s="1"/>
  <c r="U63" i="7"/>
  <c r="AP5" i="29"/>
  <c r="AP4" i="29"/>
  <c r="AD20" i="29" s="1"/>
  <c r="AF20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T272" i="31" l="1"/>
  <c r="X272" i="31" s="1"/>
  <c r="J142" i="31" s="1"/>
  <c r="C220" i="33" s="1"/>
  <c r="X234" i="31"/>
  <c r="C276" i="33"/>
  <c r="B115" i="30"/>
  <c r="B126" i="30" s="1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X198" i="18" l="1"/>
  <c r="X217" i="18" s="1"/>
  <c r="AC7" i="22" s="1"/>
  <c r="BO17" i="23" s="1"/>
  <c r="BO38" i="23" s="1"/>
  <c r="C307" i="33"/>
  <c r="X237" i="31"/>
  <c r="D184" i="33"/>
  <c r="D183" i="33" s="1"/>
  <c r="D192" i="33" s="1"/>
  <c r="D235" i="33" s="1"/>
  <c r="D236" i="33" s="1"/>
  <c r="C290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43" i="33" l="1"/>
  <c r="D243" i="33" s="1"/>
  <c r="AA237" i="31"/>
  <c r="AK225" i="33"/>
  <c r="AO225" i="33" s="1"/>
  <c r="AO228" i="33" s="1"/>
  <c r="AR228" i="33" s="1"/>
  <c r="AS228" i="33" s="1"/>
  <c r="AT228" i="33" s="1"/>
  <c r="AW228" i="33" s="1"/>
  <c r="D240" i="33" s="1"/>
  <c r="AJ216" i="33"/>
  <c r="AN216" i="33" s="1"/>
  <c r="D220" i="33" s="1"/>
  <c r="D276" i="33"/>
  <c r="D290" i="33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92" i="33" l="1"/>
  <c r="D294" i="33" s="1"/>
  <c r="AB237" i="31"/>
  <c r="AC237" i="31" s="1"/>
  <c r="AF237" i="31" s="1"/>
  <c r="B178" i="31" s="1"/>
  <c r="C240" i="33" s="1"/>
  <c r="C244" i="33"/>
  <c r="D244" i="33" s="1"/>
  <c r="D143" i="33"/>
  <c r="D144" i="33"/>
  <c r="C292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94" i="33" l="1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C237" i="33" s="1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D157" i="33" l="1"/>
  <c r="C241" i="33"/>
  <c r="C238" i="33"/>
  <c r="C174" i="33"/>
  <c r="D174" i="33" s="1"/>
  <c r="D173" i="33"/>
  <c r="D241" i="33"/>
  <c r="D242" i="33" s="1"/>
  <c r="D238" i="33"/>
  <c r="B180" i="31"/>
  <c r="B181" i="31" s="1"/>
  <c r="B175" i="31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<sst xmlns="http://schemas.openxmlformats.org/spreadsheetml/2006/main" count="3090" uniqueCount="1464">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</sst>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3" t="s">
        <v>2</v>
      </c>
      <c r="H1" s="293"/>
      <c r="I1" s="293" t="s">
        <v>0</v>
      </c>
      <c r="J1" s="293"/>
      <c r="K1" s="293" t="s">
        <v>1</v>
      </c>
      <c r="L1" s="293"/>
      <c r="M1" s="293" t="s">
        <v>3</v>
      </c>
      <c r="N1" s="293"/>
      <c r="O1" s="293" t="s">
        <v>4</v>
      </c>
      <c r="P1" s="293"/>
      <c r="Q1" s="293" t="s">
        <v>5</v>
      </c>
      <c r="R1" s="293"/>
      <c r="S1" s="293" t="s">
        <v>6</v>
      </c>
      <c r="T1" s="293"/>
      <c r="U1" s="293" t="s">
        <v>7</v>
      </c>
      <c r="V1" s="293"/>
      <c r="W1" s="293" t="s">
        <v>8</v>
      </c>
      <c r="X1" s="293"/>
      <c r="Y1" s="293" t="s">
        <v>9</v>
      </c>
      <c r="Z1" s="293"/>
      <c r="AA1" s="293" t="s">
        <v>10</v>
      </c>
      <c r="AB1" s="293"/>
      <c r="AC1" s="293" t="s">
        <v>11</v>
      </c>
      <c r="AD1" s="293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175.68758102215617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3.3547090956521739</v>
      </c>
      <c r="R5" s="142">
        <f>CdTrp1!M215+CdTrp2!M215+CdTrp3!M215+CdTrp4!M215</f>
        <v>1.1265404347826089</v>
      </c>
      <c r="S5" s="142">
        <f>CdTrp1!N215+CdTrp2!N215+CdTrp3!N215+CdTrp4!N215</f>
        <v>1.1640917826086958</v>
      </c>
      <c r="T5" s="142">
        <f>CdTrp1!O215+CdTrp2!O215+CdTrp3!O215+CdTrp4!O215</f>
        <v>1.1640917826086958</v>
      </c>
      <c r="U5" s="142">
        <f>CdTrp1!P215+CdTrp2!P215+CdTrp3!P215+CdTrp4!P215</f>
        <v>1.1640917826086958</v>
      </c>
      <c r="V5" s="142">
        <f>CdTrp1!Q215+CdTrp2!Q215+CdTrp3!Q215+CdTrp4!Q215</f>
        <v>1.1640917826086958</v>
      </c>
      <c r="W5" s="142">
        <f>CdTrp1!R215+CdTrp2!R215+CdTrp3!R215+CdTrp4!R215</f>
        <v>1.1265404347826089</v>
      </c>
      <c r="X5" s="142">
        <f>CdTrp1!S215+CdTrp2!S215+CdTrp3!S215+CdTrp4!S215</f>
        <v>1.1265404347826089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119.31184151648696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175.7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4.8616690956521733</v>
      </c>
      <c r="R8" s="142">
        <f t="shared" si="0"/>
        <v>2.6335004347826088</v>
      </c>
      <c r="S8" s="142">
        <f t="shared" si="0"/>
        <v>2.7212837826086957</v>
      </c>
      <c r="T8" s="142">
        <f t="shared" si="0"/>
        <v>2.7212837826086957</v>
      </c>
      <c r="U8" s="142">
        <f t="shared" si="0"/>
        <v>2.7212837826086957</v>
      </c>
      <c r="V8" s="142">
        <f t="shared" si="0"/>
        <v>2.7212837826086957</v>
      </c>
      <c r="W8" s="142">
        <f t="shared" si="0"/>
        <v>2.6335004347826088</v>
      </c>
      <c r="X8" s="142">
        <f t="shared" si="0"/>
        <v>2.6335004347826088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80.831019519965224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51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21</v>
      </c>
      <c r="H18" s="157">
        <f>G18/G17</f>
        <v>0.41176470588235292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0.30392156862745096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</v>
      </c>
      <c r="H20" s="157">
        <f>G20/G17</f>
        <v>0.13725490196078433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14" zoomScale="90" zoomScaleNormal="90" workbookViewId="0">
      <selection activeCell="K27" sqref="K27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4" t="s">
        <v>250</v>
      </c>
      <c r="AT2" s="294"/>
      <c r="AU2" s="293" t="s">
        <v>251</v>
      </c>
      <c r="AV2" s="293"/>
      <c r="AW2" s="293" t="s">
        <v>252</v>
      </c>
      <c r="AX2" s="293"/>
      <c r="AY2" s="293" t="s">
        <v>253</v>
      </c>
      <c r="AZ2" s="293"/>
      <c r="BA2" s="293" t="s">
        <v>254</v>
      </c>
      <c r="BB2" s="293"/>
      <c r="BC2" s="293" t="s">
        <v>255</v>
      </c>
      <c r="BD2" s="293"/>
      <c r="BE2" s="293" t="s">
        <v>256</v>
      </c>
      <c r="BF2" s="293"/>
      <c r="BG2" s="293" t="s">
        <v>257</v>
      </c>
      <c r="BH2" s="293"/>
      <c r="BI2" s="293" t="s">
        <v>258</v>
      </c>
      <c r="BJ2" s="293"/>
      <c r="BK2" s="293" t="s">
        <v>259</v>
      </c>
      <c r="BL2" s="293"/>
      <c r="BM2" s="293" t="s">
        <v>260</v>
      </c>
      <c r="BN2" s="293"/>
      <c r="BO2" s="293" t="s">
        <v>261</v>
      </c>
      <c r="BP2" s="293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4.8616690956521733</v>
      </c>
      <c r="BD5" s="13">
        <f>'Conduite Trp'!R8</f>
        <v>2.6335004347826088</v>
      </c>
      <c r="BE5" s="13">
        <f>'Conduite Trp'!S8</f>
        <v>2.7212837826086957</v>
      </c>
      <c r="BF5" s="13">
        <f>'Conduite Trp'!T8</f>
        <v>2.7212837826086957</v>
      </c>
      <c r="BG5" s="13">
        <f>'Conduite Trp'!U8</f>
        <v>2.7212837826086957</v>
      </c>
      <c r="BH5" s="13">
        <f>'Conduite Trp'!V8</f>
        <v>2.7212837826086957</v>
      </c>
      <c r="BI5" s="13">
        <f>'Conduite Trp'!W8</f>
        <v>2.6335004347826088</v>
      </c>
      <c r="BJ5" s="13">
        <f>'Conduite Trp'!X8</f>
        <v>2.6335004347826088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>
        <v>3.6</v>
      </c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11.879999999999999</v>
      </c>
      <c r="AF7" s="60">
        <f t="shared" ref="AF7:AF26" si="1">$R7*W7</f>
        <v>0</v>
      </c>
      <c r="AG7" s="60">
        <f t="shared" ref="AG7:AG26" si="2">$R7*X7</f>
        <v>5.4</v>
      </c>
      <c r="AH7" s="60">
        <f t="shared" ref="AH7:AH26" si="3">$R7*Y7</f>
        <v>3.6</v>
      </c>
      <c r="AI7" s="60">
        <f t="shared" ref="AI7:AI26" si="4">$R7*Z7</f>
        <v>2.52</v>
      </c>
      <c r="AJ7" s="60">
        <f t="shared" ref="AJ7:AJ26" si="5">$R7*AA7</f>
        <v>0</v>
      </c>
      <c r="AK7" s="140"/>
      <c r="AL7" s="60">
        <f t="shared" ref="AL7:AL26" si="6">R7*AC7</f>
        <v>9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4.8616690956521733</v>
      </c>
      <c r="BD7" s="60">
        <f t="shared" si="7"/>
        <v>2.6335004347826088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34.080111231478263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>
        <v>1</v>
      </c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1</v>
      </c>
      <c r="AG8" s="60">
        <f t="shared" si="2"/>
        <v>1</v>
      </c>
      <c r="AH8" s="60">
        <f t="shared" si="3"/>
        <v>0.5</v>
      </c>
      <c r="AI8" s="60">
        <f t="shared" si="4"/>
        <v>0.7</v>
      </c>
      <c r="AJ8" s="60">
        <f t="shared" si="5"/>
        <v>0</v>
      </c>
      <c r="AK8" s="140"/>
      <c r="AL8" s="60">
        <f t="shared" si="6"/>
        <v>6.3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2.7212837826086957</v>
      </c>
      <c r="BF8" s="60">
        <f t="shared" si="8"/>
        <v>2.7212837826086957</v>
      </c>
      <c r="BG8" s="60">
        <f t="shared" si="8"/>
        <v>2.7212837826086957</v>
      </c>
      <c r="BH8" s="60">
        <f t="shared" si="8"/>
        <v>2.7212837826086957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10.885135130434783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2.6335004347826088</v>
      </c>
      <c r="BJ9" s="60">
        <f t="shared" si="10"/>
        <v>2.6335004347826088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25.772342833878263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3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6</v>
      </c>
      <c r="AF10" s="60">
        <f t="shared" si="1"/>
        <v>0</v>
      </c>
      <c r="AG10" s="60">
        <f t="shared" si="2"/>
        <v>3.75</v>
      </c>
      <c r="AH10" s="60">
        <f t="shared" si="3"/>
        <v>3.75</v>
      </c>
      <c r="AI10" s="60">
        <f t="shared" si="4"/>
        <v>3.75</v>
      </c>
      <c r="AJ10" s="60">
        <f t="shared" si="5"/>
        <v>0</v>
      </c>
      <c r="AK10" s="140"/>
      <c r="AL10" s="60">
        <f t="shared" si="6"/>
        <v>7.5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0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0</v>
      </c>
      <c r="AF11" s="60">
        <f t="shared" si="1"/>
        <v>0</v>
      </c>
      <c r="AG11" s="60">
        <f t="shared" si="2"/>
        <v>0</v>
      </c>
      <c r="AH11" s="60">
        <f t="shared" si="3"/>
        <v>0</v>
      </c>
      <c r="AI11" s="60">
        <f t="shared" si="4"/>
        <v>0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3.3547090956521739</v>
      </c>
      <c r="BD15" s="13">
        <f>'Conduite Trp'!R5</f>
        <v>1.1265404347826089</v>
      </c>
      <c r="BE15" s="13">
        <f>'Conduite Trp'!S5</f>
        <v>1.1640917826086958</v>
      </c>
      <c r="BF15" s="13">
        <f>'Conduite Trp'!T5</f>
        <v>1.1640917826086958</v>
      </c>
      <c r="BG15" s="13">
        <f>'Conduite Trp'!U5</f>
        <v>1.1640917826086958</v>
      </c>
      <c r="BH15" s="13">
        <f>'Conduite Trp'!V5</f>
        <v>1.1640917826086958</v>
      </c>
      <c r="BI15" s="13">
        <f>'Conduite Trp'!W5</f>
        <v>1.1265404347826089</v>
      </c>
      <c r="BJ15" s="13">
        <f>'Conduite Trp'!X5</f>
        <v>1.1265404347826089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3.3547090956521739</v>
      </c>
      <c r="BD19" s="60">
        <f t="shared" si="15"/>
        <v>1.1265404347826089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22.313415579304351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1.1640917826086958</v>
      </c>
      <c r="BF20" s="60">
        <f t="shared" si="16"/>
        <v>1.1640917826086958</v>
      </c>
      <c r="BG20" s="60">
        <f t="shared" si="16"/>
        <v>1.1640917826086958</v>
      </c>
      <c r="BH20" s="60">
        <f t="shared" si="16"/>
        <v>1.1640917826086958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4.6563671304347833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1.1265404347826089</v>
      </c>
      <c r="BJ21" s="60">
        <f t="shared" si="18"/>
        <v>1.1265404347826089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13.893788399095655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36.339999999999996</v>
      </c>
      <c r="E24" s="60">
        <f t="shared" si="21"/>
        <v>13.575000000000001</v>
      </c>
      <c r="F24" s="60">
        <f t="shared" si="21"/>
        <v>29.758716</v>
      </c>
      <c r="G24" s="60">
        <f t="shared" si="21"/>
        <v>16.414179000000001</v>
      </c>
      <c r="H24" s="60">
        <f t="shared" si="21"/>
        <v>20.322895000000003</v>
      </c>
      <c r="I24" s="60">
        <f t="shared" si="21"/>
        <v>0</v>
      </c>
      <c r="J24" s="62"/>
      <c r="K24" s="60">
        <f>AL27+AL49+AL71</f>
        <v>105.83154999999999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34.080111231478263</v>
      </c>
      <c r="E25" s="60">
        <f>BR8</f>
        <v>10.885135130434783</v>
      </c>
      <c r="F25" s="60">
        <f>BR9</f>
        <v>25.772342833878263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175.7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2.2598887685217335</v>
      </c>
      <c r="E27" s="92">
        <f t="shared" si="23"/>
        <v>2.6898648695652181</v>
      </c>
      <c r="F27" s="92">
        <f t="shared" si="23"/>
        <v>3.9863731661217372</v>
      </c>
      <c r="G27" s="92">
        <f t="shared" si="23"/>
        <v>12.685552913043479</v>
      </c>
      <c r="H27" s="92">
        <f t="shared" si="23"/>
        <v>13.958090762782611</v>
      </c>
      <c r="I27" s="92">
        <f t="shared" si="23"/>
        <v>0</v>
      </c>
      <c r="J27" s="62"/>
      <c r="K27" s="92">
        <f>K24-K25</f>
        <v>-69.868449999999996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24.18</v>
      </c>
      <c r="AF27" s="74">
        <f t="shared" ref="AF27:AJ27" si="24">SUM(AF7:AF26)</f>
        <v>5.2</v>
      </c>
      <c r="AG27" s="74">
        <f t="shared" si="24"/>
        <v>16.45</v>
      </c>
      <c r="AH27" s="74">
        <f t="shared" si="24"/>
        <v>9.6</v>
      </c>
      <c r="AI27" s="74">
        <f t="shared" si="24"/>
        <v>9.42</v>
      </c>
      <c r="AJ27" s="74">
        <f t="shared" si="24"/>
        <v>0</v>
      </c>
      <c r="AK27"/>
      <c r="AL27" s="74">
        <f>SUM(AL7:AL26)</f>
        <v>36.1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3" t="s">
        <v>276</v>
      </c>
      <c r="G32" s="293"/>
      <c r="H32" s="81"/>
      <c r="I32" s="67" t="s">
        <v>280</v>
      </c>
      <c r="J32" s="81" t="s">
        <v>280</v>
      </c>
      <c r="K32" s="293" t="s">
        <v>278</v>
      </c>
      <c r="L32" s="293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24.18</v>
      </c>
      <c r="E72" s="60">
        <f t="shared" ref="E72:H72" si="69">AF27</f>
        <v>5.2</v>
      </c>
      <c r="F72" s="60">
        <f t="shared" si="69"/>
        <v>16.45</v>
      </c>
      <c r="G72" s="60">
        <f t="shared" si="69"/>
        <v>9.6</v>
      </c>
      <c r="H72" s="60">
        <f t="shared" si="69"/>
        <v>9.42</v>
      </c>
      <c r="I72" s="60">
        <f t="shared" ref="I72" si="70">AJ75+AJ97+AJ119</f>
        <v>0</v>
      </c>
      <c r="J72" s="62"/>
      <c r="K72" s="60">
        <f>+K24</f>
        <v>105.83154999999999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22.313415579304351</v>
      </c>
      <c r="E73" s="60">
        <f>BR20</f>
        <v>4.6563671304347833</v>
      </c>
      <c r="F73" s="60">
        <f>BR21</f>
        <v>13.893788399095655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175.7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1.8665844206956486</v>
      </c>
      <c r="E75" s="92">
        <f t="shared" ref="E75:I75" si="71">E72-E73</f>
        <v>0.54363286956521684</v>
      </c>
      <c r="F75" s="92">
        <f t="shared" si="71"/>
        <v>2.5562116009043443</v>
      </c>
      <c r="G75" s="92">
        <f t="shared" si="71"/>
        <v>9.6</v>
      </c>
      <c r="H75" s="92">
        <f t="shared" si="71"/>
        <v>6.603404458434782</v>
      </c>
      <c r="I75" s="92">
        <f t="shared" si="71"/>
        <v>0</v>
      </c>
      <c r="J75" s="62"/>
      <c r="K75" s="92">
        <f>+K27</f>
        <v>-69.868449999999996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zoomScale="90" zoomScaleNormal="90" workbookViewId="0">
      <selection activeCell="F9" sqref="F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3" t="s">
        <v>2</v>
      </c>
      <c r="C64" s="293"/>
      <c r="D64" s="293" t="s">
        <v>0</v>
      </c>
      <c r="E64" s="293"/>
      <c r="F64" s="293" t="s">
        <v>1</v>
      </c>
      <c r="G64" s="293"/>
      <c r="H64" s="293" t="s">
        <v>3</v>
      </c>
      <c r="I64" s="293"/>
      <c r="J64" s="293" t="s">
        <v>4</v>
      </c>
      <c r="K64" s="293"/>
      <c r="L64" s="293" t="s">
        <v>5</v>
      </c>
      <c r="M64" s="293"/>
      <c r="N64" s="293" t="s">
        <v>6</v>
      </c>
      <c r="O64" s="293"/>
      <c r="P64" s="293" t="s">
        <v>7</v>
      </c>
      <c r="Q64" s="293"/>
      <c r="R64" s="293" t="s">
        <v>8</v>
      </c>
      <c r="S64" s="293"/>
      <c r="T64" s="293" t="s">
        <v>9</v>
      </c>
      <c r="U64" s="293"/>
      <c r="V64" s="293" t="s">
        <v>10</v>
      </c>
      <c r="W64" s="293"/>
      <c r="X64" s="293" t="s">
        <v>11</v>
      </c>
      <c r="Y64" s="293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3" t="s">
        <v>2</v>
      </c>
      <c r="C90" s="293"/>
      <c r="D90" s="293" t="s">
        <v>0</v>
      </c>
      <c r="E90" s="293"/>
      <c r="F90" s="293" t="s">
        <v>1</v>
      </c>
      <c r="G90" s="293"/>
      <c r="H90" s="293" t="s">
        <v>3</v>
      </c>
      <c r="I90" s="293"/>
      <c r="J90" s="293" t="s">
        <v>4</v>
      </c>
      <c r="K90" s="293"/>
      <c r="L90" s="293" t="s">
        <v>5</v>
      </c>
      <c r="M90" s="293"/>
      <c r="N90" s="293" t="s">
        <v>6</v>
      </c>
      <c r="O90" s="293"/>
      <c r="P90" s="293" t="s">
        <v>7</v>
      </c>
      <c r="Q90" s="293"/>
      <c r="R90" s="293" t="s">
        <v>8</v>
      </c>
      <c r="S90" s="293"/>
      <c r="T90" s="293" t="s">
        <v>9</v>
      </c>
      <c r="U90" s="293"/>
      <c r="V90" s="293" t="s">
        <v>10</v>
      </c>
      <c r="W90" s="293"/>
      <c r="X90" s="293" t="s">
        <v>11</v>
      </c>
      <c r="Y90" s="293"/>
      <c r="AC90" t="s">
        <v>429</v>
      </c>
      <c r="AD90" s="293" t="s">
        <v>2</v>
      </c>
      <c r="AE90" s="293"/>
      <c r="AF90" s="293" t="s">
        <v>0</v>
      </c>
      <c r="AG90" s="293"/>
      <c r="AH90" s="293" t="s">
        <v>1</v>
      </c>
      <c r="AI90" s="293"/>
      <c r="AJ90" s="293" t="s">
        <v>3</v>
      </c>
      <c r="AK90" s="293"/>
      <c r="AL90" s="293" t="s">
        <v>4</v>
      </c>
      <c r="AM90" s="293"/>
      <c r="AN90" s="293" t="s">
        <v>5</v>
      </c>
      <c r="AO90" s="293"/>
      <c r="AP90" s="293" t="s">
        <v>6</v>
      </c>
      <c r="AQ90" s="293"/>
      <c r="AR90" s="293" t="s">
        <v>7</v>
      </c>
      <c r="AS90" s="293"/>
      <c r="AT90" s="293" t="s">
        <v>8</v>
      </c>
      <c r="AU90" s="293"/>
      <c r="AV90" s="293" t="s">
        <v>9</v>
      </c>
      <c r="AW90" s="293"/>
      <c r="AX90" s="293" t="s">
        <v>10</v>
      </c>
      <c r="AY90" s="293"/>
      <c r="AZ90" s="293" t="s">
        <v>11</v>
      </c>
      <c r="BA90" s="293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3" t="s">
        <v>2</v>
      </c>
      <c r="C117" s="293"/>
      <c r="D117" s="293" t="s">
        <v>0</v>
      </c>
      <c r="E117" s="293"/>
      <c r="F117" s="293" t="s">
        <v>1</v>
      </c>
      <c r="G117" s="293"/>
      <c r="H117" s="293" t="s">
        <v>3</v>
      </c>
      <c r="I117" s="293"/>
      <c r="J117" s="293" t="s">
        <v>4</v>
      </c>
      <c r="K117" s="293"/>
      <c r="L117" s="293" t="s">
        <v>5</v>
      </c>
      <c r="M117" s="293"/>
      <c r="N117" s="293" t="s">
        <v>6</v>
      </c>
      <c r="O117" s="293"/>
      <c r="P117" s="293" t="s">
        <v>7</v>
      </c>
      <c r="Q117" s="293"/>
      <c r="R117" s="293" t="s">
        <v>8</v>
      </c>
      <c r="S117" s="293"/>
      <c r="T117" s="293" t="s">
        <v>9</v>
      </c>
      <c r="U117" s="293"/>
      <c r="V117" s="293" t="s">
        <v>10</v>
      </c>
      <c r="W117" s="293"/>
      <c r="X117" s="293" t="s">
        <v>11</v>
      </c>
      <c r="Y117" s="293"/>
      <c r="AD117" s="293" t="s">
        <v>2</v>
      </c>
      <c r="AE117" s="293"/>
      <c r="AF117" s="293" t="s">
        <v>0</v>
      </c>
      <c r="AG117" s="293"/>
      <c r="AH117" s="293" t="s">
        <v>1</v>
      </c>
      <c r="AI117" s="293"/>
      <c r="AJ117" s="293" t="s">
        <v>3</v>
      </c>
      <c r="AK117" s="293"/>
      <c r="AL117" s="293" t="s">
        <v>4</v>
      </c>
      <c r="AM117" s="293"/>
      <c r="AN117" s="293" t="s">
        <v>5</v>
      </c>
      <c r="AO117" s="293"/>
      <c r="AP117" s="293" t="s">
        <v>6</v>
      </c>
      <c r="AQ117" s="293"/>
      <c r="AR117" s="293" t="s">
        <v>7</v>
      </c>
      <c r="AS117" s="293"/>
      <c r="AT117" s="293" t="s">
        <v>8</v>
      </c>
      <c r="AU117" s="293"/>
      <c r="AV117" s="293" t="s">
        <v>9</v>
      </c>
      <c r="AW117" s="293"/>
      <c r="AX117" s="293" t="s">
        <v>10</v>
      </c>
      <c r="AY117" s="293"/>
      <c r="AZ117" s="293" t="s">
        <v>11</v>
      </c>
      <c r="BA117" s="293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7" zoomScale="80" zoomScaleNormal="80" workbookViewId="0">
      <selection activeCell="K2" sqref="K2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22.2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12.100000000000001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2.2200000000000002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1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>
        <v>4</v>
      </c>
      <c r="P61" t="s">
        <v>583</v>
      </c>
    </row>
    <row r="62" spans="10:16" x14ac:dyDescent="0.25">
      <c r="J62" s="14" t="s">
        <v>584</v>
      </c>
      <c r="K62" s="79">
        <v>16</v>
      </c>
    </row>
    <row r="63" spans="10:16" x14ac:dyDescent="0.25">
      <c r="J63"/>
      <c r="K63">
        <v>0</v>
      </c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64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79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/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/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/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10">IF($T165&gt;0,$S165,0)</f>
        <v>1</v>
      </c>
      <c r="V165" s="172">
        <f t="shared" ref="V165:V207" si="11">IF($T165&gt;1,$S165,0)</f>
        <v>1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1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1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10"/>
        <v>3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3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0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22.2</v>
      </c>
      <c r="V228" s="61">
        <f t="shared" ref="V228:W228" si="22">SUM(V164:V227)</f>
        <v>12.100000000000001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0.7</v>
      </c>
      <c r="AI228" s="61">
        <f t="shared" si="24"/>
        <v>10.1</v>
      </c>
      <c r="AJ228" s="61">
        <f t="shared" si="24"/>
        <v>12.100000000000001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1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4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6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7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6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7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2</v>
      </c>
      <c r="D15" s="172">
        <f t="shared" si="16"/>
        <v>2</v>
      </c>
      <c r="E15" s="172">
        <f t="shared" si="16"/>
        <v>2</v>
      </c>
      <c r="F15" s="172">
        <f t="shared" si="16"/>
        <v>2</v>
      </c>
      <c r="G15" s="172">
        <f t="shared" si="16"/>
        <v>2</v>
      </c>
      <c r="H15" s="172">
        <f t="shared" si="16"/>
        <v>2</v>
      </c>
      <c r="I15" s="172">
        <f t="shared" si="16"/>
        <v>2</v>
      </c>
      <c r="J15" s="172">
        <f t="shared" si="16"/>
        <v>2</v>
      </c>
      <c r="K15" s="172">
        <f t="shared" si="16"/>
        <v>2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2</v>
      </c>
      <c r="W15" s="172">
        <f t="shared" si="16"/>
        <v>2</v>
      </c>
      <c r="X15" s="172">
        <f t="shared" si="16"/>
        <v>2</v>
      </c>
      <c r="Y15" s="172">
        <f t="shared" si="16"/>
        <v>2</v>
      </c>
      <c r="Z15" s="172">
        <f t="shared" si="16"/>
        <v>2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1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0</v>
      </c>
      <c r="D17" s="172">
        <f t="shared" si="18"/>
        <v>0</v>
      </c>
      <c r="E17" s="172">
        <f t="shared" si="18"/>
        <v>0</v>
      </c>
      <c r="F17" s="172">
        <f t="shared" si="18"/>
        <v>1</v>
      </c>
      <c r="G17" s="172">
        <f t="shared" si="18"/>
        <v>1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1</v>
      </c>
      <c r="W17" s="172">
        <f t="shared" si="18"/>
        <v>0</v>
      </c>
      <c r="X17" s="172">
        <f t="shared" si="18"/>
        <v>0</v>
      </c>
      <c r="Y17" s="172">
        <f t="shared" si="18"/>
        <v>0</v>
      </c>
      <c r="Z17" s="172">
        <f t="shared" si="18"/>
        <v>0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3</v>
      </c>
      <c r="D18" s="61">
        <f t="shared" ref="D18:Z18" si="19">IF(AND(D15=0,(D16+D17)&gt;0),1,IF(AND(D15&gt;0,(D16+D17)&gt;0),D15+1,D15))</f>
        <v>3</v>
      </c>
      <c r="E18" s="61">
        <f t="shared" si="19"/>
        <v>3</v>
      </c>
      <c r="F18" s="61">
        <f t="shared" si="19"/>
        <v>3</v>
      </c>
      <c r="G18" s="61">
        <f t="shared" si="19"/>
        <v>3</v>
      </c>
      <c r="H18" s="61">
        <f t="shared" si="19"/>
        <v>3</v>
      </c>
      <c r="I18" s="61">
        <f t="shared" si="19"/>
        <v>3</v>
      </c>
      <c r="J18" s="61">
        <f t="shared" si="19"/>
        <v>3</v>
      </c>
      <c r="K18" s="61">
        <f t="shared" si="19"/>
        <v>3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3</v>
      </c>
      <c r="W18" s="61">
        <f t="shared" si="19"/>
        <v>3</v>
      </c>
      <c r="X18" s="61">
        <f t="shared" si="19"/>
        <v>3</v>
      </c>
      <c r="Y18" s="61">
        <f t="shared" si="19"/>
        <v>3</v>
      </c>
      <c r="Z18" s="61">
        <f t="shared" si="19"/>
        <v>3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0</v>
      </c>
      <c r="AE20" s="63">
        <v>0</v>
      </c>
      <c r="AF20" s="63">
        <f>SUM(AD20:AE20)</f>
        <v>0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0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3</v>
      </c>
      <c r="D22" s="61">
        <f t="shared" ref="D22:Z22" si="22">D18+D19+D21</f>
        <v>3</v>
      </c>
      <c r="E22" s="61">
        <f t="shared" si="22"/>
        <v>3</v>
      </c>
      <c r="F22" s="61">
        <f t="shared" si="22"/>
        <v>3</v>
      </c>
      <c r="G22" s="61">
        <f t="shared" si="22"/>
        <v>3</v>
      </c>
      <c r="H22" s="61">
        <f t="shared" si="22"/>
        <v>3</v>
      </c>
      <c r="I22" s="61">
        <f t="shared" si="22"/>
        <v>3</v>
      </c>
      <c r="J22" s="61">
        <f t="shared" si="22"/>
        <v>3</v>
      </c>
      <c r="K22" s="61">
        <f t="shared" si="22"/>
        <v>3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3</v>
      </c>
      <c r="W22" s="61">
        <f t="shared" si="22"/>
        <v>3</v>
      </c>
      <c r="X22" s="61">
        <f t="shared" si="22"/>
        <v>3</v>
      </c>
      <c r="Y22" s="61">
        <f t="shared" si="22"/>
        <v>3</v>
      </c>
      <c r="Z22" s="61">
        <f t="shared" si="22"/>
        <v>3</v>
      </c>
      <c r="AC22" s="14" t="s">
        <v>718</v>
      </c>
      <c r="AD22" s="63">
        <f>IF(AND(Scénario!K88=1,Troupeau!B3="OL"),Protection!AP6,0)</f>
        <v>0</v>
      </c>
      <c r="AE22" s="63">
        <f>IF(AND(LEFT(Scénario!K12,2)="OL",Troupeau!C3&lt;&gt;"",Scénario!K91=1),Protection!AP5+Protection!AP3,0)</f>
        <v>0</v>
      </c>
      <c r="AF22" s="63">
        <f>SUM(AD22:AE22)</f>
        <v>0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2</v>
      </c>
      <c r="N25" s="176">
        <f t="shared" si="23"/>
        <v>2</v>
      </c>
      <c r="O25" s="176">
        <f t="shared" si="23"/>
        <v>1</v>
      </c>
      <c r="P25" s="176">
        <f t="shared" si="23"/>
        <v>1</v>
      </c>
      <c r="Q25" s="176">
        <f t="shared" si="23"/>
        <v>2</v>
      </c>
      <c r="R25" s="176">
        <f t="shared" si="23"/>
        <v>2</v>
      </c>
      <c r="S25" s="176">
        <f t="shared" si="23"/>
        <v>2</v>
      </c>
      <c r="T25" s="176">
        <f t="shared" si="23"/>
        <v>2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1</v>
      </c>
      <c r="N28" s="176">
        <f t="shared" si="26"/>
        <v>1</v>
      </c>
      <c r="O28" s="176">
        <f t="shared" si="26"/>
        <v>1</v>
      </c>
      <c r="P28" s="176">
        <f t="shared" si="26"/>
        <v>1</v>
      </c>
      <c r="Q28" s="176">
        <f t="shared" si="26"/>
        <v>1</v>
      </c>
      <c r="R28" s="176">
        <f t="shared" si="26"/>
        <v>1</v>
      </c>
      <c r="S28" s="176">
        <f t="shared" si="26"/>
        <v>1</v>
      </c>
      <c r="T28" s="176">
        <f t="shared" si="26"/>
        <v>1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4</v>
      </c>
      <c r="N29" s="176">
        <f>N25*[1]Protect!$B$12</f>
        <v>4</v>
      </c>
      <c r="O29" s="176">
        <f>O25*[1]Protect!$B$12</f>
        <v>2</v>
      </c>
      <c r="P29" s="176">
        <f>P25*[1]Protect!$B$12</f>
        <v>2</v>
      </c>
      <c r="Q29" s="176">
        <f>Q25*[1]Protect!$B$12</f>
        <v>4</v>
      </c>
      <c r="R29" s="176">
        <f>R25*[1]Protect!$B$12</f>
        <v>4</v>
      </c>
      <c r="S29" s="176">
        <f>S25*[1]Protect!$B$12</f>
        <v>4</v>
      </c>
      <c r="T29" s="176">
        <f>T25*[1]Protect!$B$12</f>
        <v>4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4</v>
      </c>
      <c r="N32" s="176">
        <f t="shared" si="28"/>
        <v>4</v>
      </c>
      <c r="O32" s="176">
        <f t="shared" si="28"/>
        <v>5</v>
      </c>
      <c r="P32" s="176">
        <f t="shared" si="28"/>
        <v>5</v>
      </c>
      <c r="Q32" s="176">
        <f t="shared" si="28"/>
        <v>4</v>
      </c>
      <c r="R32" s="176">
        <f t="shared" si="28"/>
        <v>4</v>
      </c>
      <c r="S32" s="176">
        <f t="shared" si="28"/>
        <v>4</v>
      </c>
      <c r="T32" s="176">
        <f t="shared" si="28"/>
        <v>4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4</v>
      </c>
      <c r="N33" s="176">
        <f>N28*[1]Protect!$B$15</f>
        <v>4</v>
      </c>
      <c r="O33" s="176">
        <f>O28*[1]Protect!$B$15</f>
        <v>4</v>
      </c>
      <c r="P33" s="176">
        <f>P28*[1]Protect!$B$15</f>
        <v>4</v>
      </c>
      <c r="Q33" s="176">
        <f>Q28*[1]Protect!$B$15</f>
        <v>4</v>
      </c>
      <c r="R33" s="176">
        <f>R28*[1]Protect!$B$15</f>
        <v>4</v>
      </c>
      <c r="S33" s="176">
        <f>S28*[1]Protect!$B$15</f>
        <v>4</v>
      </c>
      <c r="T33" s="176">
        <f>T28*[1]Protect!$B$15</f>
        <v>4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2</v>
      </c>
      <c r="N36" s="172">
        <f t="shared" si="30"/>
        <v>2</v>
      </c>
      <c r="O36" s="172">
        <f t="shared" si="30"/>
        <v>2</v>
      </c>
      <c r="P36" s="172">
        <f t="shared" si="30"/>
        <v>2</v>
      </c>
      <c r="Q36" s="172">
        <f t="shared" si="30"/>
        <v>2</v>
      </c>
      <c r="R36" s="172">
        <f t="shared" si="30"/>
        <v>2</v>
      </c>
      <c r="S36" s="172">
        <f t="shared" si="30"/>
        <v>2</v>
      </c>
      <c r="T36" s="172">
        <f t="shared" si="30"/>
        <v>2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2</v>
      </c>
      <c r="N39" s="61">
        <f t="shared" si="33"/>
        <v>2</v>
      </c>
      <c r="O39" s="61">
        <f t="shared" si="33"/>
        <v>2</v>
      </c>
      <c r="P39" s="61">
        <f t="shared" si="33"/>
        <v>2</v>
      </c>
      <c r="Q39" s="61">
        <f t="shared" si="33"/>
        <v>2</v>
      </c>
      <c r="R39" s="61">
        <f t="shared" si="33"/>
        <v>2</v>
      </c>
      <c r="S39" s="61">
        <f t="shared" si="33"/>
        <v>2</v>
      </c>
      <c r="T39" s="61">
        <f t="shared" si="33"/>
        <v>2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1</v>
      </c>
      <c r="N41" s="172">
        <f t="shared" si="35"/>
        <v>1</v>
      </c>
      <c r="O41" s="172">
        <f t="shared" si="35"/>
        <v>1</v>
      </c>
      <c r="P41" s="172">
        <f t="shared" si="35"/>
        <v>1</v>
      </c>
      <c r="Q41" s="172">
        <f t="shared" si="35"/>
        <v>1</v>
      </c>
      <c r="R41" s="172">
        <f t="shared" si="35"/>
        <v>1</v>
      </c>
      <c r="S41" s="172">
        <f t="shared" si="35"/>
        <v>1</v>
      </c>
      <c r="T41" s="172">
        <f t="shared" si="35"/>
        <v>1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1</v>
      </c>
      <c r="N42" s="61">
        <f>IF(Protection!N41&gt;0,Scénario!$K$58,0)</f>
        <v>1</v>
      </c>
      <c r="O42" s="61">
        <f>IF(Protection!O41&gt;0,Scénario!$K$58,0)</f>
        <v>1</v>
      </c>
      <c r="P42" s="61">
        <f>IF(Protection!P41&gt;0,Scénario!$K$58,0)</f>
        <v>1</v>
      </c>
      <c r="Q42" s="61">
        <f>IF(Protection!Q41&gt;0,Scénario!$K$58,0)</f>
        <v>1</v>
      </c>
      <c r="R42" s="61">
        <f>IF(Protection!R41&gt;0,Scénario!$K$58,0)</f>
        <v>1</v>
      </c>
      <c r="S42" s="61">
        <f>IF(Protection!S41&gt;0,Scénario!$K$58,0)</f>
        <v>1</v>
      </c>
      <c r="T42" s="61">
        <f>IF(Protection!T41&gt;0,Scénario!$K$58,0)</f>
        <v>1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99</v>
      </c>
      <c r="W70" s="172">
        <f>IF($AA70=0,99,IF(W83&gt;3,CdTrp1!V78,CdTrp1!V54))</f>
        <v>99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</v>
      </c>
      <c r="D71" s="172">
        <f>IF($AA71=0,99,IF(D84&gt;3,CdTrp1!C79,CdTrp1!C55))</f>
        <v>0</v>
      </c>
      <c r="E71" s="172">
        <f>IF($AA71=0,99,IF(E84&gt;3,CdTrp1!D79,CdTrp1!D55))</f>
        <v>0</v>
      </c>
      <c r="F71" s="172">
        <f>IF($AA71=0,99,IF(F84&gt;3,CdTrp1!E79,CdTrp1!E55))</f>
        <v>0</v>
      </c>
      <c r="G71" s="172">
        <f>IF($AA71=0,99,IF(G84&gt;3,CdTrp1!F79,CdTrp1!F55))</f>
        <v>0</v>
      </c>
      <c r="H71" s="172">
        <f>IF($AA71=0,99,IF(H84&gt;3,CdTrp1!G79,CdTrp1!G55))</f>
        <v>0</v>
      </c>
      <c r="I71" s="172">
        <f>IF($AA71=0,99,IF(I84&gt;3,CdTrp1!H79,CdTrp1!H55))</f>
        <v>0</v>
      </c>
      <c r="J71" s="172">
        <f>IF($AA71=0,99,IF(J84&gt;3,CdTrp1!I79,CdTrp1!I55))</f>
        <v>0</v>
      </c>
      <c r="K71" s="172">
        <f>IF($AA71=0,99,IF(K84&gt;3,CdTrp1!J79,CdTrp1!J55))</f>
        <v>0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</v>
      </c>
      <c r="W71" s="172">
        <f>IF($AA71=0,99,IF(W84&gt;3,CdTrp1!V79,CdTrp1!V55))</f>
        <v>0</v>
      </c>
      <c r="X71" s="172">
        <f>IF($AA71=0,99,IF(X84&gt;3,CdTrp1!W79,CdTrp1!W55))</f>
        <v>0</v>
      </c>
      <c r="Y71" s="172">
        <f>IF($AA71=0,99,IF(Y84&gt;3,CdTrp1!X79,CdTrp1!X55))</f>
        <v>0</v>
      </c>
      <c r="Z71" s="172">
        <f>IF($AA71=0,99,IF(Z84&gt;3,CdTrp1!Y79,CdTrp1!Y55))</f>
        <v>0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5</v>
      </c>
      <c r="N110" s="172">
        <f>IF($AA110=0,99,IF(N123&gt;3,CdTrp2!M76,CdTrp2!M52))</f>
        <v>5</v>
      </c>
      <c r="O110" s="172">
        <f>IF($AA110=0,99,IF(O123&gt;3,CdTrp2!N76,CdTrp2!N52))</f>
        <v>5</v>
      </c>
      <c r="P110" s="172">
        <f>IF($AA110=0,99,IF(P123&gt;3,CdTrp2!O76,CdTrp2!O52))</f>
        <v>5</v>
      </c>
      <c r="Q110" s="172">
        <f>IF($AA110=0,99,IF(Q123&gt;3,CdTrp2!P76,CdTrp2!P52))</f>
        <v>5</v>
      </c>
      <c r="R110" s="172">
        <f>IF($AA110=0,99,IF(R123&gt;3,CdTrp2!Q76,CdTrp2!Q52))</f>
        <v>5</v>
      </c>
      <c r="S110" s="172">
        <f>IF($AA110=0,99,IF(S123&gt;3,CdTrp2!R76,CdTrp2!R52))</f>
        <v>5</v>
      </c>
      <c r="T110" s="172">
        <f>IF($AA110=0,99,IF(T123&gt;3,CdTrp2!S76,CdTrp2!S52))</f>
        <v>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3</v>
      </c>
      <c r="D180" s="172">
        <f>IF(Troupeau!$B$3="OL",Protection!D18,0)</f>
        <v>3</v>
      </c>
      <c r="E180" s="172">
        <f>IF(Troupeau!$B$3="OL",Protection!E18,0)</f>
        <v>3</v>
      </c>
      <c r="F180" s="172">
        <f>IF(Troupeau!$B$3="OL",Protection!F18,0)</f>
        <v>3</v>
      </c>
      <c r="G180" s="172">
        <f>IF(Troupeau!$B$3="OL",Protection!G18,0)</f>
        <v>3</v>
      </c>
      <c r="H180" s="172">
        <f>IF(Troupeau!$B$3="OL",Protection!H18,0)</f>
        <v>3</v>
      </c>
      <c r="I180" s="172">
        <f>IF(Troupeau!$B$3="OL",Protection!I18,0)</f>
        <v>3</v>
      </c>
      <c r="J180" s="172">
        <f>IF(Troupeau!$B$3="OL",Protection!J18,0)</f>
        <v>3</v>
      </c>
      <c r="K180" s="172">
        <f>IF(Troupeau!$B$3="OL",Protection!K18,0)</f>
        <v>3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3</v>
      </c>
      <c r="W180" s="172">
        <f>IF(Troupeau!$B$3="OL",Protection!W18,0)</f>
        <v>3</v>
      </c>
      <c r="X180" s="172">
        <f>IF(Troupeau!$B$3="OL",Protection!X18,0)</f>
        <v>3</v>
      </c>
      <c r="Y180" s="172">
        <f>IF(Troupeau!$B$3="OL",Protection!Y18,0)</f>
        <v>3</v>
      </c>
      <c r="Z180" s="172">
        <f>IF(Troupeau!$B$3="OL",Protection!Z18,0)</f>
        <v>3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3</v>
      </c>
      <c r="D195" s="172">
        <f t="shared" ref="D195:Z196" si="50">D180+D183+D185+D187</f>
        <v>3</v>
      </c>
      <c r="E195" s="172">
        <f t="shared" si="50"/>
        <v>3</v>
      </c>
      <c r="F195" s="172">
        <f t="shared" si="50"/>
        <v>3</v>
      </c>
      <c r="G195" s="172">
        <f t="shared" si="50"/>
        <v>3</v>
      </c>
      <c r="H195" s="172">
        <f t="shared" si="50"/>
        <v>3</v>
      </c>
      <c r="I195" s="172">
        <f t="shared" si="50"/>
        <v>3</v>
      </c>
      <c r="J195" s="172">
        <f t="shared" si="50"/>
        <v>3</v>
      </c>
      <c r="K195" s="172">
        <f t="shared" si="50"/>
        <v>3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3</v>
      </c>
      <c r="W195" s="172">
        <f t="shared" si="50"/>
        <v>3</v>
      </c>
      <c r="X195" s="172">
        <f t="shared" si="50"/>
        <v>3</v>
      </c>
      <c r="Y195" s="172">
        <f t="shared" si="50"/>
        <v>3</v>
      </c>
      <c r="Z195" s="172">
        <f t="shared" si="50"/>
        <v>3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6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7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6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7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6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7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6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7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4" activePane="bottomLeft" state="frozen"/>
      <selection activeCell="J83" sqref="J83"/>
      <selection pane="bottomLeft" activeCell="B17" sqref="B1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3" t="s">
        <v>2</v>
      </c>
      <c r="H1" s="293"/>
      <c r="I1" s="293" t="s">
        <v>0</v>
      </c>
      <c r="J1" s="293"/>
      <c r="K1" s="293" t="s">
        <v>1</v>
      </c>
      <c r="L1" s="293"/>
      <c r="M1" s="293" t="s">
        <v>3</v>
      </c>
      <c r="N1" s="293"/>
      <c r="O1" s="293" t="s">
        <v>4</v>
      </c>
      <c r="P1" s="293"/>
      <c r="Q1" s="293" t="s">
        <v>5</v>
      </c>
      <c r="R1" s="293"/>
      <c r="S1" s="293" t="s">
        <v>6</v>
      </c>
      <c r="T1" s="293"/>
      <c r="U1" s="293" t="s">
        <v>7</v>
      </c>
      <c r="V1" s="293"/>
      <c r="W1" s="293" t="s">
        <v>8</v>
      </c>
      <c r="X1" s="293"/>
      <c r="Y1" s="293" t="s">
        <v>9</v>
      </c>
      <c r="Z1" s="293"/>
      <c r="AA1" s="293" t="s">
        <v>10</v>
      </c>
      <c r="AB1" s="293"/>
      <c r="AC1" s="293" t="s">
        <v>11</v>
      </c>
      <c r="AD1" s="293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504</v>
      </c>
      <c r="G5" s="172">
        <f>AV117</f>
        <v>14</v>
      </c>
      <c r="H5" s="172">
        <f t="shared" ref="H5:AD5" si="0">AW117</f>
        <v>14</v>
      </c>
      <c r="I5" s="172">
        <f t="shared" si="0"/>
        <v>14</v>
      </c>
      <c r="J5" s="172">
        <f t="shared" si="0"/>
        <v>14</v>
      </c>
      <c r="K5" s="172">
        <f t="shared" si="0"/>
        <v>14</v>
      </c>
      <c r="L5" s="172">
        <f t="shared" si="0"/>
        <v>42</v>
      </c>
      <c r="M5" s="172">
        <f t="shared" si="0"/>
        <v>42</v>
      </c>
      <c r="N5" s="172">
        <f t="shared" si="0"/>
        <v>42</v>
      </c>
      <c r="O5" s="172">
        <f t="shared" si="0"/>
        <v>42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28</v>
      </c>
      <c r="AA5" s="172">
        <f t="shared" si="0"/>
        <v>14</v>
      </c>
      <c r="AB5" s="172">
        <f t="shared" si="0"/>
        <v>14</v>
      </c>
      <c r="AC5" s="172">
        <f t="shared" si="0"/>
        <v>14</v>
      </c>
      <c r="AD5" s="172">
        <f t="shared" si="0"/>
        <v>14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134.4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8.75</v>
      </c>
      <c r="R6" s="172">
        <f t="shared" si="2"/>
        <v>8.75</v>
      </c>
      <c r="S6" s="172">
        <f t="shared" si="2"/>
        <v>8.75</v>
      </c>
      <c r="T6" s="172">
        <f t="shared" si="2"/>
        <v>8.75</v>
      </c>
      <c r="U6" s="172">
        <f t="shared" si="2"/>
        <v>8.75</v>
      </c>
      <c r="V6" s="172">
        <f t="shared" si="2"/>
        <v>8.75</v>
      </c>
      <c r="W6" s="172">
        <f t="shared" si="2"/>
        <v>8.75</v>
      </c>
      <c r="X6" s="172">
        <f t="shared" si="2"/>
        <v>8.75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2090.8500869565219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107.72269565217391</v>
      </c>
      <c r="J13" s="30">
        <f t="shared" si="8"/>
        <v>107.67643478260869</v>
      </c>
      <c r="K13" s="30">
        <f t="shared" si="8"/>
        <v>107.63017391304348</v>
      </c>
      <c r="L13" s="30">
        <f t="shared" si="8"/>
        <v>114.58391304347826</v>
      </c>
      <c r="M13" s="30">
        <f t="shared" si="8"/>
        <v>98.787652173913045</v>
      </c>
      <c r="N13" s="30">
        <f t="shared" si="8"/>
        <v>98.741391304347829</v>
      </c>
      <c r="O13" s="30">
        <f t="shared" si="8"/>
        <v>119.6488695652174</v>
      </c>
      <c r="P13" s="30">
        <f t="shared" si="8"/>
        <v>105.83391304347826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98.833913043478262</v>
      </c>
      <c r="Z13" s="30">
        <f t="shared" si="8"/>
        <v>97.261043478260873</v>
      </c>
      <c r="AA13" s="30">
        <f t="shared" si="8"/>
        <v>111.26104347826087</v>
      </c>
      <c r="AB13" s="30">
        <f t="shared" si="8"/>
        <v>113.15773913043478</v>
      </c>
      <c r="AC13" s="30">
        <f t="shared" si="8"/>
        <v>107.90773913043478</v>
      </c>
      <c r="AD13" s="30">
        <f t="shared" si="8"/>
        <v>107.90773913043478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1</v>
      </c>
      <c r="C16" s="189">
        <f>VALUE(LEFT(Scénario!K57,1))</f>
        <v>3</v>
      </c>
      <c r="D16" s="189">
        <f>IF(B16&gt;0,VLOOKUP(C16,[1]Trav!$A$86:$D$90,4),0)</f>
        <v>42</v>
      </c>
      <c r="E16" s="189">
        <f>Scénario!K54*2</f>
        <v>6</v>
      </c>
      <c r="F16" s="172">
        <f>IF(B16&gt;0,D16*E16/B16,0)</f>
        <v>252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8</v>
      </c>
      <c r="F17" s="172">
        <f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ref="F18" si="15">IF(B18&gt;0,D18*E18/B18,0)</f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faible</v>
      </c>
      <c r="AV27" s="172">
        <f t="shared" si="17"/>
        <v>1</v>
      </c>
      <c r="AW27" s="172">
        <f t="shared" si="17"/>
        <v>1</v>
      </c>
      <c r="AX27" s="172">
        <f t="shared" si="17"/>
        <v>1</v>
      </c>
      <c r="AY27" s="172">
        <f t="shared" si="17"/>
        <v>1</v>
      </c>
      <c r="AZ27" s="172">
        <f t="shared" si="17"/>
        <v>1</v>
      </c>
      <c r="BA27" s="172">
        <f t="shared" si="17"/>
        <v>1</v>
      </c>
      <c r="BB27" s="172">
        <f t="shared" si="17"/>
        <v>1</v>
      </c>
      <c r="BC27" s="172">
        <f t="shared" si="17"/>
        <v>1</v>
      </c>
      <c r="BD27" s="172">
        <f t="shared" si="17"/>
        <v>1</v>
      </c>
      <c r="BE27" s="172">
        <f t="shared" si="17"/>
        <v>1</v>
      </c>
      <c r="BF27" s="172">
        <f t="shared" si="17"/>
        <v>1</v>
      </c>
      <c r="BG27" s="172">
        <f t="shared" si="17"/>
        <v>1</v>
      </c>
      <c r="BH27" s="172">
        <f t="shared" si="17"/>
        <v>1</v>
      </c>
      <c r="BI27" s="172">
        <f t="shared" si="17"/>
        <v>1</v>
      </c>
      <c r="BJ27" s="172">
        <f t="shared" si="17"/>
        <v>1</v>
      </c>
      <c r="BK27" s="172">
        <f t="shared" si="17"/>
        <v>1</v>
      </c>
      <c r="BL27" s="172">
        <f t="shared" si="18"/>
        <v>1</v>
      </c>
      <c r="BM27" s="172">
        <f t="shared" si="18"/>
        <v>1</v>
      </c>
      <c r="BN27" s="172">
        <f t="shared" si="18"/>
        <v>1</v>
      </c>
      <c r="BO27" s="172">
        <f t="shared" si="18"/>
        <v>1</v>
      </c>
      <c r="BP27" s="172">
        <f t="shared" si="18"/>
        <v>1</v>
      </c>
      <c r="BQ27" s="172">
        <f t="shared" si="18"/>
        <v>1</v>
      </c>
      <c r="BR27" s="172">
        <f t="shared" si="18"/>
        <v>1</v>
      </c>
      <c r="BS27" s="172">
        <f t="shared" si="18"/>
        <v>1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faible</v>
      </c>
      <c r="AV29" s="172">
        <f t="shared" si="17"/>
        <v>1</v>
      </c>
      <c r="AW29" s="172">
        <f t="shared" si="17"/>
        <v>1</v>
      </c>
      <c r="AX29" s="172">
        <f t="shared" si="17"/>
        <v>1</v>
      </c>
      <c r="AY29" s="172">
        <f t="shared" si="17"/>
        <v>1</v>
      </c>
      <c r="AZ29" s="172">
        <f t="shared" si="17"/>
        <v>1</v>
      </c>
      <c r="BA29" s="172">
        <f t="shared" si="17"/>
        <v>1</v>
      </c>
      <c r="BB29" s="172">
        <f t="shared" si="17"/>
        <v>1</v>
      </c>
      <c r="BC29" s="172">
        <f t="shared" si="17"/>
        <v>1</v>
      </c>
      <c r="BD29" s="172">
        <f t="shared" si="17"/>
        <v>1</v>
      </c>
      <c r="BE29" s="172">
        <f t="shared" si="17"/>
        <v>1</v>
      </c>
      <c r="BF29" s="172">
        <f t="shared" si="17"/>
        <v>1</v>
      </c>
      <c r="BG29" s="172">
        <f t="shared" si="17"/>
        <v>1</v>
      </c>
      <c r="BH29" s="172">
        <f t="shared" si="17"/>
        <v>1</v>
      </c>
      <c r="BI29" s="172">
        <f t="shared" si="17"/>
        <v>1</v>
      </c>
      <c r="BJ29" s="172">
        <f t="shared" si="17"/>
        <v>1</v>
      </c>
      <c r="BK29" s="172">
        <f t="shared" si="17"/>
        <v>1</v>
      </c>
      <c r="BL29" s="172">
        <f t="shared" si="18"/>
        <v>1</v>
      </c>
      <c r="BM29" s="172">
        <f t="shared" si="18"/>
        <v>1</v>
      </c>
      <c r="BN29" s="172">
        <f t="shared" si="18"/>
        <v>1</v>
      </c>
      <c r="BO29" s="172">
        <f t="shared" si="18"/>
        <v>1</v>
      </c>
      <c r="BP29" s="172">
        <f t="shared" si="18"/>
        <v>1</v>
      </c>
      <c r="BQ29" s="172">
        <f t="shared" si="18"/>
        <v>1</v>
      </c>
      <c r="BR29" s="172">
        <f t="shared" si="18"/>
        <v>1</v>
      </c>
      <c r="BS29" s="172">
        <f t="shared" si="18"/>
        <v>1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1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0</v>
      </c>
      <c r="BP39" s="172">
        <f>IF(CdTrp1!V54=1,3,IF(CdTrp1!V54=0.5,2,IF(CdTrp1!V54=0,1,0)))</f>
        <v>0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1</v>
      </c>
      <c r="AW40" s="172">
        <f>IF(CdTrp1!C55=1,3,IF(CdTrp1!C55=0.5,2,IF(CdTrp1!C55=0,1,0)))</f>
        <v>1</v>
      </c>
      <c r="AX40" s="172">
        <f>IF(CdTrp1!D55=1,3,IF(CdTrp1!D55=0.5,2,IF(CdTrp1!D55=0,1,0)))</f>
        <v>1</v>
      </c>
      <c r="AY40" s="172">
        <f>IF(CdTrp1!E55=1,3,IF(CdTrp1!E55=0.5,2,IF(CdTrp1!E55=0,1,0)))</f>
        <v>1</v>
      </c>
      <c r="AZ40" s="172">
        <f>IF(CdTrp1!F55=1,3,IF(CdTrp1!F55=0.5,2,IF(CdTrp1!F55=0,1,0)))</f>
        <v>1</v>
      </c>
      <c r="BA40" s="172">
        <f>IF(CdTrp1!G55=1,3,IF(CdTrp1!G55=0.5,2,IF(CdTrp1!G55=0,1,0)))</f>
        <v>1</v>
      </c>
      <c r="BB40" s="172">
        <f>IF(CdTrp1!H55=1,3,IF(CdTrp1!H55=0.5,2,IF(CdTrp1!H55=0,1,0)))</f>
        <v>1</v>
      </c>
      <c r="BC40" s="172">
        <f>IF(CdTrp1!I55=1,3,IF(CdTrp1!I55=0.5,2,IF(CdTrp1!I55=0,1,0)))</f>
        <v>1</v>
      </c>
      <c r="BD40" s="172">
        <f>IF(CdTrp1!J55=1,3,IF(CdTrp1!J55=0.5,2,IF(CdTrp1!J55=0,1,0)))</f>
        <v>1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1</v>
      </c>
      <c r="BP40" s="172">
        <f>IF(CdTrp1!V55=1,3,IF(CdTrp1!V55=0.5,2,IF(CdTrp1!V55=0,1,0)))</f>
        <v>1</v>
      </c>
      <c r="BQ40" s="172">
        <f>IF(CdTrp1!W55=1,3,IF(CdTrp1!W55=0.5,2,IF(CdTrp1!W55=0,1,0)))</f>
        <v>1</v>
      </c>
      <c r="BR40" s="172">
        <f>IF(CdTrp1!X55=1,3,IF(CdTrp1!X55=0.5,2,IF(CdTrp1!X55=0,1,0)))</f>
        <v>1</v>
      </c>
      <c r="BS40" s="172">
        <f>IF(CdTrp1!Y55=1,3,IF(CdTrp1!Y55=0.5,2,IF(CdTrp1!Y55=0,1,0)))</f>
        <v>1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19.98</v>
      </c>
      <c r="C55" s="189">
        <f>IF(B55&gt;[1]Trav!E121,[1]Trav!C121,[1]Trav!B121)</f>
        <v>7.2</v>
      </c>
      <c r="D55"/>
      <c r="E55" s="171"/>
      <c r="F55" s="172">
        <f t="shared" si="32"/>
        <v>144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12.100000000000001</v>
      </c>
      <c r="C56" s="189">
        <f>IF(B56&gt;[1]Trav!E121,[1]Trav!C121,[1]Trav!B121)</f>
        <v>7.2</v>
      </c>
      <c r="D56"/>
      <c r="E56" s="171"/>
      <c r="F56" s="172">
        <f t="shared" si="32"/>
        <v>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2.2199999999999989</v>
      </c>
      <c r="C58" s="189">
        <f>IF(B58&gt;[1]Trav!E122,[1]Trav!C122,[1]Trav!B122)</f>
        <v>4.4000000000000004</v>
      </c>
      <c r="E58" s="171"/>
      <c r="F58" s="172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210</v>
      </c>
      <c r="CM60" s="172">
        <f>IF(CM15=0,0,IF(CM37=3,0,VALUE(CONCATENATE(Travail!CM26,Travail!CM37,Travail!CM48))))</f>
        <v>210</v>
      </c>
      <c r="CN60" s="172">
        <f>IF(CN15=0,0,IF(CN37=3,0,VALUE(CONCATENATE(Travail!CN26,Travail!CN37,Travail!CN48))))</f>
        <v>210</v>
      </c>
      <c r="CO60" s="172">
        <f>IF(CO15=0,0,IF(CO37=3,0,VALUE(CONCATENATE(Travail!CO26,Travail!CO37,Travail!CO48))))</f>
        <v>210</v>
      </c>
      <c r="CP60" s="172">
        <f>IF(CP15=0,0,IF(CP37=3,0,VALUE(CONCATENATE(Travail!CP26,Travail!CP37,Travail!CP48))))</f>
        <v>210</v>
      </c>
      <c r="CQ60" s="172">
        <f>IF(CQ15=0,0,IF(CQ37=3,0,VALUE(CONCATENATE(Travail!CQ26,Travail!CQ37,Travail!CQ48))))</f>
        <v>210</v>
      </c>
      <c r="CR60" s="172">
        <f>IF(CR15=0,0,IF(CR37=3,0,VALUE(CONCATENATE(Travail!CR26,Travail!CR37,Travail!CR48))))</f>
        <v>210</v>
      </c>
      <c r="CS60" s="172">
        <f>IF(CS15=0,0,IF(CS37=3,0,VALUE(CONCATENATE(Travail!CS26,Travail!CS37,Travail!CS48))))</f>
        <v>210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112</v>
      </c>
      <c r="AW61" s="172">
        <f>IF(AW16=0,0,IF(AW38=3,0,VALUE(CONCATENATE(Travail!AW27,Travail!AW38,Travail!AW49))))</f>
        <v>112</v>
      </c>
      <c r="AX61" s="172">
        <f>IF(AX16=0,0,IF(AX38=3,0,VALUE(CONCATENATE(Travail!AX27,Travail!AX38,Travail!AX49))))</f>
        <v>112</v>
      </c>
      <c r="AY61" s="172">
        <f>IF(AY16=0,0,IF(AY38=3,0,VALUE(CONCATENATE(Travail!AY27,Travail!AY38,Travail!AY49))))</f>
        <v>112</v>
      </c>
      <c r="AZ61" s="172">
        <f>IF(AZ16=0,0,IF(AZ38=3,0,VALUE(CONCATENATE(Travail!AZ27,Travail!AZ38,Travail!AZ49))))</f>
        <v>112</v>
      </c>
      <c r="BA61" s="172">
        <f>IF(BA16=0,0,IF(BA38=3,0,VALUE(CONCATENATE(Travail!BA27,Travail!BA38,Travail!BA49))))</f>
        <v>112</v>
      </c>
      <c r="BB61" s="172">
        <f>IF(BB16=0,0,IF(BB38=3,0,VALUE(CONCATENATE(Travail!BB27,Travail!BB38,Travail!BB49))))</f>
        <v>112</v>
      </c>
      <c r="BC61" s="172">
        <f>IF(BC16=0,0,IF(BC38=3,0,VALUE(CONCATENATE(Travail!BC27,Travail!BC38,Travail!BC49))))</f>
        <v>112</v>
      </c>
      <c r="BD61" s="172">
        <f>IF(BD16=0,0,IF(BD38=3,0,VALUE(CONCATENATE(Travail!BD27,Travail!BD38,Travail!BD49))))</f>
        <v>112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112</v>
      </c>
      <c r="BP61" s="172">
        <f>IF(BP16=0,0,IF(BP38=3,0,VALUE(CONCATENATE(Travail!BP27,Travail!BP38,Travail!BP49))))</f>
        <v>112</v>
      </c>
      <c r="BQ61" s="172">
        <f>IF(BQ16=0,0,IF(BQ38=3,0,VALUE(CONCATENATE(Travail!BQ27,Travail!BQ38,Travail!BQ49))))</f>
        <v>112</v>
      </c>
      <c r="BR61" s="172">
        <f>IF(BR16=0,0,IF(BR38=3,0,VALUE(CONCATENATE(Travail!BR27,Travail!BR38,Travail!BR49))))</f>
        <v>112</v>
      </c>
      <c r="BS61" s="172">
        <f>IF(BS16=0,0,IF(BS38=3,0,VALUE(CONCATENATE(Travail!BS27,Travail!BS38,Travail!BS49))))</f>
        <v>112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112</v>
      </c>
      <c r="AW63" s="172">
        <f>IF(AW18=0,0,IF(AW40=3,0,VALUE(CONCATENATE(Travail!AW29,Travail!AW40,Travail!AW51))))</f>
        <v>112</v>
      </c>
      <c r="AX63" s="172">
        <f>IF(AX18=0,0,IF(AX40=3,0,VALUE(CONCATENATE(Travail!AX29,Travail!AX40,Travail!AX51))))</f>
        <v>112</v>
      </c>
      <c r="AY63" s="172">
        <f>IF(AY18=0,0,IF(AY40=3,0,VALUE(CONCATENATE(Travail!AY29,Travail!AY40,Travail!AY51))))</f>
        <v>112</v>
      </c>
      <c r="AZ63" s="172">
        <f>IF(AZ18=0,0,IF(AZ40=3,0,VALUE(CONCATENATE(Travail!AZ29,Travail!AZ40,Travail!AZ51))))</f>
        <v>112</v>
      </c>
      <c r="BA63" s="172">
        <f>IF(BA18=0,0,IF(BA40=3,0,VALUE(CONCATENATE(Travail!BA29,Travail!BA40,Travail!BA51))))</f>
        <v>112</v>
      </c>
      <c r="BB63" s="172">
        <f>IF(BB18=0,0,IF(BB40=3,0,VALUE(CONCATENATE(Travail!BB29,Travail!BB40,Travail!BB51))))</f>
        <v>112</v>
      </c>
      <c r="BC63" s="172">
        <f>IF(BC18=0,0,IF(BC40=3,0,VALUE(CONCATENATE(Travail!BC29,Travail!BC40,Travail!BC51))))</f>
        <v>112</v>
      </c>
      <c r="BD63" s="172">
        <f>IF(BD18=0,0,IF(BD40=3,0,VALUE(CONCATENATE(Travail!BD29,Travail!BD40,Travail!BD51))))</f>
        <v>112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112</v>
      </c>
      <c r="BP63" s="172">
        <f>IF(BP18=0,0,IF(BP40=3,0,VALUE(CONCATENATE(Travail!BP29,Travail!BP40,Travail!BP51))))</f>
        <v>112</v>
      </c>
      <c r="BQ63" s="172">
        <f>IF(BQ18=0,0,IF(BQ40=3,0,VALUE(CONCATENATE(Travail!BQ29,Travail!BQ40,Travail!BQ51))))</f>
        <v>112</v>
      </c>
      <c r="BR63" s="172">
        <f>IF(BR18=0,0,IF(BR40=3,0,VALUE(CONCATENATE(Travail!BR29,Travail!BR40,Travail!BR51))))</f>
        <v>112</v>
      </c>
      <c r="BS63" s="172">
        <f>IF(BS18=0,0,IF(BS40=3,0,VALUE(CONCATENATE(Travail!BS29,Travail!BS40,Travail!BS51))))</f>
        <v>112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11</v>
      </c>
      <c r="AW72" s="172">
        <f t="shared" si="36"/>
        <v>11</v>
      </c>
      <c r="AX72" s="172">
        <f t="shared" si="36"/>
        <v>11</v>
      </c>
      <c r="AY72" s="172">
        <f t="shared" si="36"/>
        <v>11</v>
      </c>
      <c r="AZ72" s="172">
        <f t="shared" si="36"/>
        <v>11</v>
      </c>
      <c r="BA72" s="172">
        <f t="shared" si="36"/>
        <v>11</v>
      </c>
      <c r="BB72" s="172">
        <f t="shared" si="36"/>
        <v>11</v>
      </c>
      <c r="BC72" s="172">
        <f t="shared" si="36"/>
        <v>11</v>
      </c>
      <c r="BD72" s="172">
        <f t="shared" si="36"/>
        <v>11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11</v>
      </c>
      <c r="BP72" s="172">
        <f t="shared" si="36"/>
        <v>11</v>
      </c>
      <c r="BQ72" s="172">
        <f t="shared" si="36"/>
        <v>11</v>
      </c>
      <c r="BR72" s="172">
        <f t="shared" si="36"/>
        <v>11</v>
      </c>
      <c r="BS72" s="172">
        <f t="shared" si="36"/>
        <v>11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11</v>
      </c>
      <c r="AW74" s="172">
        <f t="shared" si="36"/>
        <v>11</v>
      </c>
      <c r="AX74" s="172">
        <f t="shared" si="36"/>
        <v>11</v>
      </c>
      <c r="AY74" s="172">
        <f t="shared" si="36"/>
        <v>11</v>
      </c>
      <c r="AZ74" s="172">
        <f t="shared" si="36"/>
        <v>11</v>
      </c>
      <c r="BA74" s="172">
        <f t="shared" si="36"/>
        <v>11</v>
      </c>
      <c r="BB74" s="172">
        <f t="shared" si="36"/>
        <v>11</v>
      </c>
      <c r="BC74" s="172">
        <f t="shared" si="36"/>
        <v>11</v>
      </c>
      <c r="BD74" s="172">
        <f t="shared" si="36"/>
        <v>11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11</v>
      </c>
      <c r="BP74" s="172">
        <f t="shared" si="36"/>
        <v>11</v>
      </c>
      <c r="BQ74" s="172">
        <f t="shared" si="36"/>
        <v>11</v>
      </c>
      <c r="BR74" s="172">
        <f t="shared" si="36"/>
        <v>11</v>
      </c>
      <c r="BS74" s="172">
        <f t="shared" si="36"/>
        <v>11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0</v>
      </c>
      <c r="G75" s="197">
        <f>IF(Protection!C195=0,0,[1]Protect!$B$9*Protection!C195*14)</f>
        <v>10.5</v>
      </c>
      <c r="H75" s="197">
        <f>IF(Protection!D195=0,0,[1]Protect!$B$9*Protection!D195*14)</f>
        <v>10.5</v>
      </c>
      <c r="I75" s="197">
        <f>IF(Protection!E195=0,0,[1]Protect!$B$9*Protection!E195*14)</f>
        <v>10.5</v>
      </c>
      <c r="J75" s="197">
        <f>IF(Protection!F195=0,0,[1]Protect!$B$9*Protection!F195*14)</f>
        <v>10.5</v>
      </c>
      <c r="K75" s="197">
        <f>IF(Protection!G195=0,0,[1]Protect!$B$9*Protection!G195*14)</f>
        <v>10.5</v>
      </c>
      <c r="L75" s="197">
        <f>IF(Protection!H195=0,0,[1]Protect!$B$9*Protection!H195*14)</f>
        <v>10.5</v>
      </c>
      <c r="M75" s="197">
        <f>IF(Protection!I195=0,0,[1]Protect!$B$9*Protection!I195*14)</f>
        <v>10.5</v>
      </c>
      <c r="N75" s="197">
        <f>IF(Protection!J195=0,0,[1]Protect!$B$9*Protection!J195*14)</f>
        <v>10.5</v>
      </c>
      <c r="O75" s="197">
        <f>IF(Protection!K195=0,0,[1]Protect!$B$9*Protection!K195*14)</f>
        <v>10.5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10.5</v>
      </c>
      <c r="AA75" s="197">
        <f>IF(Protection!W195=0,0,[1]Protect!$B$9*Protection!W195*14)</f>
        <v>10.5</v>
      </c>
      <c r="AB75" s="197">
        <f>IF(Protection!X195=0,0,[1]Protect!$B$9*Protection!X195*14)</f>
        <v>10.5</v>
      </c>
      <c r="AC75" s="197">
        <f>IF(Protection!Y195=0,0,[1]Protect!$B$9*Protection!Y195*14)</f>
        <v>10.5</v>
      </c>
      <c r="AD75" s="197">
        <f>IF(Protection!Z195=0,0,[1]Protect!$B$9*Protection!Z195*14)</f>
        <v>10.5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0</v>
      </c>
      <c r="G77" s="45">
        <f t="shared" ref="G77:AD77" si="43">+SUM(G69:G76)</f>
        <v>10.5</v>
      </c>
      <c r="H77" s="45">
        <f t="shared" si="43"/>
        <v>10.5</v>
      </c>
      <c r="I77" s="45">
        <f t="shared" si="43"/>
        <v>10.5</v>
      </c>
      <c r="J77" s="45">
        <f t="shared" si="43"/>
        <v>10.5</v>
      </c>
      <c r="K77" s="45">
        <f t="shared" si="43"/>
        <v>10.5</v>
      </c>
      <c r="L77" s="45">
        <f t="shared" si="43"/>
        <v>10.5</v>
      </c>
      <c r="M77" s="45">
        <f t="shared" si="43"/>
        <v>10.5</v>
      </c>
      <c r="N77" s="45">
        <f t="shared" si="43"/>
        <v>10.5</v>
      </c>
      <c r="O77" s="45">
        <f t="shared" si="43"/>
        <v>10.5</v>
      </c>
      <c r="P77" s="45">
        <f t="shared" si="43"/>
        <v>3.5</v>
      </c>
      <c r="Q77" s="45">
        <f t="shared" si="43"/>
        <v>3.5</v>
      </c>
      <c r="R77" s="45">
        <f t="shared" si="43"/>
        <v>7</v>
      </c>
      <c r="S77" s="45">
        <f t="shared" si="43"/>
        <v>7</v>
      </c>
      <c r="T77" s="45">
        <f t="shared" si="43"/>
        <v>7</v>
      </c>
      <c r="U77" s="45">
        <f t="shared" si="43"/>
        <v>7</v>
      </c>
      <c r="V77" s="45">
        <f t="shared" si="43"/>
        <v>7</v>
      </c>
      <c r="W77" s="45">
        <f t="shared" si="43"/>
        <v>7</v>
      </c>
      <c r="X77" s="45">
        <f t="shared" si="43"/>
        <v>7</v>
      </c>
      <c r="Y77" s="45">
        <f t="shared" si="43"/>
        <v>3.5</v>
      </c>
      <c r="Z77" s="45">
        <f t="shared" si="43"/>
        <v>10.5</v>
      </c>
      <c r="AA77" s="45">
        <f t="shared" si="43"/>
        <v>10.5</v>
      </c>
      <c r="AB77" s="45">
        <f t="shared" si="43"/>
        <v>10.5</v>
      </c>
      <c r="AC77" s="45">
        <f t="shared" si="43"/>
        <v>10.5</v>
      </c>
      <c r="AD77" s="45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</v>
      </c>
      <c r="C81" s="189">
        <f>[1]Protect!$B$10</f>
        <v>4</v>
      </c>
      <c r="D81" s="171"/>
      <c r="E81" s="171"/>
      <c r="F81" s="172">
        <f>ROUND(C81*B81*8,0)</f>
        <v>0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0</v>
      </c>
      <c r="C83" s="189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1</v>
      </c>
      <c r="AZ83" s="172">
        <f t="shared" si="50"/>
        <v>1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1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1362.8500869565219</v>
      </c>
      <c r="C91" s="5"/>
      <c r="D91" s="201">
        <f>B91/Troupeau!$B$17</f>
        <v>4.4830594965675061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638.4</v>
      </c>
      <c r="C92" s="5"/>
      <c r="D92" s="201">
        <f>IF(B92=0,0,B92/Troupeau!$C$17)</f>
        <v>27.756521739130434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0</v>
      </c>
      <c r="AW93" s="172">
        <f t="shared" si="60"/>
        <v>0</v>
      </c>
      <c r="AX93" s="172">
        <f t="shared" si="60"/>
        <v>0</v>
      </c>
      <c r="AY93" s="172">
        <f t="shared" si="60"/>
        <v>0</v>
      </c>
      <c r="AZ93" s="172">
        <f t="shared" si="60"/>
        <v>0</v>
      </c>
      <c r="BA93" s="172">
        <f t="shared" si="60"/>
        <v>0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0</v>
      </c>
      <c r="BS93" s="172">
        <f t="shared" si="60"/>
        <v>0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2001.250086956522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252</v>
      </c>
      <c r="C95" s="5"/>
      <c r="D95" s="201">
        <f>B95/Troupeau!$B$17</f>
        <v>0.82894736842105265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252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333.07826086956521</v>
      </c>
      <c r="AW99" s="61">
        <f t="shared" ref="AW99:BS99" si="68">SUM(AW90:AW98)</f>
        <v>330.43478260869568</v>
      </c>
      <c r="AX99" s="61">
        <f t="shared" si="68"/>
        <v>327.7913043478261</v>
      </c>
      <c r="AY99" s="61">
        <f t="shared" si="68"/>
        <v>326.46956521739133</v>
      </c>
      <c r="AZ99" s="61">
        <f t="shared" si="68"/>
        <v>325.14782608695651</v>
      </c>
      <c r="BA99" s="61">
        <f t="shared" si="68"/>
        <v>323.82608695652175</v>
      </c>
      <c r="BB99" s="61">
        <f t="shared" si="68"/>
        <v>322.50434782608698</v>
      </c>
      <c r="BC99" s="61">
        <f t="shared" si="68"/>
        <v>321.18260869565216</v>
      </c>
      <c r="BD99" s="61">
        <f t="shared" si="68"/>
        <v>318.53913043478263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278.88695652173914</v>
      </c>
      <c r="BP99" s="61">
        <f t="shared" si="68"/>
        <v>278.88695652173914</v>
      </c>
      <c r="BQ99" s="61">
        <f t="shared" si="68"/>
        <v>333.07826086956521</v>
      </c>
      <c r="BR99" s="61">
        <f t="shared" si="68"/>
        <v>333.07826086956521</v>
      </c>
      <c r="BS99" s="61">
        <f t="shared" si="68"/>
        <v>333.07826086956521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6.6615652173913045</v>
      </c>
      <c r="AW100" s="172">
        <f t="shared" ref="AW100:BS100" si="71">IF($AT$2="OL",AW99/50,AW99/10)</f>
        <v>6.608695652173914</v>
      </c>
      <c r="AX100" s="172">
        <f t="shared" si="71"/>
        <v>6.5558260869565217</v>
      </c>
      <c r="AY100" s="172">
        <f t="shared" si="71"/>
        <v>6.5293913043478264</v>
      </c>
      <c r="AZ100" s="172">
        <f t="shared" si="71"/>
        <v>6.5029565217391303</v>
      </c>
      <c r="BA100" s="172">
        <f t="shared" si="71"/>
        <v>6.4765217391304351</v>
      </c>
      <c r="BB100" s="172">
        <f t="shared" si="71"/>
        <v>6.4500869565217398</v>
      </c>
      <c r="BC100" s="172">
        <f t="shared" si="71"/>
        <v>6.4236521739130437</v>
      </c>
      <c r="BD100" s="172">
        <f t="shared" si="71"/>
        <v>6.3707826086956523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5.5777391304347823</v>
      </c>
      <c r="BP100" s="172">
        <f t="shared" si="71"/>
        <v>5.5777391304347823</v>
      </c>
      <c r="BQ100" s="172">
        <f t="shared" si="71"/>
        <v>6.6615652173913045</v>
      </c>
      <c r="BR100" s="172">
        <f t="shared" si="71"/>
        <v>6.6615652173913045</v>
      </c>
      <c r="BS100" s="172">
        <f t="shared" si="71"/>
        <v>6.6615652173913045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5.6615652173913045</v>
      </c>
      <c r="AW101" s="172">
        <f t="shared" ref="AW101:BS101" si="74">IF(AW100&gt;1,AW100-1,0)</f>
        <v>5.608695652173914</v>
      </c>
      <c r="AX101" s="172">
        <f t="shared" si="74"/>
        <v>5.5558260869565217</v>
      </c>
      <c r="AY101" s="172">
        <f t="shared" si="74"/>
        <v>5.5293913043478264</v>
      </c>
      <c r="AZ101" s="172">
        <f t="shared" si="74"/>
        <v>5.5029565217391303</v>
      </c>
      <c r="BA101" s="172">
        <f t="shared" si="74"/>
        <v>5.4765217391304351</v>
      </c>
      <c r="BB101" s="172">
        <f t="shared" si="74"/>
        <v>5.4500869565217398</v>
      </c>
      <c r="BC101" s="172">
        <f t="shared" si="74"/>
        <v>5.4236521739130437</v>
      </c>
      <c r="BD101" s="172">
        <f t="shared" si="74"/>
        <v>5.3707826086956523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4.5777391304347823</v>
      </c>
      <c r="BP101" s="172">
        <f t="shared" si="74"/>
        <v>4.5777391304347823</v>
      </c>
      <c r="BQ101" s="172">
        <f t="shared" si="74"/>
        <v>5.6615652173913045</v>
      </c>
      <c r="BR101" s="172">
        <f t="shared" si="74"/>
        <v>5.6615652173913045</v>
      </c>
      <c r="BS101" s="172">
        <f t="shared" si="74"/>
        <v>5.6615652173913045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51.907739130434784</v>
      </c>
      <c r="AW102" s="61">
        <f t="shared" ref="AW102:BS102" si="77">AW86+AW87*AW101</f>
        <v>51.815217391304351</v>
      </c>
      <c r="AX102" s="61">
        <f t="shared" si="77"/>
        <v>51.722695652173911</v>
      </c>
      <c r="AY102" s="61">
        <f t="shared" si="77"/>
        <v>51.676434782608695</v>
      </c>
      <c r="AZ102" s="61">
        <f t="shared" si="77"/>
        <v>51.630173913043478</v>
      </c>
      <c r="BA102" s="61">
        <f t="shared" si="77"/>
        <v>30.583913043478262</v>
      </c>
      <c r="BB102" s="61">
        <f t="shared" si="77"/>
        <v>30.537652173913045</v>
      </c>
      <c r="BC102" s="61">
        <f t="shared" si="77"/>
        <v>30.491391304347829</v>
      </c>
      <c r="BD102" s="61">
        <f t="shared" si="77"/>
        <v>30.398869565217392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29.01104347826087</v>
      </c>
      <c r="BP102" s="61">
        <f t="shared" si="77"/>
        <v>50.011043478260873</v>
      </c>
      <c r="BQ102" s="61">
        <f t="shared" si="77"/>
        <v>51.907739130434784</v>
      </c>
      <c r="BR102" s="61">
        <f t="shared" si="77"/>
        <v>51.907739130434784</v>
      </c>
      <c r="BS102" s="61">
        <f t="shared" si="77"/>
        <v>51.907739130434784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7</v>
      </c>
      <c r="AW107" s="189">
        <f>IF(AW61&gt;0,HLOOKUP(AW61,[1]Trav!$C$11:$O$31,$AU$105),0)</f>
        <v>7</v>
      </c>
      <c r="AX107" s="189">
        <f>IF(AX61&gt;0,HLOOKUP(AX61,[1]Trav!$C$11:$O$31,$AU$105),0)</f>
        <v>7</v>
      </c>
      <c r="AY107" s="189">
        <f>IF(AY61&gt;0,HLOOKUP(AY61,[1]Trav!$C$11:$O$31,$AU$105),0)</f>
        <v>7</v>
      </c>
      <c r="AZ107" s="189">
        <f>IF(AZ61&gt;0,HLOOKUP(AZ61,[1]Trav!$C$11:$O$31,$AU$105),0)</f>
        <v>7</v>
      </c>
      <c r="BA107" s="189">
        <f>IF(BA61&gt;0,HLOOKUP(BA61,[1]Trav!$C$11:$O$31,$AU$105),0)</f>
        <v>7</v>
      </c>
      <c r="BB107" s="189">
        <f>IF(BB61&gt;0,HLOOKUP(BB61,[1]Trav!$C$11:$O$31,$AU$105),0)</f>
        <v>7</v>
      </c>
      <c r="BC107" s="189">
        <f>IF(BC61&gt;0,HLOOKUP(BC61,[1]Trav!$C$11:$O$31,$AU$105),0)</f>
        <v>7</v>
      </c>
      <c r="BD107" s="189">
        <f>IF(BD61&gt;0,HLOOKUP(BD61,[1]Trav!$C$11:$O$31,$AU$105),0)</f>
        <v>7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7</v>
      </c>
      <c r="BP107" s="189">
        <f>IF(BP61&gt;0,HLOOKUP(BP61,[1]Trav!$C$11:$O$31,$AU$105),0)</f>
        <v>7</v>
      </c>
      <c r="BQ107" s="189">
        <f>IF(BQ61&gt;0,HLOOKUP(BQ61,[1]Trav!$C$11:$O$31,$AU$105),0)</f>
        <v>7</v>
      </c>
      <c r="BR107" s="189">
        <f>IF(BR61&gt;0,HLOOKUP(BR61,[1]Trav!$C$11:$O$31,$AU$105),0)</f>
        <v>7</v>
      </c>
      <c r="BS107" s="189">
        <f>IF(BS61&gt;0,HLOOKUP(BS61,[1]Trav!$C$11:$O$31,$AU$105),0)</f>
        <v>7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308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6"/>
      <c r="AT109" s="188" t="str">
        <f t="shared" si="80"/>
        <v>beliers</v>
      </c>
      <c r="AV109" s="189">
        <f>IF(AV63&gt;0,HLOOKUP(AV63,[1]Trav!$C$11:$O$31,$AU$105),0)</f>
        <v>7</v>
      </c>
      <c r="AW109" s="189">
        <f>IF(AW63&gt;0,HLOOKUP(AW63,[1]Trav!$C$11:$O$31,$AU$105),0)</f>
        <v>7</v>
      </c>
      <c r="AX109" s="189">
        <f>IF(AX63&gt;0,HLOOKUP(AX63,[1]Trav!$C$11:$O$31,$AU$105),0)</f>
        <v>7</v>
      </c>
      <c r="AY109" s="189">
        <f>IF(AY63&gt;0,HLOOKUP(AY63,[1]Trav!$C$11:$O$31,$AU$105),0)</f>
        <v>7</v>
      </c>
      <c r="AZ109" s="189">
        <f>IF(AZ63&gt;0,HLOOKUP(AZ63,[1]Trav!$C$11:$O$31,$AU$105),0)</f>
        <v>7</v>
      </c>
      <c r="BA109" s="189">
        <f>IF(BA63&gt;0,HLOOKUP(BA63,[1]Trav!$C$11:$O$31,$AU$105),0)</f>
        <v>7</v>
      </c>
      <c r="BB109" s="189">
        <f>IF(BB63&gt;0,HLOOKUP(BB63,[1]Trav!$C$11:$O$31,$AU$105),0)</f>
        <v>7</v>
      </c>
      <c r="BC109" s="189">
        <f>IF(BC63&gt;0,HLOOKUP(BC63,[1]Trav!$C$11:$O$31,$AU$105),0)</f>
        <v>7</v>
      </c>
      <c r="BD109" s="189">
        <f>IF(BD63&gt;0,HLOOKUP(BD63,[1]Trav!$C$11:$O$31,$AU$105),0)</f>
        <v>7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7</v>
      </c>
      <c r="BP109" s="189">
        <f>IF(BP63&gt;0,HLOOKUP(BP63,[1]Trav!$C$11:$O$31,$AU$105),0)</f>
        <v>7</v>
      </c>
      <c r="BQ109" s="189">
        <f>IF(BQ63&gt;0,HLOOKUP(BQ63,[1]Trav!$C$11:$O$31,$AU$105),0)</f>
        <v>7</v>
      </c>
      <c r="BR109" s="189">
        <f>IF(BR63&gt;0,HLOOKUP(BR63,[1]Trav!$C$11:$O$31,$AU$105),0)</f>
        <v>7</v>
      </c>
      <c r="BS109" s="189">
        <f>IF(BS63&gt;0,HLOOKUP(BS63,[1]Trav!$C$11:$O$31,$AU$105),0)</f>
        <v>7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14</v>
      </c>
      <c r="AW117" s="172">
        <f t="shared" ref="AW117:BS117" si="83">SUM(AW106:AW115)</f>
        <v>14</v>
      </c>
      <c r="AX117" s="172">
        <f t="shared" si="83"/>
        <v>14</v>
      </c>
      <c r="AY117" s="172">
        <f t="shared" si="83"/>
        <v>14</v>
      </c>
      <c r="AZ117" s="172">
        <f t="shared" si="83"/>
        <v>14</v>
      </c>
      <c r="BA117" s="172">
        <f t="shared" si="83"/>
        <v>42</v>
      </c>
      <c r="BB117" s="172">
        <f t="shared" si="83"/>
        <v>42</v>
      </c>
      <c r="BC117" s="172">
        <f t="shared" si="83"/>
        <v>42</v>
      </c>
      <c r="BD117" s="172">
        <f t="shared" si="83"/>
        <v>42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28</v>
      </c>
      <c r="BP117" s="172">
        <f t="shared" si="83"/>
        <v>14</v>
      </c>
      <c r="BQ117" s="172">
        <f t="shared" si="83"/>
        <v>14</v>
      </c>
      <c r="BR117" s="172">
        <f t="shared" si="83"/>
        <v>14</v>
      </c>
      <c r="BS117" s="172">
        <f t="shared" si="83"/>
        <v>14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8.75</v>
      </c>
      <c r="CM117" s="172">
        <f t="shared" si="84"/>
        <v>8.75</v>
      </c>
      <c r="CN117" s="172">
        <f t="shared" si="84"/>
        <v>8.75</v>
      </c>
      <c r="CO117" s="172">
        <f t="shared" si="84"/>
        <v>8.75</v>
      </c>
      <c r="CP117" s="172">
        <f t="shared" si="84"/>
        <v>8.75</v>
      </c>
      <c r="CQ117" s="172">
        <f t="shared" si="84"/>
        <v>8.75</v>
      </c>
      <c r="CR117" s="172">
        <f t="shared" si="84"/>
        <v>8.75</v>
      </c>
      <c r="CS117" s="172">
        <f t="shared" si="84"/>
        <v>8.75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2795.0134202898553</v>
      </c>
      <c r="D118" s="201">
        <f>B118/Troupeau!$B$17</f>
        <v>9.1941230930587352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740.4</v>
      </c>
      <c r="D119" s="201">
        <f>IF(B119=0,0,B119/Troupeau!$C$17)</f>
        <v>32.191304347826083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3535.4134202898554</v>
      </c>
    </row>
    <row r="123" spans="1:132" x14ac:dyDescent="0.25">
      <c r="A123" s="2" t="s">
        <v>856</v>
      </c>
      <c r="B123" s="30">
        <f>B108</f>
        <v>308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0">
        <f>SUM(B122:B126)</f>
        <v>4443.4134202898549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0">
        <f>ROUND((B128-B129)/(Scénario!K4+Scénario!K6),0)</f>
        <v>2962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abSelected="1" topLeftCell="A97" zoomScale="90" zoomScaleNormal="90" workbookViewId="0">
      <selection activeCell="J118" sqref="J11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109.58999999999999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109.58999999999999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109.58999999999999</v>
      </c>
      <c r="C42" s="214">
        <f>[1]Eco!$B$24</f>
        <v>97</v>
      </c>
      <c r="J42" s="172">
        <f>B42*C42</f>
        <v>10630.23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109.58999999999999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7342.5299999999988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79.429999999999993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109.58999999999999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109568.95999999999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64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169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79.429999999999993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69.868449999999996</v>
      </c>
      <c r="C118" s="189">
        <f>IF(Scénario!$K$12="BV",[1]Eco!$B$78,IF(Scénario!$K$12="BL",[1]Eco!$B$77,[1]Eco!$B$76))</f>
        <v>223</v>
      </c>
      <c r="J118" s="172">
        <f>B118*C118</f>
        <v>15580.664349999999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0.7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31.499999999999996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10.1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611.15099999999995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12.100000000000001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819.77500000000009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0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49215.99035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22.2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12.100000000000001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0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72">IF($T165&gt;0,$S165,0)</f>
        <v>1</v>
      </c>
      <c r="V165" s="172">
        <f t="shared" ref="V165:V207" si="73">IF($T165&gt;1,$S165,0)</f>
        <v>1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1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1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72"/>
        <v>3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3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0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24852.892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35500.077649999992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23667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24500.077649999992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16333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22.2</v>
      </c>
      <c r="V228" s="61">
        <f t="shared" ref="V228:W228" si="84">SUM(V164:V227)</f>
        <v>12.100000000000001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0.7</v>
      </c>
      <c r="AI228" s="61">
        <f t="shared" si="86"/>
        <v>10.1</v>
      </c>
      <c r="AJ228" s="61">
        <f t="shared" si="86"/>
        <v>12.100000000000001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2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1116</v>
      </c>
      <c r="T247" s="30">
        <f>Travail!F16/8</f>
        <v>31.5</v>
      </c>
      <c r="W247" s="172">
        <f>[1]Eco!$B$111</f>
        <v>28.3</v>
      </c>
      <c r="X247" s="172">
        <f>T247*W247</f>
        <v>891.45</v>
      </c>
    </row>
    <row r="248" spans="17:31" x14ac:dyDescent="0.25">
      <c r="W248" s="14" t="s">
        <v>1117</v>
      </c>
      <c r="X248" s="172">
        <f>SUM(X245:X247)</f>
        <v>891.45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9030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233.33333333333334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2">
        <f>IF(T257=0,0,[1]Protect!$B77)</f>
        <v>12500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2">
        <f>IF(T258=0,0,[1]Protect!$B78)</f>
        <v>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7224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7224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Z1_OLBV_T3_si</v>
      </c>
      <c r="D1" s="274" t="str">
        <f>CONCATENATE(C1,"_corr")</f>
        <v>Z1_OLBV_T3_si_corr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574</v>
      </c>
      <c r="C26" s="176" t="str">
        <f>Scénario!K57</f>
        <v>3. 7 visites par semaine</v>
      </c>
      <c r="D26" s="176" t="str">
        <f t="shared" si="0"/>
        <v>3. 7 visites par semaine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4</v>
      </c>
      <c r="D31" s="176">
        <f t="shared" si="0"/>
        <v>4</v>
      </c>
    </row>
    <row r="32" spans="2:5" x14ac:dyDescent="0.25">
      <c r="B32" s="14" t="s">
        <v>584</v>
      </c>
      <c r="C32" s="176">
        <f>Scénario!K62</f>
        <v>16</v>
      </c>
      <c r="D32" s="176">
        <f t="shared" si="0"/>
        <v>16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64</v>
      </c>
      <c r="D39" s="176">
        <f t="shared" si="0"/>
        <v>64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64</v>
      </c>
      <c r="D41" s="176">
        <f t="shared" si="0"/>
        <v>64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0</v>
      </c>
      <c r="D51" s="176">
        <f t="shared" si="0"/>
        <v>0</v>
      </c>
      <c r="E51" s="14"/>
    </row>
    <row r="52" spans="1:132" x14ac:dyDescent="0.25">
      <c r="B52" s="19" t="s">
        <v>596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606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623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22.2</v>
      </c>
      <c r="D85" s="260">
        <f>ROUND(C85*$D$82/$C$82,3)</f>
        <v>24.42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12.100000000000001</v>
      </c>
      <c r="D86" s="260">
        <f t="shared" ref="D86:D97" si="14">ROUND(C86*$D$82/$C$82,3)</f>
        <v>13.31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2.2200000000000002</v>
      </c>
      <c r="D88" s="260">
        <f t="shared" si="14"/>
        <v>2.4420000000000002</v>
      </c>
      <c r="AT88" s="188" t="str">
        <f>CdTrp1!A16</f>
        <v>vides</v>
      </c>
      <c r="AU88" s="191" t="str">
        <f>Scénario!K97</f>
        <v>faible</v>
      </c>
      <c r="AV88" s="172">
        <f t="shared" si="15"/>
        <v>1</v>
      </c>
      <c r="AW88" s="172">
        <f t="shared" si="15"/>
        <v>1</v>
      </c>
      <c r="AX88" s="172">
        <f t="shared" si="15"/>
        <v>1</v>
      </c>
      <c r="AY88" s="172">
        <f t="shared" si="15"/>
        <v>1</v>
      </c>
      <c r="AZ88" s="172">
        <f t="shared" si="15"/>
        <v>1</v>
      </c>
      <c r="BA88" s="172">
        <f t="shared" si="15"/>
        <v>1</v>
      </c>
      <c r="BB88" s="172">
        <f t="shared" si="15"/>
        <v>1</v>
      </c>
      <c r="BC88" s="172">
        <f t="shared" si="15"/>
        <v>1</v>
      </c>
      <c r="BD88" s="172">
        <f t="shared" si="15"/>
        <v>1</v>
      </c>
      <c r="BE88" s="172">
        <f t="shared" si="15"/>
        <v>1</v>
      </c>
      <c r="BF88" s="172">
        <f t="shared" si="15"/>
        <v>1</v>
      </c>
      <c r="BG88" s="172">
        <f t="shared" si="15"/>
        <v>1</v>
      </c>
      <c r="BH88" s="172">
        <f t="shared" si="15"/>
        <v>1</v>
      </c>
      <c r="BI88" s="172">
        <f t="shared" si="15"/>
        <v>1</v>
      </c>
      <c r="BJ88" s="172">
        <f t="shared" si="15"/>
        <v>1</v>
      </c>
      <c r="BK88" s="172">
        <f t="shared" si="15"/>
        <v>1</v>
      </c>
      <c r="BL88" s="172">
        <f t="shared" si="16"/>
        <v>1</v>
      </c>
      <c r="BM88" s="172">
        <f t="shared" si="16"/>
        <v>1</v>
      </c>
      <c r="BN88" s="172">
        <f t="shared" si="16"/>
        <v>1</v>
      </c>
      <c r="BO88" s="172">
        <f t="shared" si="16"/>
        <v>1</v>
      </c>
      <c r="BP88" s="172">
        <f t="shared" si="16"/>
        <v>1</v>
      </c>
      <c r="BQ88" s="172">
        <f t="shared" si="16"/>
        <v>1</v>
      </c>
      <c r="BR88" s="172">
        <f t="shared" si="16"/>
        <v>1</v>
      </c>
      <c r="BS88" s="172">
        <f t="shared" si="16"/>
        <v>1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faible</v>
      </c>
      <c r="AV90" s="172">
        <f t="shared" si="15"/>
        <v>1</v>
      </c>
      <c r="AW90" s="172">
        <f t="shared" si="15"/>
        <v>1</v>
      </c>
      <c r="AX90" s="172">
        <f t="shared" si="15"/>
        <v>1</v>
      </c>
      <c r="AY90" s="172">
        <f t="shared" si="15"/>
        <v>1</v>
      </c>
      <c r="AZ90" s="172">
        <f t="shared" si="15"/>
        <v>1</v>
      </c>
      <c r="BA90" s="172">
        <f t="shared" si="15"/>
        <v>1</v>
      </c>
      <c r="BB90" s="172">
        <f t="shared" si="15"/>
        <v>1</v>
      </c>
      <c r="BC90" s="172">
        <f t="shared" si="15"/>
        <v>1</v>
      </c>
      <c r="BD90" s="172">
        <f t="shared" si="15"/>
        <v>1</v>
      </c>
      <c r="BE90" s="172">
        <f t="shared" si="15"/>
        <v>1</v>
      </c>
      <c r="BF90" s="172">
        <f t="shared" si="15"/>
        <v>1</v>
      </c>
      <c r="BG90" s="172">
        <f t="shared" si="15"/>
        <v>1</v>
      </c>
      <c r="BH90" s="172">
        <f t="shared" si="15"/>
        <v>1</v>
      </c>
      <c r="BI90" s="172">
        <f t="shared" si="15"/>
        <v>1</v>
      </c>
      <c r="BJ90" s="172">
        <f t="shared" si="15"/>
        <v>1</v>
      </c>
      <c r="BK90" s="172">
        <f t="shared" si="15"/>
        <v>1</v>
      </c>
      <c r="BL90" s="172">
        <f t="shared" si="16"/>
        <v>1</v>
      </c>
      <c r="BM90" s="172">
        <f t="shared" si="16"/>
        <v>1</v>
      </c>
      <c r="BN90" s="172">
        <f t="shared" si="16"/>
        <v>1</v>
      </c>
      <c r="BO90" s="172">
        <f t="shared" si="16"/>
        <v>1</v>
      </c>
      <c r="BP90" s="172">
        <f t="shared" si="16"/>
        <v>1</v>
      </c>
      <c r="BQ90" s="172">
        <f t="shared" si="16"/>
        <v>1</v>
      </c>
      <c r="BR90" s="172">
        <f t="shared" si="16"/>
        <v>1</v>
      </c>
      <c r="BS90" s="172">
        <f t="shared" si="16"/>
        <v>1</v>
      </c>
      <c r="BZ90" s="188" t="str">
        <f t="shared" si="17"/>
        <v>lot4</v>
      </c>
      <c r="CA90" s="191">
        <f>Scénario!K109</f>
        <v>0</v>
      </c>
      <c r="CB90" s="172">
        <f t="shared" si="21"/>
        <v>1</v>
      </c>
      <c r="CC90" s="172">
        <f t="shared" si="18"/>
        <v>1</v>
      </c>
      <c r="CD90" s="172">
        <f t="shared" si="18"/>
        <v>1</v>
      </c>
      <c r="CE90" s="172">
        <f t="shared" si="18"/>
        <v>1</v>
      </c>
      <c r="CF90" s="172">
        <f t="shared" si="18"/>
        <v>1</v>
      </c>
      <c r="CG90" s="172">
        <f t="shared" si="18"/>
        <v>1</v>
      </c>
      <c r="CH90" s="172">
        <f t="shared" si="18"/>
        <v>1</v>
      </c>
      <c r="CI90" s="172">
        <f t="shared" si="18"/>
        <v>1</v>
      </c>
      <c r="CJ90" s="172">
        <f t="shared" si="18"/>
        <v>1</v>
      </c>
      <c r="CK90" s="172">
        <f t="shared" si="18"/>
        <v>1</v>
      </c>
      <c r="CL90" s="172">
        <f t="shared" si="18"/>
        <v>1</v>
      </c>
      <c r="CM90" s="172">
        <f t="shared" si="18"/>
        <v>1</v>
      </c>
      <c r="CN90" s="172">
        <f t="shared" si="18"/>
        <v>1</v>
      </c>
      <c r="CO90" s="172">
        <f t="shared" si="18"/>
        <v>1</v>
      </c>
      <c r="CP90" s="172">
        <f t="shared" si="18"/>
        <v>1</v>
      </c>
      <c r="CQ90" s="172">
        <f t="shared" si="18"/>
        <v>1</v>
      </c>
      <c r="CR90" s="172">
        <f t="shared" si="18"/>
        <v>1</v>
      </c>
      <c r="CS90" s="172">
        <f t="shared" si="18"/>
        <v>1</v>
      </c>
      <c r="CT90" s="172">
        <f t="shared" si="18"/>
        <v>1</v>
      </c>
      <c r="CU90" s="172">
        <f t="shared" si="18"/>
        <v>1</v>
      </c>
      <c r="CV90" s="172">
        <f t="shared" si="18"/>
        <v>1</v>
      </c>
      <c r="CW90" s="172">
        <f t="shared" si="18"/>
        <v>1</v>
      </c>
      <c r="CX90" s="172">
        <f t="shared" si="18"/>
        <v>1</v>
      </c>
      <c r="CY90" s="172">
        <f t="shared" si="18"/>
        <v>1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1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0</v>
      </c>
      <c r="BP100" s="172">
        <f>IF(CdTrp1!V54=1,3,IF(CdTrp1!V54=0.5,2,IF(CdTrp1!V54=0,1,0)))</f>
        <v>0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1</v>
      </c>
      <c r="AW101" s="172">
        <f>IF(CdTrp1!C55=1,3,IF(CdTrp1!C55=0.5,2,IF(CdTrp1!C55=0,1,0)))</f>
        <v>1</v>
      </c>
      <c r="AX101" s="172">
        <f>IF(CdTrp1!D55=1,3,IF(CdTrp1!D55=0.5,2,IF(CdTrp1!D55=0,1,0)))</f>
        <v>1</v>
      </c>
      <c r="AY101" s="172">
        <f>IF(CdTrp1!E55=1,3,IF(CdTrp1!E55=0.5,2,IF(CdTrp1!E55=0,1,0)))</f>
        <v>1</v>
      </c>
      <c r="AZ101" s="172">
        <f>IF(CdTrp1!F55=1,3,IF(CdTrp1!F55=0.5,2,IF(CdTrp1!F55=0,1,0)))</f>
        <v>1</v>
      </c>
      <c r="BA101" s="172">
        <f>IF(CdTrp1!G55=1,3,IF(CdTrp1!G55=0.5,2,IF(CdTrp1!G55=0,1,0)))</f>
        <v>1</v>
      </c>
      <c r="BB101" s="172">
        <f>IF(CdTrp1!H55=1,3,IF(CdTrp1!H55=0.5,2,IF(CdTrp1!H55=0,1,0)))</f>
        <v>1</v>
      </c>
      <c r="BC101" s="172">
        <f>IF(CdTrp1!I55=1,3,IF(CdTrp1!I55=0.5,2,IF(CdTrp1!I55=0,1,0)))</f>
        <v>1</v>
      </c>
      <c r="BD101" s="172">
        <f>IF(CdTrp1!J55=1,3,IF(CdTrp1!J55=0.5,2,IF(CdTrp1!J55=0,1,0)))</f>
        <v>1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1</v>
      </c>
      <c r="BP101" s="172">
        <f>IF(CdTrp1!V55=1,3,IF(CdTrp1!V55=0.5,2,IF(CdTrp1!V55=0,1,0)))</f>
        <v>1</v>
      </c>
      <c r="BQ101" s="172">
        <f>IF(CdTrp1!W55=1,3,IF(CdTrp1!W55=0.5,2,IF(CdTrp1!W55=0,1,0)))</f>
        <v>1</v>
      </c>
      <c r="BR101" s="172">
        <f>IF(CdTrp1!X55=1,3,IF(CdTrp1!X55=0.5,2,IF(CdTrp1!X55=0,1,0)))</f>
        <v>1</v>
      </c>
      <c r="BS101" s="172">
        <f>IF(CdTrp1!Y55=1,3,IF(CdTrp1!Y55=0.5,2,IF(CdTrp1!Y55=0,1,0)))</f>
        <v>1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29</v>
      </c>
      <c r="D106" s="172">
        <f t="shared" si="25"/>
        <v>29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51</v>
      </c>
      <c r="D109" s="172">
        <f t="shared" si="25"/>
        <v>51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</v>
      </c>
      <c r="D110" s="172">
        <f t="shared" si="25"/>
        <v>11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10</v>
      </c>
      <c r="D111" s="172">
        <f t="shared" si="25"/>
        <v>10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</v>
      </c>
      <c r="D116" s="172">
        <f t="shared" si="25"/>
        <v>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210</v>
      </c>
      <c r="CM121" s="172">
        <f>IF(CM75=0,0,VALUE(CONCATENATE(Travail!CM26,Travail!CM37,Travail!CM48)))</f>
        <v>210</v>
      </c>
      <c r="CN121" s="172">
        <f>IF(CN75=0,0,VALUE(CONCATENATE(Travail!CN26,Travail!CN37,Travail!CN48)))</f>
        <v>210</v>
      </c>
      <c r="CO121" s="172">
        <f>IF(CO75=0,0,VALUE(CONCATENATE(Travail!CO26,Travail!CO37,Travail!CO48)))</f>
        <v>210</v>
      </c>
      <c r="CP121" s="172">
        <f>IF(CP75=0,0,VALUE(CONCATENATE(Travail!CP26,Travail!CP37,Travail!CP48)))</f>
        <v>210</v>
      </c>
      <c r="CQ121" s="172">
        <f>IF(CQ75=0,0,VALUE(CONCATENATE(Travail!CQ26,Travail!CQ37,Travail!CQ48)))</f>
        <v>210</v>
      </c>
      <c r="CR121" s="172">
        <f>IF(CR75=0,0,VALUE(CONCATENATE(Travail!CR26,Travail!CR37,Travail!CR48)))</f>
        <v>210</v>
      </c>
      <c r="CS121" s="172">
        <f>IF(CS75=0,0,VALUE(CONCATENATE(Travail!CS26,Travail!CS37,Travail!CS48)))</f>
        <v>210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112</v>
      </c>
      <c r="AW122" s="172">
        <f>IF(AW76=0,0,IF(AW99=3,0,VALUE(CONCATENATE(Travail!AW27,Travail!AW38,Travail!AW49))))</f>
        <v>112</v>
      </c>
      <c r="AX122" s="172">
        <f>IF(AX76=0,0,IF(AX99=3,0,VALUE(CONCATENATE(Travail!AX27,Travail!AX38,Travail!AX49))))</f>
        <v>112</v>
      </c>
      <c r="AY122" s="172">
        <f>IF(AY76=0,0,IF(AY99=3,0,VALUE(CONCATENATE(Travail!AY27,Travail!AY38,Travail!AY49))))</f>
        <v>112</v>
      </c>
      <c r="AZ122" s="172">
        <f>IF(AZ76=0,0,IF(AZ99=3,0,VALUE(CONCATENATE(Travail!AZ27,Travail!AZ38,Travail!AZ49))))</f>
        <v>112</v>
      </c>
      <c r="BA122" s="172">
        <f>IF(BA76=0,0,IF(BA99=3,0,VALUE(CONCATENATE(Travail!BA27,Travail!BA38,Travail!BA49))))</f>
        <v>112</v>
      </c>
      <c r="BB122" s="172">
        <f>IF(BB76=0,0,IF(BB99=3,0,VALUE(CONCATENATE(Travail!BB27,Travail!BB38,Travail!BB49))))</f>
        <v>112</v>
      </c>
      <c r="BC122" s="172">
        <f>IF(BC76=0,0,IF(BC99=3,0,VALUE(CONCATENATE(Travail!BC27,Travail!BC38,Travail!BC49))))</f>
        <v>112</v>
      </c>
      <c r="BD122" s="172">
        <f>IF(BD76=0,0,IF(BD99=3,0,VALUE(CONCATENATE(Travail!BD27,Travail!BD38,Travail!BD49))))</f>
        <v>112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112</v>
      </c>
      <c r="BP122" s="172">
        <f>IF(BP76=0,0,IF(BP99=3,0,VALUE(CONCATENATE(Travail!BP27,Travail!BP38,Travail!BP49))))</f>
        <v>112</v>
      </c>
      <c r="BQ122" s="172">
        <f>IF(BQ76=0,0,IF(BQ99=3,0,VALUE(CONCATENATE(Travail!BQ27,Travail!BQ38,Travail!BQ49))))</f>
        <v>112</v>
      </c>
      <c r="BR122" s="172">
        <f>IF(BR76=0,0,IF(BR99=3,0,VALUE(CONCATENATE(Travail!BR27,Travail!BR38,Travail!BR49))))</f>
        <v>112</v>
      </c>
      <c r="BS122" s="172">
        <f>IF(BS76=0,0,IF(BS99=3,0,VALUE(CONCATENATE(Travail!BS27,Travail!BS38,Travail!BS49))))</f>
        <v>112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4</v>
      </c>
      <c r="D123" s="172">
        <f t="shared" si="25"/>
        <v>4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112</v>
      </c>
      <c r="AW124" s="172">
        <f>IF(AW78=0,0,IF(AW101=3,0,VALUE(CONCATENATE(Travail!AW29,Travail!AW40,Travail!AW51))))</f>
        <v>112</v>
      </c>
      <c r="AX124" s="172">
        <f>IF(AX78=0,0,IF(AX101=3,0,VALUE(CONCATENATE(Travail!AX29,Travail!AX40,Travail!AX51))))</f>
        <v>112</v>
      </c>
      <c r="AY124" s="172">
        <f>IF(AY78=0,0,IF(AY101=3,0,VALUE(CONCATENATE(Travail!AY29,Travail!AY40,Travail!AY51))))</f>
        <v>112</v>
      </c>
      <c r="AZ124" s="172">
        <f>IF(AZ78=0,0,IF(AZ101=3,0,VALUE(CONCATENATE(Travail!AZ29,Travail!AZ40,Travail!AZ51))))</f>
        <v>112</v>
      </c>
      <c r="BA124" s="172">
        <f>IF(BA78=0,0,IF(BA101=3,0,VALUE(CONCATENATE(Travail!BA29,Travail!BA40,Travail!BA51))))</f>
        <v>112</v>
      </c>
      <c r="BB124" s="172">
        <f>IF(BB78=0,0,IF(BB101=3,0,VALUE(CONCATENATE(Travail!BB29,Travail!BB40,Travail!BB51))))</f>
        <v>112</v>
      </c>
      <c r="BC124" s="172">
        <f>IF(BC78=0,0,IF(BC101=3,0,VALUE(CONCATENATE(Travail!BC29,Travail!BC40,Travail!BC51))))</f>
        <v>112</v>
      </c>
      <c r="BD124" s="172">
        <f>IF(BD78=0,0,IF(BD101=3,0,VALUE(CONCATENATE(Travail!BD29,Travail!BD40,Travail!BD51))))</f>
        <v>112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112</v>
      </c>
      <c r="BP124" s="172">
        <f>IF(BP78=0,0,IF(BP101=3,0,VALUE(CONCATENATE(Travail!BP29,Travail!BP40,Travail!BP51))))</f>
        <v>112</v>
      </c>
      <c r="BQ124" s="172">
        <f>IF(BQ78=0,0,IF(BQ101=3,0,VALUE(CONCATENATE(Travail!BQ29,Travail!BQ40,Travail!BQ51))))</f>
        <v>112</v>
      </c>
      <c r="BR124" s="172">
        <f>IF(BR78=0,0,IF(BR101=3,0,VALUE(CONCATENATE(Travail!BR29,Travail!BR40,Travail!BR51))))</f>
        <v>112</v>
      </c>
      <c r="BS124" s="172">
        <f>IF(BS78=0,0,IF(BS101=3,0,VALUE(CONCATENATE(Travail!BS29,Travail!BS40,Travail!BS51))))</f>
        <v>112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4</v>
      </c>
      <c r="D126" s="172">
        <f t="shared" si="25"/>
        <v>4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4</v>
      </c>
      <c r="D128" s="172">
        <f t="shared" si="25"/>
        <v>4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0.43137254901960786</v>
      </c>
      <c r="D133" s="261">
        <f t="shared" si="25"/>
        <v>0.43137254901960786</v>
      </c>
      <c r="AT133" s="188" t="str">
        <f t="shared" ref="AT133:AT141" si="42">AT122</f>
        <v>vides</v>
      </c>
      <c r="AV133" s="172">
        <f t="shared" si="39"/>
        <v>11</v>
      </c>
      <c r="AW133" s="172">
        <f t="shared" si="39"/>
        <v>11</v>
      </c>
      <c r="AX133" s="172">
        <f t="shared" si="39"/>
        <v>11</v>
      </c>
      <c r="AY133" s="172">
        <f t="shared" si="39"/>
        <v>11</v>
      </c>
      <c r="AZ133" s="172">
        <f t="shared" si="39"/>
        <v>11</v>
      </c>
      <c r="BA133" s="172">
        <f t="shared" si="39"/>
        <v>11</v>
      </c>
      <c r="BB133" s="172">
        <f t="shared" si="39"/>
        <v>11</v>
      </c>
      <c r="BC133" s="172">
        <f t="shared" si="39"/>
        <v>11</v>
      </c>
      <c r="BD133" s="172">
        <f t="shared" si="39"/>
        <v>11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11</v>
      </c>
      <c r="BP133" s="172">
        <f t="shared" si="39"/>
        <v>11</v>
      </c>
      <c r="BQ133" s="172">
        <f t="shared" si="39"/>
        <v>11</v>
      </c>
      <c r="BR133" s="172">
        <f t="shared" si="39"/>
        <v>11</v>
      </c>
      <c r="BS133" s="172">
        <f t="shared" si="39"/>
        <v>11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0.55555555555555558</v>
      </c>
      <c r="D134" s="261">
        <f t="shared" si="25"/>
        <v>0.55555555555555558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11</v>
      </c>
      <c r="AW135" s="172">
        <f t="shared" si="39"/>
        <v>11</v>
      </c>
      <c r="AX135" s="172">
        <f t="shared" si="39"/>
        <v>11</v>
      </c>
      <c r="AY135" s="172">
        <f t="shared" si="39"/>
        <v>11</v>
      </c>
      <c r="AZ135" s="172">
        <f t="shared" si="39"/>
        <v>11</v>
      </c>
      <c r="BA135" s="172">
        <f t="shared" si="39"/>
        <v>11</v>
      </c>
      <c r="BB135" s="172">
        <f t="shared" si="39"/>
        <v>11</v>
      </c>
      <c r="BC135" s="172">
        <f t="shared" si="39"/>
        <v>11</v>
      </c>
      <c r="BD135" s="172">
        <f t="shared" si="39"/>
        <v>11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11</v>
      </c>
      <c r="BP135" s="172">
        <f t="shared" si="39"/>
        <v>11</v>
      </c>
      <c r="BQ135" s="172">
        <f t="shared" si="39"/>
        <v>11</v>
      </c>
      <c r="BR135" s="172">
        <f t="shared" si="39"/>
        <v>11</v>
      </c>
      <c r="BS135" s="172">
        <f t="shared" si="39"/>
        <v>11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0.48275862068965519</v>
      </c>
      <c r="D136" s="261">
        <f t="shared" si="25"/>
        <v>0.48275862068965519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1</v>
      </c>
      <c r="AZ144" s="172">
        <f t="shared" si="64"/>
        <v>1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1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366.38608695652175</v>
      </c>
      <c r="AW160" s="61">
        <f t="shared" ref="AW160:BS160" si="83">SUM(AW151:AW159)</f>
        <v>363.47826086956525</v>
      </c>
      <c r="AX160" s="61">
        <f t="shared" si="83"/>
        <v>360.57043478260874</v>
      </c>
      <c r="AY160" s="61">
        <f t="shared" si="83"/>
        <v>359.11652173913046</v>
      </c>
      <c r="AZ160" s="61">
        <f t="shared" si="83"/>
        <v>357.66260869565218</v>
      </c>
      <c r="BA160" s="61">
        <f t="shared" si="83"/>
        <v>356.2086956521739</v>
      </c>
      <c r="BB160" s="61">
        <f t="shared" si="83"/>
        <v>354.75478260869568</v>
      </c>
      <c r="BC160" s="61">
        <f t="shared" si="83"/>
        <v>353.3008695652174</v>
      </c>
      <c r="BD160" s="61">
        <f t="shared" si="83"/>
        <v>350.39304347826089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306.7756521739131</v>
      </c>
      <c r="BP160" s="61">
        <f t="shared" si="83"/>
        <v>306.7756521739131</v>
      </c>
      <c r="BQ160" s="61">
        <f t="shared" si="83"/>
        <v>366.38608695652175</v>
      </c>
      <c r="BR160" s="61">
        <f t="shared" si="83"/>
        <v>366.38608695652175</v>
      </c>
      <c r="BS160" s="61">
        <f t="shared" si="83"/>
        <v>366.38608695652175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7.3277217391304355</v>
      </c>
      <c r="AW161" s="172">
        <f t="shared" ref="AW161:BS161" si="86">IF($AT$62="OL",AW160/50,AW160/10)</f>
        <v>7.269565217391305</v>
      </c>
      <c r="AX161" s="172">
        <f t="shared" si="86"/>
        <v>7.2114086956521746</v>
      </c>
      <c r="AY161" s="172">
        <f t="shared" si="86"/>
        <v>7.1823304347826094</v>
      </c>
      <c r="AZ161" s="172">
        <f t="shared" si="86"/>
        <v>7.1532521739130432</v>
      </c>
      <c r="BA161" s="172">
        <f t="shared" si="86"/>
        <v>7.124173913043478</v>
      </c>
      <c r="BB161" s="172">
        <f t="shared" si="86"/>
        <v>7.0950956521739137</v>
      </c>
      <c r="BC161" s="172">
        <f t="shared" si="86"/>
        <v>7.0660173913043476</v>
      </c>
      <c r="BD161" s="172">
        <f t="shared" si="86"/>
        <v>7.007860869565218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6.1355130434782623</v>
      </c>
      <c r="BP161" s="172">
        <f t="shared" si="86"/>
        <v>6.1355130434782623</v>
      </c>
      <c r="BQ161" s="172">
        <f t="shared" si="86"/>
        <v>7.3277217391304355</v>
      </c>
      <c r="BR161" s="172">
        <f t="shared" si="86"/>
        <v>7.3277217391304355</v>
      </c>
      <c r="BS161" s="172">
        <f t="shared" si="86"/>
        <v>7.3277217391304355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6.3277217391304355</v>
      </c>
      <c r="AW162" s="172">
        <f t="shared" ref="AW162:BS162" si="89">IF(AW161&gt;1,AW161-1,0)</f>
        <v>6.269565217391305</v>
      </c>
      <c r="AX162" s="172">
        <f t="shared" si="89"/>
        <v>6.2114086956521746</v>
      </c>
      <c r="AY162" s="172">
        <f t="shared" si="89"/>
        <v>6.1823304347826094</v>
      </c>
      <c r="AZ162" s="172">
        <f t="shared" si="89"/>
        <v>6.1532521739130432</v>
      </c>
      <c r="BA162" s="172">
        <f t="shared" si="89"/>
        <v>6.124173913043478</v>
      </c>
      <c r="BB162" s="172">
        <f t="shared" si="89"/>
        <v>6.0950956521739137</v>
      </c>
      <c r="BC162" s="172">
        <f t="shared" si="89"/>
        <v>6.0660173913043476</v>
      </c>
      <c r="BD162" s="172">
        <f t="shared" si="89"/>
        <v>6.007860869565218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5.1355130434782623</v>
      </c>
      <c r="BP162" s="172">
        <f t="shared" si="89"/>
        <v>5.1355130434782623</v>
      </c>
      <c r="BQ162" s="172">
        <f t="shared" si="89"/>
        <v>6.3277217391304355</v>
      </c>
      <c r="BR162" s="172">
        <f t="shared" si="89"/>
        <v>6.3277217391304355</v>
      </c>
      <c r="BS162" s="172">
        <f t="shared" si="89"/>
        <v>6.3277217391304355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53.073513043478258</v>
      </c>
      <c r="AW163" s="61">
        <f t="shared" ref="AW163:BS163" si="92">AW147+AW148*AW162</f>
        <v>52.971739130434784</v>
      </c>
      <c r="AX163" s="61">
        <f t="shared" si="92"/>
        <v>52.869965217391304</v>
      </c>
      <c r="AY163" s="61">
        <f t="shared" si="92"/>
        <v>52.819078260869567</v>
      </c>
      <c r="AZ163" s="61">
        <f t="shared" si="92"/>
        <v>52.768191304347823</v>
      </c>
      <c r="BA163" s="61">
        <f t="shared" si="92"/>
        <v>31.717304347826087</v>
      </c>
      <c r="BB163" s="61">
        <f t="shared" si="92"/>
        <v>31.66641739130435</v>
      </c>
      <c r="BC163" s="61">
        <f t="shared" si="92"/>
        <v>31.615530434782606</v>
      </c>
      <c r="BD163" s="61">
        <f t="shared" si="92"/>
        <v>31.513756521739133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29.987147826086961</v>
      </c>
      <c r="BP163" s="61">
        <f t="shared" si="92"/>
        <v>50.987147826086961</v>
      </c>
      <c r="BQ163" s="61">
        <f t="shared" si="92"/>
        <v>53.073513043478258</v>
      </c>
      <c r="BR163" s="61">
        <f t="shared" si="92"/>
        <v>53.073513043478258</v>
      </c>
      <c r="BS163" s="61">
        <f t="shared" si="92"/>
        <v>53.073513043478258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69.613912320000011</v>
      </c>
      <c r="D165" s="262">
        <f t="shared" si="50"/>
        <v>76.575303552000008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44.426465544222225</v>
      </c>
      <c r="D166" s="262">
        <f t="shared" si="50"/>
        <v>48.86911209864445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7</v>
      </c>
      <c r="AW168" s="189">
        <f>IF(AW122&gt;0,HLOOKUP(AW122,[1]Trav!$C$11:$O$31,$AU$166),0)</f>
        <v>7</v>
      </c>
      <c r="AX168" s="189">
        <f>IF(AX122&gt;0,HLOOKUP(AX122,[1]Trav!$C$11:$O$31,$AU$166),0)</f>
        <v>7</v>
      </c>
      <c r="AY168" s="189">
        <f>IF(AY122&gt;0,HLOOKUP(AY122,[1]Trav!$C$11:$O$31,$AU$166),0)</f>
        <v>7</v>
      </c>
      <c r="AZ168" s="189">
        <f>IF(AZ122&gt;0,HLOOKUP(AZ122,[1]Trav!$C$11:$O$31,$AU$166),0)</f>
        <v>7</v>
      </c>
      <c r="BA168" s="189">
        <f>IF(BA122&gt;0,HLOOKUP(BA122,[1]Trav!$C$11:$O$31,$AU$166),0)</f>
        <v>7</v>
      </c>
      <c r="BB168" s="189">
        <f>IF(BB122&gt;0,HLOOKUP(BB122,[1]Trav!$C$11:$O$31,$AU$166),0)</f>
        <v>7</v>
      </c>
      <c r="BC168" s="189">
        <f>IF(BC122&gt;0,HLOOKUP(BC122,[1]Trav!$C$11:$O$31,$AU$166),0)</f>
        <v>7</v>
      </c>
      <c r="BD168" s="189">
        <f>IF(BD122&gt;0,HLOOKUP(BD122,[1]Trav!$C$11:$O$31,$AU$166),0)</f>
        <v>7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7</v>
      </c>
      <c r="BP168" s="189">
        <f>IF(BP122&gt;0,HLOOKUP(BP122,[1]Trav!$C$11:$O$31,$AU$166),0)</f>
        <v>7</v>
      </c>
      <c r="BQ168" s="189">
        <f>IF(BQ122&gt;0,HLOOKUP(BQ122,[1]Trav!$C$11:$O$31,$AU$166),0)</f>
        <v>7</v>
      </c>
      <c r="BR168" s="189">
        <f>IF(BR122&gt;0,HLOOKUP(BR122,[1]Trav!$C$11:$O$31,$AU$166),0)</f>
        <v>7</v>
      </c>
      <c r="BS168" s="189">
        <f>IF(BS122&gt;0,HLOOKUP(BS122,[1]Trav!$C$11:$O$31,$AU$166),0)</f>
        <v>7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116.41079000000001</v>
      </c>
      <c r="D169" s="262">
        <f t="shared" si="50"/>
        <v>128.05186900000001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80.831019519965224</v>
      </c>
      <c r="D170" s="262">
        <f t="shared" si="50"/>
        <v>88.914121471961749</v>
      </c>
      <c r="AT170" s="188" t="str">
        <f t="shared" si="95"/>
        <v>beliers</v>
      </c>
      <c r="AV170" s="189">
        <f>IF(AV124&gt;0,HLOOKUP(AV124,[1]Trav!$C$11:$O$31,$AU$166),0)</f>
        <v>7</v>
      </c>
      <c r="AW170" s="189">
        <f>IF(AW124&gt;0,HLOOKUP(AW124,[1]Trav!$C$11:$O$31,$AU$166),0)</f>
        <v>7</v>
      </c>
      <c r="AX170" s="189">
        <f>IF(AX124&gt;0,HLOOKUP(AX124,[1]Trav!$C$11:$O$31,$AU$166),0)</f>
        <v>7</v>
      </c>
      <c r="AY170" s="189">
        <f>IF(AY124&gt;0,HLOOKUP(AY124,[1]Trav!$C$11:$O$31,$AU$166),0)</f>
        <v>7</v>
      </c>
      <c r="AZ170" s="189">
        <f>IF(AZ124&gt;0,HLOOKUP(AZ124,[1]Trav!$C$11:$O$31,$AU$166),0)</f>
        <v>7</v>
      </c>
      <c r="BA170" s="189">
        <f>IF(BA124&gt;0,HLOOKUP(BA124,[1]Trav!$C$11:$O$31,$AU$166),0)</f>
        <v>7</v>
      </c>
      <c r="BB170" s="189">
        <f>IF(BB124&gt;0,HLOOKUP(BB124,[1]Trav!$C$11:$O$31,$AU$166),0)</f>
        <v>7</v>
      </c>
      <c r="BC170" s="189">
        <f>IF(BC124&gt;0,HLOOKUP(BC124,[1]Trav!$C$11:$O$31,$AU$166),0)</f>
        <v>7</v>
      </c>
      <c r="BD170" s="189">
        <f>IF(BD124&gt;0,HLOOKUP(BD124,[1]Trav!$C$11:$O$31,$AU$166),0)</f>
        <v>7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7</v>
      </c>
      <c r="BP170" s="189">
        <f>IF(BP124&gt;0,HLOOKUP(BP124,[1]Trav!$C$11:$O$31,$AU$166),0)</f>
        <v>7</v>
      </c>
      <c r="BQ170" s="189">
        <f>IF(BQ124&gt;0,HLOOKUP(BQ124,[1]Trav!$C$11:$O$31,$AU$166),0)</f>
        <v>7</v>
      </c>
      <c r="BR170" s="189">
        <f>IF(BR124&gt;0,HLOOKUP(BR124,[1]Trav!$C$11:$O$31,$AU$166),0)</f>
        <v>7</v>
      </c>
      <c r="BS170" s="189">
        <f>IF(BS124&gt;0,HLOOKUP(BS124,[1]Trav!$C$11:$O$31,$AU$166),0)</f>
        <v>7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105.83154999999999</v>
      </c>
      <c r="D171" s="262">
        <f t="shared" si="50"/>
        <v>116.414705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175.7</v>
      </c>
      <c r="D172" s="262">
        <f t="shared" si="50"/>
        <v>193.26999999999998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35.579770480034782</v>
      </c>
      <c r="D173" s="262">
        <f t="shared" si="50"/>
        <v>39.137747528038254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69.400000000000006</v>
      </c>
      <c r="D174" s="262">
        <f t="shared" si="50"/>
        <v>76.34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-69.868449999999996</v>
      </c>
      <c r="D175" s="262">
        <f>C175*$D$82/$C$82</f>
        <v>-76.855294999999998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69.868449999999996</v>
      </c>
      <c r="D176" s="262">
        <f>C176*$D$82/$C$82</f>
        <v>76.855294999999998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73</v>
      </c>
      <c r="D178" s="172">
        <f>ROUND((D170+D171)/(D170+D172),2)*100</f>
        <v>73</v>
      </c>
      <c r="AT178" s="40" t="s">
        <v>865</v>
      </c>
      <c r="AV178" s="172">
        <f>SUM(AV167:AV176)</f>
        <v>14</v>
      </c>
      <c r="AW178" s="172">
        <f t="shared" ref="AW178:BS178" si="98">SUM(AW167:AW176)</f>
        <v>14</v>
      </c>
      <c r="AX178" s="172">
        <f t="shared" si="98"/>
        <v>14</v>
      </c>
      <c r="AY178" s="172">
        <f t="shared" si="98"/>
        <v>14</v>
      </c>
      <c r="AZ178" s="172">
        <f t="shared" si="98"/>
        <v>14</v>
      </c>
      <c r="BA178" s="172">
        <f t="shared" si="98"/>
        <v>42</v>
      </c>
      <c r="BB178" s="172">
        <f t="shared" si="98"/>
        <v>42</v>
      </c>
      <c r="BC178" s="172">
        <f t="shared" si="98"/>
        <v>42</v>
      </c>
      <c r="BD178" s="172">
        <f t="shared" si="98"/>
        <v>42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28</v>
      </c>
      <c r="BP178" s="172">
        <f t="shared" si="98"/>
        <v>14</v>
      </c>
      <c r="BQ178" s="172">
        <f t="shared" si="98"/>
        <v>14</v>
      </c>
      <c r="BR178" s="172">
        <f t="shared" si="98"/>
        <v>14</v>
      </c>
      <c r="BS178" s="172">
        <f t="shared" si="98"/>
        <v>14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28</v>
      </c>
      <c r="CM178" s="172">
        <f t="shared" si="99"/>
        <v>28</v>
      </c>
      <c r="CN178" s="172">
        <f t="shared" si="99"/>
        <v>28</v>
      </c>
      <c r="CO178" s="172">
        <f t="shared" si="99"/>
        <v>28</v>
      </c>
      <c r="CP178" s="172">
        <f t="shared" si="99"/>
        <v>28</v>
      </c>
      <c r="CQ178" s="172">
        <f t="shared" si="99"/>
        <v>28</v>
      </c>
      <c r="CR178" s="172">
        <f t="shared" si="99"/>
        <v>28</v>
      </c>
      <c r="CS178" s="172">
        <f t="shared" si="99"/>
        <v>28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0</v>
      </c>
      <c r="D183" s="263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2">
        <f>Protection!AK26</f>
        <v>0</v>
      </c>
      <c r="D184" s="264">
        <f>C184*D82/C82</f>
        <v>0</v>
      </c>
    </row>
    <row r="185" spans="1:132" x14ac:dyDescent="0.25">
      <c r="B185" s="14" t="s">
        <v>1297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0</v>
      </c>
      <c r="D189" s="172">
        <f t="shared" si="101"/>
        <v>0</v>
      </c>
      <c r="AH189" s="15"/>
      <c r="AJ189" s="14" t="s">
        <v>1114</v>
      </c>
      <c r="AK189" s="30">
        <f>D189</f>
        <v>0</v>
      </c>
      <c r="AO189" s="172">
        <f>ROUND((([1]Protect!$B$5/[1]Protect!$B$11)+[1]Protect!$B$8)*AK189,0)</f>
        <v>0</v>
      </c>
    </row>
    <row r="190" spans="1:132" x14ac:dyDescent="0.25">
      <c r="B190" s="14" t="s">
        <v>1302</v>
      </c>
      <c r="C190" s="172">
        <f>'Calcul éco'!T246*(30)</f>
        <v>0</v>
      </c>
      <c r="D190" s="172">
        <f>C190</f>
        <v>0</v>
      </c>
      <c r="AH190" s="15"/>
      <c r="AJ190" s="14" t="s">
        <v>1115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1303</v>
      </c>
      <c r="C191" s="197">
        <f>ROUND(SUM(Travail!F69:F74)/8,1)</f>
        <v>0</v>
      </c>
      <c r="D191" s="172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31.5</v>
      </c>
      <c r="AN191" s="172">
        <f>[1]Eco!$B$111</f>
        <v>28.3</v>
      </c>
      <c r="AO191" s="172">
        <f>AK191*AN191</f>
        <v>891.45</v>
      </c>
    </row>
    <row r="192" spans="1:132" x14ac:dyDescent="0.25">
      <c r="B192" s="14" t="s">
        <v>1307</v>
      </c>
      <c r="C192" s="172">
        <f>(Travail!F83+Travail!F84)/8</f>
        <v>0</v>
      </c>
      <c r="D192" s="265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2">
        <f>SUM(AO189:AO191)</f>
        <v>891.45</v>
      </c>
    </row>
    <row r="193" spans="1:43" x14ac:dyDescent="0.25">
      <c r="B193" s="14" t="s">
        <v>1309</v>
      </c>
      <c r="C193" s="172">
        <f>(Travail!F75+Travail!F76+Travail!F81)/8</f>
        <v>0</v>
      </c>
      <c r="D193" s="172">
        <f>C193</f>
        <v>0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256.66666666666669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1</v>
      </c>
      <c r="AK201" s="172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2">
        <f>IF(AJ203=0,0,[1]Protect!B79)</f>
        <v>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10630</v>
      </c>
      <c r="D206" s="260">
        <f>ROUND(C206*D$82/C$82,0)</f>
        <v>11693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0</v>
      </c>
      <c r="AQ207" s="5"/>
    </row>
    <row r="208" spans="1:43" x14ac:dyDescent="0.25">
      <c r="B208" s="210" t="s">
        <v>987</v>
      </c>
      <c r="C208" s="172">
        <f>ROUND('Calcul éco'!J44,0)</f>
        <v>7343</v>
      </c>
      <c r="D208" s="260">
        <f>ROUND(C208*D$82/C$82,0)</f>
        <v>8077</v>
      </c>
      <c r="S208" s="14" t="s">
        <v>978</v>
      </c>
      <c r="T208" s="30">
        <f>L212</f>
        <v>120.54900000000001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891.45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891.45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0</v>
      </c>
      <c r="D210" s="263">
        <f>ROUND(AL207,0)</f>
        <v>0</v>
      </c>
      <c r="E210" s="17" t="s">
        <v>1329</v>
      </c>
      <c r="K210" s="14" t="s">
        <v>990</v>
      </c>
      <c r="L210" s="172">
        <f>J221</f>
        <v>87.373000000000005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47683.199999999997</v>
      </c>
      <c r="D211" s="263">
        <f>ROUND(SUM(D201:D210),0)</f>
        <v>50601</v>
      </c>
      <c r="E211" s="17" t="s">
        <v>1331</v>
      </c>
      <c r="K211" s="40" t="s">
        <v>995</v>
      </c>
      <c r="L211" s="61">
        <f>L209+L210</f>
        <v>120.54900000000001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120.54900000000001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1462.4259999999999</v>
      </c>
      <c r="D217" s="260">
        <f t="shared" si="106"/>
        <v>1609</v>
      </c>
      <c r="G217" s="19" t="s">
        <v>601</v>
      </c>
      <c r="H217" s="19" t="str">
        <f>Troupeau!C3</f>
        <v>BV</v>
      </c>
      <c r="I217" s="30">
        <f>'Calcul éco'!S51</f>
        <v>64</v>
      </c>
      <c r="J217" s="47">
        <f t="shared" ref="J217:J218" si="107">I217*D$82/C$82</f>
        <v>70.400000000000006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17113.86435</v>
      </c>
      <c r="D218" s="260">
        <f t="shared" si="106"/>
        <v>18825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0</v>
      </c>
      <c r="D219" s="260">
        <f t="shared" si="106"/>
        <v>0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0</v>
      </c>
      <c r="D220" s="263">
        <f>SUM(AN215:AN219)</f>
        <v>0</v>
      </c>
      <c r="E220" s="17" t="s">
        <v>1345</v>
      </c>
      <c r="H220" s="14" t="s">
        <v>1000</v>
      </c>
      <c r="I220" s="30">
        <f>SUM(I216:I219)</f>
        <v>169</v>
      </c>
      <c r="J220" s="30">
        <f>SUM(J216:J219)</f>
        <v>185.9</v>
      </c>
    </row>
    <row r="221" spans="1:43" x14ac:dyDescent="0.25">
      <c r="B221" s="14" t="s">
        <v>1346</v>
      </c>
      <c r="C221" s="172">
        <f>ROUND(SUM(C216:C220),0)</f>
        <v>49216</v>
      </c>
      <c r="D221" s="263">
        <f>ROUND(SUM(D216:D220),0)</f>
        <v>54138</v>
      </c>
      <c r="E221" s="17" t="s">
        <v>1345</v>
      </c>
      <c r="H221" s="14" t="s">
        <v>1001</v>
      </c>
      <c r="I221" s="30">
        <f>I220*[1]Eco!$B$25</f>
        <v>79.429999999999993</v>
      </c>
      <c r="J221" s="30">
        <f>J220*[1]Eco!$B$25</f>
        <v>87.373000000000005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17.600000000000001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0</v>
      </c>
      <c r="D230" s="260">
        <f t="shared" si="109"/>
        <v>0</v>
      </c>
    </row>
    <row r="231" spans="1:49" x14ac:dyDescent="0.25">
      <c r="B231" s="14" t="s">
        <v>1083</v>
      </c>
      <c r="C231" s="172">
        <f>'Calcul éco'!J159</f>
        <v>0</v>
      </c>
      <c r="D231" s="260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0</v>
      </c>
      <c r="D233" s="260">
        <f t="shared" si="109"/>
        <v>0</v>
      </c>
    </row>
    <row r="234" spans="1:49" x14ac:dyDescent="0.25">
      <c r="B234" s="14" t="s">
        <v>1352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1353</v>
      </c>
      <c r="C235" s="172">
        <f>'Calcul éco'!J167</f>
        <v>0</v>
      </c>
      <c r="D235" s="263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24853</v>
      </c>
      <c r="D236" s="263">
        <f>ROUND(SUM(D222:D235),0)</f>
        <v>26720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35500.199999999997</v>
      </c>
      <c r="D237" s="263">
        <f>D194+D211-D221-D236</f>
        <v>37818</v>
      </c>
    </row>
    <row r="238" spans="1:49" x14ac:dyDescent="0.25">
      <c r="B238" s="210" t="s">
        <v>1090</v>
      </c>
      <c r="C238" s="172">
        <f>ROUND(C237/Scénario!$K$4,0)</f>
        <v>23667</v>
      </c>
      <c r="D238" s="263">
        <f>ROUND(D237/D83,0)</f>
        <v>18909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0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24500</v>
      </c>
      <c r="D241" s="267">
        <f>ROUND(D237-D239-D240,0)</f>
        <v>26818</v>
      </c>
    </row>
    <row r="242" spans="1:15" x14ac:dyDescent="0.25">
      <c r="B242" s="210" t="s">
        <v>1094</v>
      </c>
      <c r="C242" s="172">
        <f>ROUND(C241/Scénario!K4,0)</f>
        <v>16333</v>
      </c>
      <c r="D242" s="263">
        <f>ROUND(D241/D83,0)</f>
        <v>13409</v>
      </c>
    </row>
    <row r="243" spans="1:15" x14ac:dyDescent="0.25">
      <c r="B243" s="210" t="s">
        <v>1357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10" t="s">
        <v>1358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1359</v>
      </c>
      <c r="B245" s="14" t="s">
        <v>568</v>
      </c>
      <c r="C245" s="269">
        <f>Travail!F5</f>
        <v>504</v>
      </c>
      <c r="D245" s="172">
        <f>C245</f>
        <v>504</v>
      </c>
    </row>
    <row r="246" spans="1:15" x14ac:dyDescent="0.25">
      <c r="B246" s="14" t="s">
        <v>601</v>
      </c>
      <c r="C246" s="269">
        <f>Travail!F6</f>
        <v>134.4</v>
      </c>
      <c r="D246" s="172">
        <f t="shared" ref="D246:D247" si="112">C246</f>
        <v>134.4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858.85008695652186</v>
      </c>
      <c r="D248" s="263">
        <f>ROUND(SUM(AV163:BS163),1)</f>
        <v>879.6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252</v>
      </c>
      <c r="D251" s="172">
        <f>C251</f>
        <v>252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21.978000000000002</v>
      </c>
      <c r="L258" s="189">
        <f>IF(K258&gt;[1]Trav!E121,[1]Trav!C121,[1]Trav!B121)</f>
        <v>7.2</v>
      </c>
      <c r="N258" s="273"/>
      <c r="O258">
        <f t="shared" si="114"/>
        <v>158.24160000000001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13.31</v>
      </c>
      <c r="L259" s="189">
        <f>IF(K259&gt;[1]Trav!E121,[1]Trav!C121,[1]Trav!B121)</f>
        <v>7.2</v>
      </c>
      <c r="N259" s="273"/>
      <c r="O259">
        <f t="shared" si="114"/>
        <v>95.832000000000008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2.4420000000000002</v>
      </c>
      <c r="L261" s="189">
        <f>IF(K261&gt;[1]Trav!E122,[1]Trav!C122,[1]Trav!B122)</f>
        <v>4.4000000000000004</v>
      </c>
      <c r="M261" s="5"/>
      <c r="N261" s="273"/>
      <c r="O261">
        <f t="shared" si="114"/>
        <v>10.744800000000001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144</v>
      </c>
      <c r="D267" s="263">
        <f t="shared" si="116"/>
        <v>158</v>
      </c>
    </row>
    <row r="268" spans="1:15" x14ac:dyDescent="0.25">
      <c r="B268" s="32" t="s">
        <v>791</v>
      </c>
      <c r="C268" s="269">
        <f>Travail!F56</f>
        <v>87</v>
      </c>
      <c r="D268" s="263">
        <f t="shared" si="116"/>
        <v>96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10</v>
      </c>
      <c r="D270" s="263">
        <f t="shared" si="116"/>
        <v>11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0</v>
      </c>
      <c r="D275" s="172">
        <f>C275</f>
        <v>0</v>
      </c>
    </row>
    <row r="276" spans="1:4" x14ac:dyDescent="0.25">
      <c r="A276" s="23"/>
      <c r="B276" s="32" t="s">
        <v>1369</v>
      </c>
      <c r="C276" s="269">
        <f>C192*8</f>
        <v>0</v>
      </c>
      <c r="D276" s="263">
        <f>D192*8</f>
        <v>0</v>
      </c>
    </row>
    <row r="277" spans="1:4" x14ac:dyDescent="0.25">
      <c r="B277" s="32" t="s">
        <v>1420</v>
      </c>
      <c r="C277" s="269">
        <f>Travail!F75+Travail!F81</f>
        <v>0</v>
      </c>
      <c r="D277" s="172">
        <f>C277</f>
        <v>0</v>
      </c>
    </row>
    <row r="278" spans="1:4" x14ac:dyDescent="0.25">
      <c r="B278" s="32" t="s">
        <v>1421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1387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2795</v>
      </c>
      <c r="D281" s="263">
        <f>ROUND(D245+D248+D251+D254+D257+D260+D261,0)</f>
        <v>2912</v>
      </c>
    </row>
    <row r="282" spans="1:4" x14ac:dyDescent="0.25">
      <c r="B282" s="14" t="s">
        <v>1372</v>
      </c>
      <c r="C282" s="172">
        <f>ROUND(C246+C249+C252+C255+C258,0)</f>
        <v>740</v>
      </c>
      <c r="D282" s="263">
        <f>ROUND(D246+D249+D252+D255+D258,0)</f>
        <v>750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9.19</v>
      </c>
      <c r="D284" s="172">
        <f>ROUND(D281/(Troupeau!$B$17*G63),2)</f>
        <v>8.7100000000000009</v>
      </c>
    </row>
    <row r="285" spans="1:4" x14ac:dyDescent="0.25">
      <c r="B285" s="14" t="s">
        <v>1375</v>
      </c>
      <c r="C285" s="172">
        <f>IF(Troupeau!$C$17=0,0,ROUND(C282/Troupeau!$C$17,2))</f>
        <v>32.17</v>
      </c>
      <c r="D285" s="172">
        <f>IF(Troupeau!$C$17=0,0,ROUND(D282/Troupeau!$C$17*G63,2))</f>
        <v>35.869999999999997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3535</v>
      </c>
      <c r="D287" s="263">
        <f>SUM(D281:D283)</f>
        <v>3662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308</v>
      </c>
      <c r="D289" s="263">
        <f>SUM(D262:D271)</f>
        <v>339</v>
      </c>
    </row>
    <row r="290" spans="2:4" x14ac:dyDescent="0.25">
      <c r="B290" s="14" t="s">
        <v>1422</v>
      </c>
      <c r="C290" s="269">
        <f>C275+C276+C277</f>
        <v>0</v>
      </c>
      <c r="D290" s="276">
        <f>D275+D276+D277</f>
        <v>0</v>
      </c>
    </row>
    <row r="291" spans="2:4" x14ac:dyDescent="0.25">
      <c r="B291" s="14" t="s">
        <v>1423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873</v>
      </c>
      <c r="C292" s="172">
        <f>ROUND(SUM(C287:C291),0)</f>
        <v>4443</v>
      </c>
      <c r="D292" s="263">
        <f>ROUND(SUM(D287:D291),0)</f>
        <v>4601</v>
      </c>
    </row>
    <row r="293" spans="2:4" x14ac:dyDescent="0.25">
      <c r="B293" s="14" t="s">
        <v>874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4" x14ac:dyDescent="0.25">
      <c r="B294" s="14" t="s">
        <v>875</v>
      </c>
      <c r="C294" s="172">
        <f>ROUND((C292-C293)/C83,0)</f>
        <v>2962</v>
      </c>
      <c r="D294" s="172">
        <f>ROUND((D292-D293)/D83,0)</f>
        <v>2301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39.096889020000006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0</v>
      </c>
    </row>
    <row r="308" spans="2:3" x14ac:dyDescent="0.25">
      <c r="B308" s="14" t="s">
        <v>1460</v>
      </c>
      <c r="C308" s="172">
        <f>'Calcul éco'!X235</f>
        <v>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" activePane="bottomLeft" state="frozen"/>
      <selection pane="bottomLeft" activeCell="U77" sqref="U77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155">
        <v>0</v>
      </c>
      <c r="C53" s="155">
        <v>0</v>
      </c>
      <c r="D53" s="155">
        <v>0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99</v>
      </c>
      <c r="V54" s="59">
        <v>99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0</v>
      </c>
      <c r="C64" s="60">
        <f t="shared" si="19"/>
        <v>0</v>
      </c>
      <c r="D64" s="60">
        <f t="shared" si="19"/>
        <v>0</v>
      </c>
      <c r="E64" s="60">
        <f t="shared" si="19"/>
        <v>0</v>
      </c>
      <c r="F64" s="60">
        <f t="shared" si="19"/>
        <v>0</v>
      </c>
      <c r="G64" s="60">
        <f t="shared" si="19"/>
        <v>0</v>
      </c>
      <c r="H64" s="60">
        <f t="shared" si="19"/>
        <v>0</v>
      </c>
      <c r="I64" s="60">
        <f t="shared" si="19"/>
        <v>0</v>
      </c>
      <c r="J64" s="60">
        <f t="shared" si="19"/>
        <v>0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0</v>
      </c>
      <c r="V64" s="60">
        <f t="shared" si="19"/>
        <v>0</v>
      </c>
      <c r="W64" s="60">
        <f t="shared" si="19"/>
        <v>0</v>
      </c>
      <c r="X64" s="60">
        <f t="shared" si="19"/>
        <v>0</v>
      </c>
      <c r="Y64" s="60">
        <f t="shared" si="19"/>
        <v>0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0</v>
      </c>
      <c r="C66" s="60">
        <f t="shared" si="21"/>
        <v>0</v>
      </c>
      <c r="D66" s="60">
        <f t="shared" si="21"/>
        <v>0</v>
      </c>
      <c r="E66" s="60">
        <f t="shared" si="21"/>
        <v>0</v>
      </c>
      <c r="F66" s="60">
        <f t="shared" si="21"/>
        <v>0</v>
      </c>
      <c r="G66" s="60">
        <f t="shared" si="21"/>
        <v>0</v>
      </c>
      <c r="H66" s="60">
        <f t="shared" si="21"/>
        <v>0</v>
      </c>
      <c r="I66" s="60">
        <f t="shared" si="21"/>
        <v>0</v>
      </c>
      <c r="J66" s="60">
        <f t="shared" si="21"/>
        <v>0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0</v>
      </c>
      <c r="V66" s="60">
        <f t="shared" si="21"/>
        <v>0</v>
      </c>
      <c r="W66" s="60">
        <f t="shared" si="21"/>
        <v>0</v>
      </c>
      <c r="X66" s="60">
        <f t="shared" si="21"/>
        <v>0</v>
      </c>
      <c r="Y66" s="60">
        <f t="shared" si="21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603</v>
      </c>
      <c r="C73" s="63">
        <f t="shared" ref="C73:Y73" si="28">ROUND(SUM(C63:C72),0)</f>
        <v>598</v>
      </c>
      <c r="D73" s="63">
        <f t="shared" si="28"/>
        <v>535</v>
      </c>
      <c r="E73" s="63">
        <f t="shared" si="28"/>
        <v>280</v>
      </c>
      <c r="F73" s="63">
        <f t="shared" si="28"/>
        <v>308</v>
      </c>
      <c r="G73" s="63">
        <f t="shared" si="28"/>
        <v>292</v>
      </c>
      <c r="H73" s="63">
        <f t="shared" si="28"/>
        <v>281</v>
      </c>
      <c r="I73" s="63">
        <f t="shared" si="28"/>
        <v>280</v>
      </c>
      <c r="J73" s="63">
        <f t="shared" si="28"/>
        <v>308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303</v>
      </c>
      <c r="V73" s="63">
        <f t="shared" si="28"/>
        <v>586</v>
      </c>
      <c r="W73" s="63">
        <f t="shared" si="28"/>
        <v>584</v>
      </c>
      <c r="X73" s="63">
        <f t="shared" si="28"/>
        <v>603</v>
      </c>
      <c r="Y73" s="63">
        <f t="shared" si="28"/>
        <v>603</v>
      </c>
      <c r="Z73" s="51"/>
      <c r="AA73" s="55">
        <f>ROUND(SUM(B73:Y73),0)</f>
        <v>7352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29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/>
      <c r="V78" s="59"/>
      <c r="W78" s="59"/>
      <c r="X78" s="59"/>
      <c r="Y78" s="59"/>
      <c r="AB78">
        <v>1</v>
      </c>
      <c r="AC78">
        <f>COUNTIF($B$76:$Y$85,AB78)/2</f>
        <v>11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B76" sqref="B76:Y78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5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31.142832565925929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42.310919565925929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44.426465544222225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2.32254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69.613912320000011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0.18836999999999998</v>
      </c>
      <c r="M172" s="60">
        <f t="shared" si="57"/>
        <v>0.18836999999999998</v>
      </c>
      <c r="N172" s="60">
        <f t="shared" si="57"/>
        <v>0.19464899999999996</v>
      </c>
      <c r="O172" s="60">
        <f t="shared" si="57"/>
        <v>0.19464899999999996</v>
      </c>
      <c r="P172" s="60">
        <f t="shared" si="57"/>
        <v>0.19464899999999996</v>
      </c>
      <c r="Q172" s="60">
        <f t="shared" si="57"/>
        <v>0.19464899999999996</v>
      </c>
      <c r="R172" s="60">
        <f t="shared" si="57"/>
        <v>0.18836999999999998</v>
      </c>
      <c r="S172" s="60">
        <f t="shared" si="57"/>
        <v>0.18836999999999998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14.583673020000001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0.18836999999999998</v>
      </c>
      <c r="M215" s="60">
        <f t="shared" si="90"/>
        <v>0.18836999999999998</v>
      </c>
      <c r="N215" s="60">
        <f t="shared" si="90"/>
        <v>0.19464899999999996</v>
      </c>
      <c r="O215" s="60">
        <f t="shared" si="90"/>
        <v>0.19464899999999996</v>
      </c>
      <c r="P215" s="60">
        <f t="shared" si="90"/>
        <v>0.19464899999999996</v>
      </c>
      <c r="Q215" s="60">
        <f t="shared" si="90"/>
        <v>0.19464899999999996</v>
      </c>
      <c r="R215" s="60">
        <f t="shared" si="90"/>
        <v>0.18836999999999998</v>
      </c>
      <c r="S215" s="60">
        <f t="shared" si="90"/>
        <v>0.18836999999999998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39.096889020000006</v>
      </c>
      <c r="AB219" t="s">
        <v>222</v>
      </c>
    </row>
    <row r="220" spans="1:28" x14ac:dyDescent="0.25">
      <c r="AA220" s="30">
        <f>SUM(B215:Y217)</f>
        <v>39.096889020000006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2023-01-17T12:20:29Z</dcterms:modified>
</cp:coreProperties>
</file>