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580" firstSheet="7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alid parcellaire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16" r:id="rId20"/>
    <pivotCache cacheId="17" r:id="rId21"/>
    <pivotCache cacheId="18" r:id="rId22"/>
  </pivotCaches>
</workbook>
</file>

<file path=xl/calcChain.xml><?xml version="1.0" encoding="utf-8"?>
<calcChain xmlns="http://schemas.openxmlformats.org/spreadsheetml/2006/main">
  <c r="AV6" i="32" l="1"/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D5" i="31"/>
  <c r="BE5" i="31" s="1"/>
  <c r="BF5" i="31" s="1"/>
  <c r="AV6" i="31"/>
  <c r="AW6" i="31"/>
  <c r="BD6" i="31" s="1"/>
  <c r="BE6" i="31" s="1"/>
  <c r="BF6" i="31" s="1"/>
  <c r="AX6" i="31"/>
  <c r="AY6" i="31"/>
  <c r="AZ6" i="31"/>
  <c r="BA6" i="31"/>
  <c r="BB6" i="31"/>
  <c r="BC6" i="31"/>
  <c r="AV7" i="31"/>
  <c r="AW7" i="31"/>
  <c r="AX7" i="31"/>
  <c r="AY7" i="31"/>
  <c r="AZ7" i="31"/>
  <c r="BA7" i="31"/>
  <c r="BD7" i="31"/>
  <c r="BE7" i="31" s="1"/>
  <c r="BF7" i="31" s="1"/>
  <c r="AV8" i="31"/>
  <c r="AW8" i="31"/>
  <c r="AX8" i="31"/>
  <c r="AY8" i="31"/>
  <c r="BD8" i="31" s="1"/>
  <c r="BE8" i="31" s="1"/>
  <c r="BF8" i="31" s="1"/>
  <c r="AZ8" i="31"/>
  <c r="BA8" i="31"/>
  <c r="BB8" i="31"/>
  <c r="BC8" i="31"/>
  <c r="BG8" i="31"/>
  <c r="BH8" i="31"/>
  <c r="BI8" i="31"/>
  <c r="BJ8" i="31"/>
  <c r="BK8" i="31"/>
  <c r="BL8" i="31"/>
  <c r="AV9" i="31"/>
  <c r="AW9" i="31"/>
  <c r="AX9" i="31"/>
  <c r="AY9" i="31"/>
  <c r="BD9" i="31" s="1"/>
  <c r="BE9" i="31" s="1"/>
  <c r="BF9" i="31" s="1"/>
  <c r="AZ9" i="31"/>
  <c r="BA9" i="31"/>
  <c r="BB9" i="31"/>
  <c r="BC9" i="3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BL11" i="31" s="1"/>
  <c r="AV12" i="31"/>
  <c r="AW12" i="31"/>
  <c r="BG12" i="31" s="1"/>
  <c r="AX12" i="31"/>
  <c r="AY12" i="31"/>
  <c r="AZ12" i="31"/>
  <c r="BA12" i="31"/>
  <c r="BB12" i="31"/>
  <c r="BC12" i="31"/>
  <c r="BD12" i="31"/>
  <c r="BE12" i="31" s="1"/>
  <c r="BF12" i="31" s="1"/>
  <c r="BK12" i="31"/>
  <c r="BL12" i="31"/>
  <c r="AV13" i="31"/>
  <c r="AW13" i="31"/>
  <c r="AX13" i="31"/>
  <c r="AY13" i="31"/>
  <c r="AZ13" i="31"/>
  <c r="BA13" i="31"/>
  <c r="BB13" i="31"/>
  <c r="BC13" i="31"/>
  <c r="BD13" i="31"/>
  <c r="BE13" i="31" s="1"/>
  <c r="BF13" i="31" s="1"/>
  <c r="BG13" i="31"/>
  <c r="BH13" i="31"/>
  <c r="BI13" i="31"/>
  <c r="BJ13" i="31"/>
  <c r="BK13" i="31"/>
  <c r="BL13" i="31"/>
  <c r="AV14" i="31"/>
  <c r="AW14" i="31"/>
  <c r="BD14" i="31" s="1"/>
  <c r="BE14" i="31" s="1"/>
  <c r="BF14" i="31" s="1"/>
  <c r="AX14" i="31"/>
  <c r="AY14" i="31"/>
  <c r="AZ14" i="31"/>
  <c r="BA14" i="31"/>
  <c r="BB14" i="31"/>
  <c r="BC14" i="31"/>
  <c r="BI14" i="31"/>
  <c r="BJ14" i="31"/>
  <c r="BK14" i="31"/>
  <c r="AV15" i="31"/>
  <c r="AW15" i="31"/>
  <c r="AX15" i="31"/>
  <c r="AY15" i="31"/>
  <c r="AZ15" i="31"/>
  <c r="BA15" i="31"/>
  <c r="BB15" i="31"/>
  <c r="BC15" i="31"/>
  <c r="BD15" i="31"/>
  <c r="BE15" i="31" s="1"/>
  <c r="BF15" i="31" s="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BD17" i="31" s="1"/>
  <c r="BE17" i="31" s="1"/>
  <c r="BF17" i="31" s="1"/>
  <c r="AX17" i="31"/>
  <c r="AY17" i="3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AV23" i="31"/>
  <c r="AW23" i="31"/>
  <c r="BD23" i="31" s="1"/>
  <c r="BE23" i="31" s="1"/>
  <c r="BF23" i="31" s="1"/>
  <c r="AX23" i="31"/>
  <c r="AY23" i="31"/>
  <c r="AZ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D30" i="31" s="1"/>
  <c r="BE30" i="31" s="1"/>
  <c r="BF30" i="31" s="1"/>
  <c r="AX30" i="31"/>
  <c r="AY30" i="31"/>
  <c r="AZ30" i="31"/>
  <c r="BA30" i="31"/>
  <c r="BB30" i="31"/>
  <c r="BC30" i="31"/>
  <c r="BI30" i="31"/>
  <c r="BJ30" i="31"/>
  <c r="BK30" i="31"/>
  <c r="BG19" i="31" l="1"/>
  <c r="BL20" i="31"/>
  <c r="BK20" i="31"/>
  <c r="BI15" i="31"/>
  <c r="BH15" i="31"/>
  <c r="BJ15" i="31"/>
  <c r="BK15" i="31"/>
  <c r="BL15" i="31"/>
  <c r="BG15" i="31"/>
  <c r="BG9" i="31"/>
  <c r="BH9" i="31"/>
  <c r="BI9" i="31"/>
  <c r="BJ9" i="31"/>
  <c r="BK9" i="31"/>
  <c r="BL9" i="31"/>
  <c r="BH16" i="31"/>
  <c r="BI16" i="31"/>
  <c r="BJ16" i="31"/>
  <c r="BG16" i="31"/>
  <c r="BK16" i="31"/>
  <c r="BL16" i="31"/>
  <c r="BJ6" i="31"/>
  <c r="BI6" i="31"/>
  <c r="BK6" i="31"/>
  <c r="BL6" i="31"/>
  <c r="BH6" i="31"/>
  <c r="BJ22" i="31"/>
  <c r="BK22" i="31"/>
  <c r="BI22" i="31"/>
  <c r="BG11" i="31"/>
  <c r="BI7" i="31"/>
  <c r="BJ7" i="31"/>
  <c r="BK7" i="31"/>
  <c r="BL7" i="31"/>
  <c r="BG7" i="31"/>
  <c r="BI23" i="31"/>
  <c r="BJ23" i="31"/>
  <c r="BK23" i="31"/>
  <c r="BL23" i="31"/>
  <c r="BG23" i="31"/>
  <c r="BH23" i="31"/>
  <c r="BK5" i="31"/>
  <c r="BL5" i="31"/>
  <c r="BJ5" i="31"/>
  <c r="BG5" i="31"/>
  <c r="BI5" i="31"/>
  <c r="BK21" i="31"/>
  <c r="BL21" i="31"/>
  <c r="BG21" i="31"/>
  <c r="BH21" i="31"/>
  <c r="BJ21" i="31"/>
  <c r="BI21" i="31"/>
  <c r="BG20" i="31"/>
  <c r="BL4" i="31"/>
  <c r="BG4" i="31"/>
  <c r="BH4" i="31"/>
  <c r="BI4" i="31"/>
  <c r="BK4" i="31"/>
  <c r="BJ4" i="31"/>
  <c r="BH30" i="31"/>
  <c r="BJ28" i="31"/>
  <c r="BK27" i="31"/>
  <c r="BL26" i="31"/>
  <c r="BD26" i="31"/>
  <c r="BE26" i="31" s="1"/>
  <c r="BF26" i="31" s="1"/>
  <c r="BH22" i="31"/>
  <c r="BJ20" i="31"/>
  <c r="BK19" i="31"/>
  <c r="BD18" i="31"/>
  <c r="BE18" i="31" s="1"/>
  <c r="BF18" i="31" s="1"/>
  <c r="BJ18" i="31" s="1"/>
  <c r="BH14" i="31"/>
  <c r="BJ12" i="31"/>
  <c r="BK11" i="31"/>
  <c r="BD10" i="31"/>
  <c r="BE10" i="31" s="1"/>
  <c r="BF10" i="31" s="1"/>
  <c r="BG30" i="31"/>
  <c r="BI28" i="31"/>
  <c r="BJ27" i="31"/>
  <c r="BK26" i="31"/>
  <c r="BG22" i="31"/>
  <c r="BI20" i="31"/>
  <c r="BJ19" i="31"/>
  <c r="BG14" i="31"/>
  <c r="BI12" i="31"/>
  <c r="BJ11" i="31"/>
  <c r="BG6" i="31"/>
  <c r="BH28" i="31"/>
  <c r="BI27" i="31"/>
  <c r="BJ26" i="31"/>
  <c r="BH20" i="31"/>
  <c r="BI19" i="31"/>
  <c r="BH12" i="31"/>
  <c r="BI11" i="31"/>
  <c r="BH27" i="31"/>
  <c r="BI26" i="31"/>
  <c r="BH19" i="31"/>
  <c r="BH11" i="31"/>
  <c r="BL30" i="31"/>
  <c r="BH26" i="31"/>
  <c r="BL22" i="31"/>
  <c r="BL14" i="31"/>
  <c r="BK10" i="31" l="1"/>
  <c r="BG10" i="31"/>
  <c r="BI10" i="31"/>
  <c r="BJ10" i="31"/>
  <c r="BL10" i="31"/>
  <c r="BH10" i="31"/>
  <c r="BL18" i="31"/>
  <c r="BH18" i="31"/>
  <c r="BK18" i="31"/>
  <c r="BI18" i="31"/>
  <c r="BG18" i="31"/>
  <c r="C150" i="33" l="1"/>
  <c r="C151" i="33"/>
  <c r="C152" i="33"/>
  <c r="C153" i="33"/>
  <c r="C154" i="33"/>
  <c r="C155" i="33"/>
  <c r="C149" i="33"/>
  <c r="T41" i="33" l="1"/>
  <c r="C302" i="34"/>
  <c r="C301" i="34"/>
  <c r="C300" i="34"/>
  <c r="C297" i="34"/>
  <c r="C296" i="34"/>
  <c r="C295" i="34"/>
  <c r="AD29" i="31"/>
  <c r="AD28" i="31"/>
  <c r="J3" i="7"/>
  <c r="K3" i="7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/>
  <c r="L11" i="7" s="1"/>
  <c r="M11" i="7"/>
  <c r="J12" i="7"/>
  <c r="K12" i="7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" i="7"/>
  <c r="O7" i="23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U137" i="33"/>
  <c r="U136" i="33"/>
  <c r="U135" i="33"/>
  <c r="AA134" i="33"/>
  <c r="Y134" i="33"/>
  <c r="W134" i="33"/>
  <c r="U134" i="33"/>
  <c r="U133" i="33"/>
  <c r="U132" i="33"/>
  <c r="AI145" i="33"/>
  <c r="AH145" i="33"/>
  <c r="AG145" i="33"/>
  <c r="AF145" i="33"/>
  <c r="AI142" i="33"/>
  <c r="AH142" i="33"/>
  <c r="AG142" i="33"/>
  <c r="AF142" i="33"/>
  <c r="AI139" i="33"/>
  <c r="AH139" i="33"/>
  <c r="AG139" i="33"/>
  <c r="AF139" i="33"/>
  <c r="AI136" i="33"/>
  <c r="AH136" i="33"/>
  <c r="AG136" i="33"/>
  <c r="AF136" i="33"/>
  <c r="AI133" i="33"/>
  <c r="AH133" i="33"/>
  <c r="AG133" i="33"/>
  <c r="AF133" i="33"/>
  <c r="AI130" i="33"/>
  <c r="AH130" i="33"/>
  <c r="AG130" i="33"/>
  <c r="AF130" i="33"/>
  <c r="AI127" i="33"/>
  <c r="AH127" i="33"/>
  <c r="AG127" i="33"/>
  <c r="AF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D124" i="33"/>
  <c r="D123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C161" i="33"/>
  <c r="C160" i="33"/>
  <c r="C159" i="33"/>
  <c r="C158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AJ38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AN231" i="34"/>
  <c r="AV231" i="34"/>
  <c r="AU231" i="34"/>
  <c r="AV228" i="34"/>
  <c r="AU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W240" i="33"/>
  <c r="AE240" i="33"/>
  <c r="AD240" i="33"/>
  <c r="AE237" i="33"/>
  <c r="AD237" i="33"/>
  <c r="W236" i="33"/>
  <c r="W235" i="33"/>
  <c r="W234" i="33"/>
  <c r="W233" i="33"/>
  <c r="V233" i="33"/>
  <c r="C84" i="32"/>
  <c r="C83" i="32"/>
  <c r="C81" i="32"/>
  <c r="Q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M10" i="31"/>
  <c r="C10" i="31"/>
  <c r="Z9" i="31"/>
  <c r="Y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5" i="33"/>
  <c r="T184" i="33"/>
  <c r="T183" i="33"/>
  <c r="T182" i="33"/>
  <c r="T181" i="33"/>
  <c r="T180" i="33"/>
  <c r="T179" i="33"/>
  <c r="T178" i="33"/>
  <c r="T177" i="33"/>
  <c r="BD3" i="31"/>
  <c r="BE3" i="31" s="1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AW106" i="32" l="1"/>
  <c r="BE106" i="32"/>
  <c r="AY106" i="32"/>
  <c r="BM106" i="32"/>
  <c r="BO106" i="32"/>
  <c r="AZ106" i="32"/>
  <c r="BP106" i="32"/>
  <c r="BA106" i="32"/>
  <c r="BQ106" i="32"/>
  <c r="BB106" i="32"/>
  <c r="BR106" i="32"/>
  <c r="BC106" i="32"/>
  <c r="BK106" i="32"/>
  <c r="BS106" i="32"/>
  <c r="AV106" i="32"/>
  <c r="BD106" i="32"/>
  <c r="BL106" i="32"/>
  <c r="AX106" i="32"/>
  <c r="BF106" i="32"/>
  <c r="BN106" i="32"/>
  <c r="AG35" i="33" l="1"/>
  <c r="AI35" i="33" s="1"/>
  <c r="AG34" i="33"/>
  <c r="AH33" i="33"/>
  <c r="AI33" i="33" s="1"/>
  <c r="AG33" i="33"/>
  <c r="AH34" i="33" l="1"/>
  <c r="AI34" i="33" s="1"/>
  <c r="AI36" i="33" s="1"/>
  <c r="M21" i="35" l="1"/>
  <c r="N23" i="35"/>
  <c r="N21" i="35"/>
  <c r="N19" i="35"/>
  <c r="N20" i="35"/>
  <c r="T38" i="33" l="1"/>
  <c r="M10" i="35" l="1"/>
  <c r="N10" i="35"/>
  <c r="O10" i="35"/>
  <c r="L10" i="35"/>
  <c r="L23" i="7"/>
  <c r="L24" i="7"/>
  <c r="AS28" i="23" l="1"/>
  <c r="O8" i="23" l="1"/>
  <c r="O30" i="23"/>
  <c r="N13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C239" i="34"/>
  <c r="D239" i="34" s="1"/>
  <c r="J151" i="33"/>
  <c r="C224" i="34" s="1"/>
  <c r="D224" i="34" s="1"/>
  <c r="AI125" i="33"/>
  <c r="AH125" i="33"/>
  <c r="AG125" i="33"/>
  <c r="AF125" i="33"/>
  <c r="W127" i="33"/>
  <c r="V127" i="33"/>
  <c r="U127" i="33"/>
  <c r="T127" i="33"/>
  <c r="T133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H22" i="31"/>
  <c r="AE22" i="31"/>
  <c r="AD13" i="31"/>
  <c r="K81" i="30"/>
  <c r="K78" i="30"/>
  <c r="C45" i="34" s="1"/>
  <c r="D45" i="34" s="1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P154" i="34" s="1"/>
  <c r="BO101" i="34"/>
  <c r="BO154" i="34" s="1"/>
  <c r="BN101" i="34"/>
  <c r="BM101" i="34"/>
  <c r="BL101" i="34"/>
  <c r="BK101" i="34"/>
  <c r="BK154" i="34" s="1"/>
  <c r="BJ101" i="34"/>
  <c r="BJ154" i="34" s="1"/>
  <c r="BI101" i="34"/>
  <c r="BH101" i="34"/>
  <c r="BG101" i="34"/>
  <c r="BG154" i="34" s="1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O153" i="34" s="1"/>
  <c r="BN100" i="34"/>
  <c r="BM100" i="34"/>
  <c r="BL100" i="34"/>
  <c r="BL153" i="34" s="1"/>
  <c r="BK100" i="34"/>
  <c r="BJ100" i="34"/>
  <c r="BI100" i="34"/>
  <c r="BH100" i="34"/>
  <c r="BG100" i="34"/>
  <c r="BG153" i="34" s="1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O152" i="34" s="1"/>
  <c r="BN99" i="34"/>
  <c r="BM99" i="34"/>
  <c r="BM152" i="34" s="1"/>
  <c r="BL99" i="34"/>
  <c r="BL152" i="34" s="1"/>
  <c r="BK99" i="34"/>
  <c r="BJ99" i="34"/>
  <c r="BI99" i="34"/>
  <c r="BH99" i="34"/>
  <c r="BH152" i="34" s="1"/>
  <c r="BG99" i="34"/>
  <c r="BG152" i="34" s="1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B62" i="33"/>
  <c r="BA62" i="33"/>
  <c r="AZ62" i="33"/>
  <c r="AZ73" i="33" s="1"/>
  <c r="AY62" i="33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C71" i="33" s="1"/>
  <c r="BB60" i="33"/>
  <c r="BB71" i="33" s="1"/>
  <c r="BA60" i="33"/>
  <c r="AZ60" i="33"/>
  <c r="AY60" i="33"/>
  <c r="AX60" i="33"/>
  <c r="AX71" i="33" s="1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P41" i="32"/>
  <c r="BP94" i="32" s="1"/>
  <c r="BO41" i="32"/>
  <c r="BN41" i="32"/>
  <c r="BN94" i="32" s="1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R93" i="32" s="1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C93" i="32" s="1"/>
  <c r="BB40" i="32"/>
  <c r="BB93" i="32" s="1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I92" i="32" s="1"/>
  <c r="BH39" i="32"/>
  <c r="BG39" i="32"/>
  <c r="BF39" i="32"/>
  <c r="BE39" i="32"/>
  <c r="BD39" i="32"/>
  <c r="BD92" i="32" s="1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J91" i="32" s="1"/>
  <c r="BI38" i="32"/>
  <c r="BI91" i="32" s="1"/>
  <c r="BH38" i="32"/>
  <c r="BG38" i="32"/>
  <c r="BG91" i="32" s="1"/>
  <c r="BF38" i="32"/>
  <c r="BE38" i="32"/>
  <c r="BD38" i="32"/>
  <c r="BD91" i="32" s="1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M9" i="32"/>
  <c r="BL9" i="32"/>
  <c r="BK9" i="32"/>
  <c r="BK20" i="32" s="1"/>
  <c r="BJ9" i="32"/>
  <c r="BI9" i="32"/>
  <c r="BH9" i="32"/>
  <c r="BG9" i="32"/>
  <c r="BF9" i="32"/>
  <c r="BE9" i="32"/>
  <c r="BD9" i="32"/>
  <c r="BC9" i="32"/>
  <c r="BC20" i="32" s="1"/>
  <c r="BB9" i="32"/>
  <c r="BA9" i="32"/>
  <c r="AZ9" i="32"/>
  <c r="AY9" i="32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M19" i="32" s="1"/>
  <c r="BL8" i="32"/>
  <c r="BL19" i="32" s="1"/>
  <c r="BK8" i="32"/>
  <c r="BK19" i="32" s="1"/>
  <c r="BJ8" i="32"/>
  <c r="BI8" i="32"/>
  <c r="BH8" i="32"/>
  <c r="BG8" i="32"/>
  <c r="BG94" i="32" s="1"/>
  <c r="BF8" i="32"/>
  <c r="BE8" i="32"/>
  <c r="BE94" i="32" s="1"/>
  <c r="BD8" i="32"/>
  <c r="BD94" i="32" s="1"/>
  <c r="BC8" i="32"/>
  <c r="BC94" i="32" s="1"/>
  <c r="BB8" i="32"/>
  <c r="BA8" i="32"/>
  <c r="AZ8" i="32"/>
  <c r="AY8" i="32"/>
  <c r="AY94" i="32" s="1"/>
  <c r="AX8" i="32"/>
  <c r="AW8" i="32"/>
  <c r="AW94" i="32" s="1"/>
  <c r="AV8" i="32"/>
  <c r="AV19" i="32" s="1"/>
  <c r="BS7" i="32"/>
  <c r="BS18" i="32" s="1"/>
  <c r="BR7" i="32"/>
  <c r="BQ7" i="32"/>
  <c r="BP7" i="32"/>
  <c r="BO7" i="32"/>
  <c r="BO18" i="32" s="1"/>
  <c r="BO74" i="32" s="1"/>
  <c r="BN7" i="32"/>
  <c r="BM7" i="32"/>
  <c r="BM18" i="32" s="1"/>
  <c r="BL7" i="32"/>
  <c r="BL18" i="32" s="1"/>
  <c r="BK7" i="32"/>
  <c r="BK18" i="32" s="1"/>
  <c r="BK74" i="32" s="1"/>
  <c r="BJ7" i="32"/>
  <c r="BI7" i="32"/>
  <c r="BH7" i="32"/>
  <c r="BG7" i="32"/>
  <c r="BG18" i="32" s="1"/>
  <c r="BG74" i="32" s="1"/>
  <c r="BF7" i="32"/>
  <c r="BE7" i="32"/>
  <c r="BE18" i="32" s="1"/>
  <c r="BD7" i="32"/>
  <c r="BD18" i="32" s="1"/>
  <c r="BC7" i="32"/>
  <c r="BC18" i="32" s="1"/>
  <c r="BB7" i="32"/>
  <c r="BA7" i="32"/>
  <c r="AZ7" i="32"/>
  <c r="AY7" i="32"/>
  <c r="AX7" i="32"/>
  <c r="AW7" i="32"/>
  <c r="AW18" i="32" s="1"/>
  <c r="AV7" i="32"/>
  <c r="AV18" i="32" s="1"/>
  <c r="BS6" i="32"/>
  <c r="BR6" i="32"/>
  <c r="BQ6" i="32"/>
  <c r="BP6" i="32"/>
  <c r="BO6" i="32"/>
  <c r="BO17" i="32" s="1"/>
  <c r="BN6" i="32"/>
  <c r="BM6" i="32"/>
  <c r="BM17" i="32" s="1"/>
  <c r="BL6" i="32"/>
  <c r="BL17" i="32" s="1"/>
  <c r="BL62" i="32" s="1"/>
  <c r="BL108" i="32" s="1"/>
  <c r="BK6" i="32"/>
  <c r="BK17" i="32" s="1"/>
  <c r="BK73" i="32" s="1"/>
  <c r="BJ6" i="32"/>
  <c r="BI6" i="32"/>
  <c r="BH6" i="32"/>
  <c r="BG6" i="32"/>
  <c r="BG17" i="32" s="1"/>
  <c r="BF6" i="32"/>
  <c r="BE6" i="32"/>
  <c r="BE17" i="32" s="1"/>
  <c r="BD6" i="32"/>
  <c r="BD17" i="32" s="1"/>
  <c r="BC6" i="32"/>
  <c r="BC17" i="32" s="1"/>
  <c r="BB6" i="32"/>
  <c r="BA6" i="32"/>
  <c r="AZ6" i="32"/>
  <c r="AY6" i="32"/>
  <c r="AX6" i="32"/>
  <c r="AW6" i="32"/>
  <c r="AW92" i="32" s="1"/>
  <c r="AV17" i="32"/>
  <c r="BS5" i="32"/>
  <c r="BS16" i="32" s="1"/>
  <c r="BR5" i="32"/>
  <c r="BQ5" i="32"/>
  <c r="BP5" i="32"/>
  <c r="BO5" i="32"/>
  <c r="BO16" i="32" s="1"/>
  <c r="BO72" i="32" s="1"/>
  <c r="BN5" i="32"/>
  <c r="BM5" i="32"/>
  <c r="BM16" i="32" s="1"/>
  <c r="BL5" i="32"/>
  <c r="BL16" i="32" s="1"/>
  <c r="BL72" i="32" s="1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E16" i="32" s="1"/>
  <c r="BD5" i="32"/>
  <c r="BD16" i="32" s="1"/>
  <c r="BC5" i="32"/>
  <c r="BC16" i="32" s="1"/>
  <c r="BB5" i="32"/>
  <c r="BA5" i="32"/>
  <c r="AZ5" i="32"/>
  <c r="AY5" i="32"/>
  <c r="AY16" i="32" s="1"/>
  <c r="AX5" i="32"/>
  <c r="AW5" i="32"/>
  <c r="AW16" i="32" s="1"/>
  <c r="AV5" i="32"/>
  <c r="AV16" i="32" s="1"/>
  <c r="BS4" i="32"/>
  <c r="BS90" i="32" s="1"/>
  <c r="BR4" i="32"/>
  <c r="BQ4" i="32"/>
  <c r="BP4" i="32"/>
  <c r="BO4" i="32"/>
  <c r="BN4" i="32"/>
  <c r="BM4" i="32"/>
  <c r="BM15" i="32" s="1"/>
  <c r="BL4" i="32"/>
  <c r="BL15" i="32" s="1"/>
  <c r="BK4" i="32"/>
  <c r="BK90" i="32" s="1"/>
  <c r="BJ4" i="32"/>
  <c r="BI4" i="32"/>
  <c r="BH4" i="32"/>
  <c r="BG4" i="32"/>
  <c r="BF4" i="32"/>
  <c r="BE4" i="32"/>
  <c r="BE90" i="32" s="1"/>
  <c r="BD4" i="32"/>
  <c r="BD15" i="32" s="1"/>
  <c r="BC4" i="32"/>
  <c r="BC90" i="32" s="1"/>
  <c r="BB4" i="32"/>
  <c r="BA4" i="32"/>
  <c r="AZ4" i="32"/>
  <c r="AY4" i="32"/>
  <c r="AX4" i="32"/>
  <c r="AW4" i="32"/>
  <c r="AW90" i="32" s="1"/>
  <c r="AV4" i="32"/>
  <c r="AV15" i="32" s="1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Z20" i="31" s="1"/>
  <c r="Z21" i="31" s="1"/>
  <c r="Z7" i="31" s="1"/>
  <c r="Z12" i="31" s="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F12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Y73" i="31"/>
  <c r="W73" i="31"/>
  <c r="U73" i="31"/>
  <c r="Q73" i="31"/>
  <c r="O73" i="31"/>
  <c r="M73" i="31"/>
  <c r="K73" i="31"/>
  <c r="I73" i="31"/>
  <c r="G73" i="31"/>
  <c r="E73" i="31"/>
  <c r="C73" i="3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V40" i="33" s="1"/>
  <c r="T39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AC24" i="30" s="1"/>
  <c r="D256" i="34"/>
  <c r="D255" i="34"/>
  <c r="D254" i="34"/>
  <c r="C229" i="34"/>
  <c r="K225" i="34"/>
  <c r="K224" i="34"/>
  <c r="K223" i="34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N154" i="34"/>
  <c r="BM154" i="34"/>
  <c r="BL154" i="34"/>
  <c r="BI154" i="34"/>
  <c r="BH154" i="34"/>
  <c r="BF154" i="34"/>
  <c r="BE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N153" i="34"/>
  <c r="BM153" i="34"/>
  <c r="BK153" i="34"/>
  <c r="BJ153" i="34"/>
  <c r="BI153" i="34"/>
  <c r="BH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N152" i="34"/>
  <c r="BK152" i="34"/>
  <c r="BJ152" i="34"/>
  <c r="BI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AU90" i="34"/>
  <c r="BS90" i="34" s="1"/>
  <c r="DD89" i="34"/>
  <c r="CA89" i="34"/>
  <c r="AU89" i="34"/>
  <c r="EB88" i="34"/>
  <c r="DG88" i="34"/>
  <c r="DD88" i="34"/>
  <c r="DT88" i="34" s="1"/>
  <c r="CA88" i="34"/>
  <c r="AU88" i="34"/>
  <c r="CQ88" i="34" s="1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C52" i="34"/>
  <c r="C51" i="34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W191" i="33"/>
  <c r="AC191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J153" i="33"/>
  <c r="C226" i="34" s="1"/>
  <c r="B152" i="33"/>
  <c r="J150" i="33"/>
  <c r="C223" i="34" s="1"/>
  <c r="D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AI132" i="33"/>
  <c r="AI129" i="33"/>
  <c r="Z135" i="33"/>
  <c r="AA135" i="33" s="1"/>
  <c r="X133" i="33"/>
  <c r="Y133" i="33" s="1"/>
  <c r="V132" i="33"/>
  <c r="W132" i="33" s="1"/>
  <c r="AI126" i="33"/>
  <c r="J126" i="33"/>
  <c r="J124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AY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M74" i="33"/>
  <c r="BI74" i="33"/>
  <c r="EA73" i="33"/>
  <c r="DS73" i="33"/>
  <c r="DO73" i="33"/>
  <c r="BI73" i="33"/>
  <c r="BC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39" i="33"/>
  <c r="V38" i="33"/>
  <c r="Z35" i="33"/>
  <c r="V32" i="33"/>
  <c r="V31" i="33"/>
  <c r="V29" i="33"/>
  <c r="V28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I90" i="32"/>
  <c r="BA90" i="32"/>
  <c r="B87" i="32"/>
  <c r="C280" i="34" s="1"/>
  <c r="D280" i="34" s="1"/>
  <c r="B86" i="32"/>
  <c r="F86" i="32" s="1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Q94" i="32"/>
  <c r="BO94" i="32"/>
  <c r="BM94" i="32"/>
  <c r="BK94" i="32"/>
  <c r="BI94" i="32"/>
  <c r="BA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AZ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H92" i="32"/>
  <c r="BG92" i="32"/>
  <c r="BF92" i="32"/>
  <c r="BE92" i="32"/>
  <c r="BC92" i="32"/>
  <c r="BB92" i="32"/>
  <c r="BA92" i="32"/>
  <c r="AZ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H91" i="32"/>
  <c r="BF91" i="32"/>
  <c r="BE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I19" i="32"/>
  <c r="BH19" i="32"/>
  <c r="BH64" i="32" s="1"/>
  <c r="BH110" i="32" s="1"/>
  <c r="BA19" i="32"/>
  <c r="AZ19" i="32"/>
  <c r="AZ64" i="32" s="1"/>
  <c r="AZ110" i="32" s="1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H18" i="32"/>
  <c r="BH74" i="32" s="1"/>
  <c r="AZ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H17" i="32"/>
  <c r="AZ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H16" i="32"/>
  <c r="BH61" i="32" s="1"/>
  <c r="BH107" i="32" s="1"/>
  <c r="AZ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H15" i="32"/>
  <c r="BG15" i="32"/>
  <c r="AZ15" i="32"/>
  <c r="AY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N20" i="32"/>
  <c r="BM20" i="32"/>
  <c r="BJ20" i="32"/>
  <c r="BI20" i="32"/>
  <c r="BI65" i="32" s="1"/>
  <c r="BF20" i="32"/>
  <c r="BE20" i="32"/>
  <c r="BB20" i="32"/>
  <c r="BA20" i="32"/>
  <c r="BA65" i="32" s="1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Q109" i="32" s="1"/>
  <c r="BN18" i="32"/>
  <c r="BJ18" i="32"/>
  <c r="BI18" i="32"/>
  <c r="BI63" i="32" s="1"/>
  <c r="BI109" i="32" s="1"/>
  <c r="BF18" i="32"/>
  <c r="BB18" i="32"/>
  <c r="BA18" i="32"/>
  <c r="AX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N17" i="32"/>
  <c r="BJ17" i="32"/>
  <c r="BI17" i="32"/>
  <c r="BF17" i="32"/>
  <c r="BB17" i="32"/>
  <c r="BA17" i="32"/>
  <c r="AX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J16" i="32"/>
  <c r="BI16" i="32"/>
  <c r="BF16" i="32"/>
  <c r="BB16" i="32"/>
  <c r="BA16" i="32"/>
  <c r="AX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J15" i="32"/>
  <c r="BI15" i="32"/>
  <c r="BF15" i="32"/>
  <c r="BB15" i="32"/>
  <c r="BA15" i="32"/>
  <c r="AX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P5" i="31"/>
  <c r="L20" i="31"/>
  <c r="L21" i="31" s="1"/>
  <c r="L7" i="31" s="1"/>
  <c r="L12" i="31" s="1"/>
  <c r="U20" i="31"/>
  <c r="U21" i="31" s="1"/>
  <c r="U7" i="31" s="1"/>
  <c r="U12" i="31" s="1"/>
  <c r="Q4" i="31"/>
  <c r="M20" i="31"/>
  <c r="M21" i="31" s="1"/>
  <c r="M7" i="31" s="1"/>
  <c r="M12" i="31" s="1"/>
  <c r="E5" i="31"/>
  <c r="J4" i="31"/>
  <c r="C62" i="31"/>
  <c r="C63" i="31" s="1"/>
  <c r="C49" i="31" s="1"/>
  <c r="C54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33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P20" i="31"/>
  <c r="P21" i="31" s="1"/>
  <c r="P7" i="31" s="1"/>
  <c r="P12" i="31" s="1"/>
  <c r="E20" i="31"/>
  <c r="E21" i="31" s="1"/>
  <c r="E7" i="31" s="1"/>
  <c r="E12" i="31" s="1"/>
  <c r="AD14" i="31"/>
  <c r="T233" i="33" s="1"/>
  <c r="T271" i="33" s="1"/>
  <c r="Y5" i="31"/>
  <c r="R5" i="31"/>
  <c r="J5" i="31"/>
  <c r="D5" i="3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B191" i="30"/>
  <c r="AI191" i="30"/>
  <c r="AC191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C48" i="34"/>
  <c r="D48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6" i="30"/>
  <c r="K11" i="30"/>
  <c r="K10" i="30"/>
  <c r="Z209" i="33" l="1"/>
  <c r="Y209" i="33"/>
  <c r="AB209" i="33" s="1"/>
  <c r="T209" i="33"/>
  <c r="X209" i="33"/>
  <c r="AA209" i="33" s="1"/>
  <c r="AW88" i="34"/>
  <c r="AY91" i="34"/>
  <c r="BJ91" i="34"/>
  <c r="CI88" i="34"/>
  <c r="CS91" i="34"/>
  <c r="BM90" i="34"/>
  <c r="BE29" i="32"/>
  <c r="BR90" i="34"/>
  <c r="D53" i="34"/>
  <c r="D52" i="34"/>
  <c r="D51" i="34"/>
  <c r="C190" i="34"/>
  <c r="D190" i="34" s="1"/>
  <c r="AK190" i="34" s="1"/>
  <c r="B166" i="33"/>
  <c r="J166" i="33" s="1"/>
  <c r="C234" i="34" s="1"/>
  <c r="D234" i="34" s="1"/>
  <c r="D16" i="32"/>
  <c r="F16" i="32" s="1"/>
  <c r="T208" i="33"/>
  <c r="Z208" i="33"/>
  <c r="AC208" i="33" s="1"/>
  <c r="X208" i="33"/>
  <c r="AA208" i="33" s="1"/>
  <c r="Y208" i="33"/>
  <c r="AB208" i="33" s="1"/>
  <c r="Z188" i="30"/>
  <c r="AC188" i="30" s="1"/>
  <c r="Y188" i="30"/>
  <c r="AB188" i="30" s="1"/>
  <c r="T188" i="30"/>
  <c r="X188" i="30"/>
  <c r="AA188" i="30" s="1"/>
  <c r="Y188" i="33"/>
  <c r="AB188" i="33" s="1"/>
  <c r="X188" i="33"/>
  <c r="AA188" i="33" s="1"/>
  <c r="Z188" i="33"/>
  <c r="AC188" i="33" s="1"/>
  <c r="T188" i="33"/>
  <c r="T187" i="30"/>
  <c r="Z187" i="30"/>
  <c r="AC187" i="30" s="1"/>
  <c r="X187" i="30"/>
  <c r="AA187" i="30" s="1"/>
  <c r="Y187" i="30"/>
  <c r="AB187" i="30" s="1"/>
  <c r="T187" i="33"/>
  <c r="Z187" i="33"/>
  <c r="AC187" i="33" s="1"/>
  <c r="Y187" i="33"/>
  <c r="AB187" i="33" s="1"/>
  <c r="X187" i="33"/>
  <c r="AA187" i="33" s="1"/>
  <c r="T186" i="33"/>
  <c r="U186" i="33" s="1"/>
  <c r="X186" i="33"/>
  <c r="AA186" i="33" s="1"/>
  <c r="Z186" i="33"/>
  <c r="AC186" i="33" s="1"/>
  <c r="Y186" i="33"/>
  <c r="AB186" i="33" s="1"/>
  <c r="Z186" i="30"/>
  <c r="AC186" i="30" s="1"/>
  <c r="Y186" i="30"/>
  <c r="AB186" i="30" s="1"/>
  <c r="X186" i="30"/>
  <c r="AA186" i="30" s="1"/>
  <c r="T186" i="30"/>
  <c r="U186" i="30" s="1"/>
  <c r="Z175" i="30"/>
  <c r="AC175" i="30" s="1"/>
  <c r="T175" i="30"/>
  <c r="AI175" i="30" s="1"/>
  <c r="Y175" i="30"/>
  <c r="AB175" i="30" s="1"/>
  <c r="X175" i="30"/>
  <c r="AA175" i="30" s="1"/>
  <c r="X174" i="33"/>
  <c r="AA174" i="33" s="1"/>
  <c r="T174" i="33"/>
  <c r="Y174" i="33"/>
  <c r="AB174" i="33" s="1"/>
  <c r="Z174" i="33"/>
  <c r="AC174" i="33" s="1"/>
  <c r="Z173" i="33"/>
  <c r="AC173" i="33" s="1"/>
  <c r="T173" i="33"/>
  <c r="AG173" i="33" s="1"/>
  <c r="Y173" i="33"/>
  <c r="AB173" i="33" s="1"/>
  <c r="X173" i="33"/>
  <c r="AA173" i="33" s="1"/>
  <c r="Z175" i="33"/>
  <c r="AC175" i="33" s="1"/>
  <c r="Y175" i="33"/>
  <c r="AB175" i="33" s="1"/>
  <c r="T175" i="33"/>
  <c r="AJ175" i="33" s="1"/>
  <c r="X175" i="33"/>
  <c r="AA175" i="33" s="1"/>
  <c r="Z173" i="30"/>
  <c r="AC173" i="30" s="1"/>
  <c r="Y173" i="30"/>
  <c r="AB173" i="30" s="1"/>
  <c r="X173" i="30"/>
  <c r="AA173" i="30" s="1"/>
  <c r="T173" i="30"/>
  <c r="Y174" i="30"/>
  <c r="AB174" i="30" s="1"/>
  <c r="X174" i="30"/>
  <c r="AA174" i="30" s="1"/>
  <c r="Z174" i="30"/>
  <c r="AC174" i="30" s="1"/>
  <c r="T174" i="30"/>
  <c r="Z164" i="30"/>
  <c r="AC164" i="30" s="1"/>
  <c r="Y164" i="30"/>
  <c r="AB164" i="30" s="1"/>
  <c r="X164" i="30"/>
  <c r="AA164" i="30" s="1"/>
  <c r="T164" i="30"/>
  <c r="AG164" i="30" s="1"/>
  <c r="Y164" i="33"/>
  <c r="AB164" i="33" s="1"/>
  <c r="T164" i="33"/>
  <c r="AJ164" i="33" s="1"/>
  <c r="Z164" i="33"/>
  <c r="AC164" i="33" s="1"/>
  <c r="X164" i="33"/>
  <c r="AA164" i="33" s="1"/>
  <c r="T176" i="30"/>
  <c r="AF176" i="30" s="1"/>
  <c r="X176" i="30"/>
  <c r="AA176" i="30" s="1"/>
  <c r="Z176" i="30"/>
  <c r="AC176" i="30" s="1"/>
  <c r="Y176" i="30"/>
  <c r="AB176" i="30" s="1"/>
  <c r="Z176" i="33"/>
  <c r="AC176" i="33" s="1"/>
  <c r="Y176" i="33"/>
  <c r="AB176" i="33" s="1"/>
  <c r="X176" i="33"/>
  <c r="AA176" i="33" s="1"/>
  <c r="T176" i="33"/>
  <c r="T165" i="33"/>
  <c r="Y165" i="33"/>
  <c r="AB165" i="33" s="1"/>
  <c r="Z165" i="33"/>
  <c r="AC165" i="33" s="1"/>
  <c r="X165" i="33"/>
  <c r="AA165" i="33" s="1"/>
  <c r="Z169" i="33"/>
  <c r="AC169" i="33" s="1"/>
  <c r="Y169" i="33"/>
  <c r="AB169" i="33" s="1"/>
  <c r="X169" i="33"/>
  <c r="AA169" i="33" s="1"/>
  <c r="T169" i="33"/>
  <c r="W169" i="33" s="1"/>
  <c r="Y167" i="30"/>
  <c r="AB167" i="30" s="1"/>
  <c r="X167" i="30"/>
  <c r="AA167" i="30" s="1"/>
  <c r="T167" i="30"/>
  <c r="Z167" i="30"/>
  <c r="AC167" i="30" s="1"/>
  <c r="Z171" i="30"/>
  <c r="AC171" i="30" s="1"/>
  <c r="X171" i="30"/>
  <c r="AA171" i="30" s="1"/>
  <c r="T171" i="30"/>
  <c r="Y171" i="30"/>
  <c r="AB171" i="30" s="1"/>
  <c r="T168" i="30"/>
  <c r="Y168" i="30"/>
  <c r="AB168" i="30" s="1"/>
  <c r="Z168" i="30"/>
  <c r="AC168" i="30" s="1"/>
  <c r="X168" i="30"/>
  <c r="AA168" i="30" s="1"/>
  <c r="Z172" i="30"/>
  <c r="AC172" i="30" s="1"/>
  <c r="Y172" i="30"/>
  <c r="AB172" i="30" s="1"/>
  <c r="X172" i="30"/>
  <c r="AA172" i="30" s="1"/>
  <c r="T172" i="30"/>
  <c r="X170" i="33"/>
  <c r="AA170" i="33" s="1"/>
  <c r="Z170" i="33"/>
  <c r="AC170" i="33" s="1"/>
  <c r="T170" i="33"/>
  <c r="Y170" i="33"/>
  <c r="AB170" i="33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W171" i="33" s="1"/>
  <c r="Y171" i="33"/>
  <c r="AB171" i="33" s="1"/>
  <c r="X171" i="33"/>
  <c r="AA171" i="33" s="1"/>
  <c r="Z166" i="33"/>
  <c r="AC166" i="33" s="1"/>
  <c r="Y166" i="33"/>
  <c r="AB166" i="33" s="1"/>
  <c r="T166" i="33"/>
  <c r="AI166" i="33" s="1"/>
  <c r="X166" i="33"/>
  <c r="AA166" i="33" s="1"/>
  <c r="Z165" i="30"/>
  <c r="AC165" i="30" s="1"/>
  <c r="X165" i="30"/>
  <c r="AA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X168" i="33"/>
  <c r="AA168" i="33" s="1"/>
  <c r="Z168" i="33"/>
  <c r="AC168" i="33" s="1"/>
  <c r="T168" i="33"/>
  <c r="W168" i="33" s="1"/>
  <c r="Y168" i="33"/>
  <c r="AB168" i="33" s="1"/>
  <c r="Y172" i="33"/>
  <c r="AB172" i="33" s="1"/>
  <c r="X172" i="33"/>
  <c r="AA172" i="33" s="1"/>
  <c r="T172" i="33"/>
  <c r="AJ172" i="33" s="1"/>
  <c r="Z172" i="33"/>
  <c r="AC172" i="33" s="1"/>
  <c r="Z166" i="30"/>
  <c r="AC166" i="30" s="1"/>
  <c r="Y166" i="30"/>
  <c r="AB166" i="30" s="1"/>
  <c r="X166" i="30"/>
  <c r="AA166" i="30" s="1"/>
  <c r="T166" i="30"/>
  <c r="X170" i="30"/>
  <c r="AA170" i="30" s="1"/>
  <c r="T170" i="30"/>
  <c r="Y170" i="30"/>
  <c r="AB170" i="30" s="1"/>
  <c r="Z170" i="30"/>
  <c r="AC170" i="30" s="1"/>
  <c r="Z4" i="31"/>
  <c r="Z3" i="31"/>
  <c r="AC209" i="33"/>
  <c r="K111" i="33"/>
  <c r="AW19" i="32"/>
  <c r="AW64" i="32" s="1"/>
  <c r="AW110" i="32" s="1"/>
  <c r="BE15" i="32"/>
  <c r="BM90" i="32"/>
  <c r="AW17" i="32"/>
  <c r="BE19" i="32"/>
  <c r="BE64" i="32" s="1"/>
  <c r="BE110" i="32" s="1"/>
  <c r="AW15" i="32"/>
  <c r="BC15" i="32"/>
  <c r="BS19" i="32"/>
  <c r="BS64" i="32" s="1"/>
  <c r="BS110" i="32" s="1"/>
  <c r="BK15" i="32"/>
  <c r="BC19" i="32"/>
  <c r="I71" i="31"/>
  <c r="BS15" i="32"/>
  <c r="Q69" i="31"/>
  <c r="C71" i="31"/>
  <c r="C69" i="31"/>
  <c r="S71" i="31"/>
  <c r="K69" i="31"/>
  <c r="S69" i="31"/>
  <c r="M69" i="31"/>
  <c r="BA93" i="32"/>
  <c r="BD19" i="32"/>
  <c r="BD64" i="32" s="1"/>
  <c r="BD110" i="32" s="1"/>
  <c r="AV93" i="32"/>
  <c r="U69" i="31"/>
  <c r="K71" i="31"/>
  <c r="AV92" i="32"/>
  <c r="Y69" i="31"/>
  <c r="Q71" i="31"/>
  <c r="AV94" i="32"/>
  <c r="AW93" i="32"/>
  <c r="C70" i="31"/>
  <c r="Y71" i="31"/>
  <c r="G69" i="31"/>
  <c r="O69" i="31"/>
  <c r="W69" i="31"/>
  <c r="AX92" i="32"/>
  <c r="AX99" i="32" s="1"/>
  <c r="AX100" i="32" s="1"/>
  <c r="AX101" i="32" s="1"/>
  <c r="E69" i="31"/>
  <c r="K70" i="31"/>
  <c r="I69" i="31"/>
  <c r="BD90" i="32"/>
  <c r="BD99" i="32" s="1"/>
  <c r="BD100" i="32" s="1"/>
  <c r="BD101" i="32" s="1"/>
  <c r="BL90" i="32"/>
  <c r="BL99" i="32" s="1"/>
  <c r="BL100" i="32" s="1"/>
  <c r="BL101" i="32" s="1"/>
  <c r="AV90" i="32"/>
  <c r="BG91" i="33"/>
  <c r="BB72" i="33"/>
  <c r="W187" i="33"/>
  <c r="X25" i="31"/>
  <c r="W135" i="34"/>
  <c r="X139" i="34"/>
  <c r="AC189" i="33"/>
  <c r="AB189" i="33"/>
  <c r="AA189" i="33"/>
  <c r="AC189" i="30"/>
  <c r="AB189" i="30"/>
  <c r="AA189" i="30"/>
  <c r="C186" i="34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W33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H20" i="31"/>
  <c r="H21" i="31" s="1"/>
  <c r="H7" i="31" s="1"/>
  <c r="H12" i="31" s="1"/>
  <c r="X20" i="31"/>
  <c r="X21" i="31" s="1"/>
  <c r="X7" i="31" s="1"/>
  <c r="X12" i="31" s="1"/>
  <c r="AZ90" i="32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D225" i="34" s="1"/>
  <c r="AE215" i="33"/>
  <c r="AE223" i="33"/>
  <c r="AO190" i="34"/>
  <c r="AC48" i="33"/>
  <c r="AC50" i="33"/>
  <c r="AC51" i="33"/>
  <c r="BI92" i="33"/>
  <c r="AE183" i="33"/>
  <c r="AE191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B72" i="32" s="1"/>
  <c r="BR27" i="32"/>
  <c r="BO28" i="32"/>
  <c r="AW27" i="32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AV62" i="32"/>
  <c r="AV108" i="32" s="1"/>
  <c r="BA27" i="32"/>
  <c r="BI27" i="32"/>
  <c r="BQ27" i="32"/>
  <c r="BQ61" i="32" s="1"/>
  <c r="BQ107" i="32" s="1"/>
  <c r="AZ28" i="32"/>
  <c r="AZ62" i="32" s="1"/>
  <c r="AZ108" i="32" s="1"/>
  <c r="BB29" i="32"/>
  <c r="BB63" i="32" s="1"/>
  <c r="BB109" i="32" s="1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AO28" i="33" s="1"/>
  <c r="AP28" i="33" s="1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BA77" i="32"/>
  <c r="BA66" i="32"/>
  <c r="CY69" i="32"/>
  <c r="CY80" i="32"/>
  <c r="W191" i="30"/>
  <c r="AA30" i="30"/>
  <c r="W33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A63" i="32"/>
  <c r="BA109" i="32" s="1"/>
  <c r="BF99" i="32"/>
  <c r="BF100" i="32" s="1"/>
  <c r="BF101" i="32" s="1"/>
  <c r="BG99" i="32"/>
  <c r="BG100" i="32" s="1"/>
  <c r="BG101" i="32" s="1"/>
  <c r="BO99" i="32"/>
  <c r="BO100" i="32" s="1"/>
  <c r="BO101" i="32" s="1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R99" i="32"/>
  <c r="BR100" i="32" s="1"/>
  <c r="BR101" i="32" s="1"/>
  <c r="CD99" i="32"/>
  <c r="CD100" i="32" s="1"/>
  <c r="CD101" i="32" s="1"/>
  <c r="CT99" i="32"/>
  <c r="CT62" i="32"/>
  <c r="CH64" i="32"/>
  <c r="BD65" i="32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L33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N54" i="31" s="1"/>
  <c r="F158" i="31"/>
  <c r="F57" i="31" s="1"/>
  <c r="N160" i="31"/>
  <c r="F162" i="31"/>
  <c r="Y154" i="31"/>
  <c r="U154" i="31"/>
  <c r="U62" i="31" s="1"/>
  <c r="U63" i="31" s="1"/>
  <c r="U49" i="31" s="1"/>
  <c r="U54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M54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Z5" i="31"/>
  <c r="Q20" i="31"/>
  <c r="Q21" i="31" s="1"/>
  <c r="Q7" i="31" s="1"/>
  <c r="Q12" i="31" s="1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N5" i="31"/>
  <c r="U5" i="31"/>
  <c r="C182" i="34"/>
  <c r="X271" i="33"/>
  <c r="X233" i="33"/>
  <c r="C306" i="34" s="1"/>
  <c r="J20" i="31"/>
  <c r="J21" i="31" s="1"/>
  <c r="J7" i="31" s="1"/>
  <c r="J12" i="31" s="1"/>
  <c r="X41" i="31"/>
  <c r="X42" i="31" s="1"/>
  <c r="X28" i="31" s="1"/>
  <c r="X33" i="31" s="1"/>
  <c r="Z32" i="30"/>
  <c r="AJ183" i="30"/>
  <c r="AJ196" i="30"/>
  <c r="V199" i="30"/>
  <c r="AE199" i="30"/>
  <c r="AG202" i="30"/>
  <c r="U202" i="30"/>
  <c r="AB205" i="30"/>
  <c r="F4" i="31"/>
  <c r="F5" i="31"/>
  <c r="Y24" i="30"/>
  <c r="Y26" i="30"/>
  <c r="Y29" i="30"/>
  <c r="Y32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A191" i="30"/>
  <c r="AD191" i="30" s="1"/>
  <c r="AH191" i="30" s="1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X8" i="31" s="1"/>
  <c r="BF3" i="31"/>
  <c r="BK3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Y20" i="31"/>
  <c r="Y21" i="31" s="1"/>
  <c r="Y7" i="31" s="1"/>
  <c r="Y12" i="31" s="1"/>
  <c r="D20" i="31"/>
  <c r="D21" i="31" s="1"/>
  <c r="D7" i="31" s="1"/>
  <c r="D12" i="31" s="1"/>
  <c r="L5" i="31"/>
  <c r="T20" i="31"/>
  <c r="T21" i="31" s="1"/>
  <c r="T7" i="31" s="1"/>
  <c r="T12" i="31" s="1"/>
  <c r="G3" i="31"/>
  <c r="O4" i="31"/>
  <c r="W3" i="31"/>
  <c r="W8" i="31" s="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B100" i="32"/>
  <c r="BB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BG76" i="32"/>
  <c r="BG65" i="32"/>
  <c r="BO76" i="32"/>
  <c r="BO65" i="32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J106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I4" i="31"/>
  <c r="T4" i="31"/>
  <c r="Y4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76" i="32"/>
  <c r="BE65" i="32"/>
  <c r="BE76" i="32"/>
  <c r="BM65" i="32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BA75" i="32" s="1"/>
  <c r="AW30" i="32"/>
  <c r="AW75" i="32" s="1"/>
  <c r="BP30" i="32"/>
  <c r="BH30" i="32"/>
  <c r="AZ30" i="32"/>
  <c r="BO30" i="32"/>
  <c r="BO75" i="32" s="1"/>
  <c r="BG30" i="32"/>
  <c r="BG75" i="32" s="1"/>
  <c r="AY30" i="32"/>
  <c r="BL30" i="32"/>
  <c r="BL75" i="32" s="1"/>
  <c r="BD30" i="32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AV99" i="32"/>
  <c r="AV100" i="32" s="1"/>
  <c r="AV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12" i="31" s="1"/>
  <c r="C5" i="31"/>
  <c r="G20" i="31"/>
  <c r="G21" i="31" s="1"/>
  <c r="G7" i="31" s="1"/>
  <c r="G12" i="31" s="1"/>
  <c r="G5" i="31"/>
  <c r="K20" i="31"/>
  <c r="K21" i="31" s="1"/>
  <c r="K7" i="31" s="1"/>
  <c r="K12" i="31" s="1"/>
  <c r="K5" i="31"/>
  <c r="O20" i="31"/>
  <c r="O21" i="31" s="1"/>
  <c r="O7" i="31" s="1"/>
  <c r="O12" i="31" s="1"/>
  <c r="O5" i="31"/>
  <c r="S20" i="31"/>
  <c r="S21" i="31" s="1"/>
  <c r="S7" i="31" s="1"/>
  <c r="S12" i="31" s="1"/>
  <c r="S5" i="31"/>
  <c r="S201" i="31" s="1"/>
  <c r="W20" i="31"/>
  <c r="W21" i="31" s="1"/>
  <c r="W7" i="31" s="1"/>
  <c r="W12" i="31" s="1"/>
  <c r="W5" i="31"/>
  <c r="W9" i="31" s="1"/>
  <c r="G41" i="31"/>
  <c r="G42" i="31" s="1"/>
  <c r="G28" i="31" s="1"/>
  <c r="G33" i="31" s="1"/>
  <c r="J62" i="31"/>
  <c r="J63" i="31" s="1"/>
  <c r="J49" i="31" s="1"/>
  <c r="J54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AW107" i="32" s="1"/>
  <c r="BA72" i="32"/>
  <c r="BA61" i="32"/>
  <c r="BA107" i="32" s="1"/>
  <c r="BI72" i="32"/>
  <c r="BI61" i="32"/>
  <c r="BI107" i="32" s="1"/>
  <c r="BM72" i="32"/>
  <c r="BM61" i="32"/>
  <c r="BM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76" i="32"/>
  <c r="BB65" i="32"/>
  <c r="BB76" i="32"/>
  <c r="BF65" i="32"/>
  <c r="BF76" i="32"/>
  <c r="BJ65" i="32"/>
  <c r="BJ76" i="32"/>
  <c r="BN65" i="32"/>
  <c r="BN76" i="32"/>
  <c r="BR65" i="32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K76" i="32"/>
  <c r="BK65" i="32"/>
  <c r="BS76" i="32"/>
  <c r="BS65" i="32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I76" i="32"/>
  <c r="CV76" i="32"/>
  <c r="CG78" i="32"/>
  <c r="DQ78" i="32"/>
  <c r="BO79" i="32"/>
  <c r="DF79" i="32"/>
  <c r="BD80" i="32"/>
  <c r="CQ80" i="32"/>
  <c r="EA80" i="32"/>
  <c r="BA99" i="32"/>
  <c r="BA100" i="32" s="1"/>
  <c r="BA101" i="32" s="1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BH65" i="32"/>
  <c r="BP65" i="32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C213" i="33"/>
  <c r="AB216" i="33"/>
  <c r="AA216" i="33"/>
  <c r="AD216" i="33" s="1"/>
  <c r="AC221" i="33"/>
  <c r="AB224" i="33"/>
  <c r="AA224" i="33"/>
  <c r="AD224" i="33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D191" i="33" s="1"/>
  <c r="AH191" i="33" s="1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S5" i="7"/>
  <c r="S6" i="7"/>
  <c r="BB7" i="31" s="1"/>
  <c r="BH7" i="31" s="1"/>
  <c r="AF175" i="30" l="1"/>
  <c r="BQ72" i="32"/>
  <c r="BP73" i="32"/>
  <c r="BL64" i="32"/>
  <c r="BL110" i="32" s="1"/>
  <c r="BM75" i="32"/>
  <c r="BB61" i="32"/>
  <c r="BB107" i="32" s="1"/>
  <c r="AY61" i="32"/>
  <c r="AY107" i="32" s="1"/>
  <c r="BB74" i="32"/>
  <c r="BA73" i="32"/>
  <c r="BA82" i="32" s="1"/>
  <c r="AZ61" i="32"/>
  <c r="AZ107" i="32" s="1"/>
  <c r="D182" i="34"/>
  <c r="AJ215" i="34" s="1"/>
  <c r="D186" i="34"/>
  <c r="AK231" i="34" s="1"/>
  <c r="AO231" i="34" s="1"/>
  <c r="AR231" i="34" s="1"/>
  <c r="AS231" i="34" s="1"/>
  <c r="AT231" i="34" s="1"/>
  <c r="AW231" i="34" s="1"/>
  <c r="AD208" i="33"/>
  <c r="AH208" i="33" s="1"/>
  <c r="AA240" i="33"/>
  <c r="AB240" i="33" s="1"/>
  <c r="AC240" i="33" s="1"/>
  <c r="AF240" i="33" s="1"/>
  <c r="C310" i="34"/>
  <c r="B95" i="32"/>
  <c r="D95" i="32" s="1"/>
  <c r="C251" i="34"/>
  <c r="D251" i="34" s="1"/>
  <c r="AK191" i="34"/>
  <c r="AO191" i="34" s="1"/>
  <c r="T247" i="33"/>
  <c r="X247" i="33" s="1"/>
  <c r="AJ173" i="33"/>
  <c r="AG187" i="30"/>
  <c r="W176" i="30"/>
  <c r="AD172" i="30"/>
  <c r="AH172" i="30" s="1"/>
  <c r="AI172" i="33"/>
  <c r="W172" i="33"/>
  <c r="AE172" i="33"/>
  <c r="V172" i="33"/>
  <c r="AF172" i="33"/>
  <c r="U172" i="33"/>
  <c r="AG172" i="33"/>
  <c r="AE174" i="33"/>
  <c r="W164" i="33"/>
  <c r="AD172" i="33"/>
  <c r="AH172" i="33" s="1"/>
  <c r="AD176" i="30"/>
  <c r="AH176" i="30" s="1"/>
  <c r="U175" i="30"/>
  <c r="U164" i="33"/>
  <c r="AG164" i="33"/>
  <c r="AJ175" i="30"/>
  <c r="V175" i="30"/>
  <c r="AG175" i="30"/>
  <c r="V164" i="33"/>
  <c r="AF164" i="33"/>
  <c r="Z2" i="31"/>
  <c r="Z201" i="31"/>
  <c r="Z212" i="31" s="1"/>
  <c r="AF174" i="33"/>
  <c r="AG174" i="33"/>
  <c r="V174" i="33"/>
  <c r="B97" i="32"/>
  <c r="D97" i="32" s="1"/>
  <c r="V173" i="33"/>
  <c r="AG176" i="30"/>
  <c r="AE176" i="30"/>
  <c r="U176" i="30"/>
  <c r="V176" i="30"/>
  <c r="AI176" i="30"/>
  <c r="AE173" i="33"/>
  <c r="AF173" i="33"/>
  <c r="W173" i="33"/>
  <c r="U173" i="33"/>
  <c r="AD174" i="33"/>
  <c r="AJ174" i="33" s="1"/>
  <c r="W174" i="33"/>
  <c r="U175" i="33"/>
  <c r="AF175" i="33"/>
  <c r="AI175" i="33"/>
  <c r="W175" i="33"/>
  <c r="AE175" i="33"/>
  <c r="V175" i="33"/>
  <c r="AG175" i="33"/>
  <c r="U174" i="33"/>
  <c r="W175" i="30"/>
  <c r="AD187" i="33"/>
  <c r="AH187" i="33" s="1"/>
  <c r="V164" i="30"/>
  <c r="AD175" i="30"/>
  <c r="AH175" i="30" s="1"/>
  <c r="AJ164" i="30"/>
  <c r="AI174" i="33"/>
  <c r="AJ176" i="30"/>
  <c r="AD176" i="33"/>
  <c r="AJ176" i="33" s="1"/>
  <c r="AD173" i="30"/>
  <c r="AI173" i="30" s="1"/>
  <c r="AF186" i="33"/>
  <c r="AD188" i="30"/>
  <c r="AJ188" i="30" s="1"/>
  <c r="AE175" i="30"/>
  <c r="AI171" i="33"/>
  <c r="AD171" i="30"/>
  <c r="AJ171" i="30" s="1"/>
  <c r="AD174" i="30"/>
  <c r="AJ174" i="30" s="1"/>
  <c r="V171" i="33"/>
  <c r="AF171" i="33"/>
  <c r="U171" i="33"/>
  <c r="AE171" i="33"/>
  <c r="AG171" i="33"/>
  <c r="F201" i="31"/>
  <c r="D201" i="31"/>
  <c r="D212" i="31" s="1"/>
  <c r="H201" i="31"/>
  <c r="X201" i="31"/>
  <c r="AD188" i="33"/>
  <c r="AH188" i="33" s="1"/>
  <c r="AD167" i="30"/>
  <c r="AJ167" i="30" s="1"/>
  <c r="W186" i="30"/>
  <c r="AD169" i="30"/>
  <c r="AJ169" i="30" s="1"/>
  <c r="AG186" i="30"/>
  <c r="AE186" i="30"/>
  <c r="V186" i="30"/>
  <c r="AF168" i="33"/>
  <c r="AD209" i="33"/>
  <c r="AH209" i="33" s="1"/>
  <c r="V168" i="33"/>
  <c r="AY75" i="32"/>
  <c r="BS75" i="32"/>
  <c r="AO27" i="33"/>
  <c r="AP27" i="33" s="1"/>
  <c r="AP29" i="33" s="1"/>
  <c r="J35" i="33" s="1"/>
  <c r="C202" i="34" s="1"/>
  <c r="BD75" i="32"/>
  <c r="AZ99" i="32"/>
  <c r="AZ100" i="32" s="1"/>
  <c r="AZ101" i="32" s="1"/>
  <c r="AF169" i="33"/>
  <c r="V169" i="33"/>
  <c r="U169" i="33"/>
  <c r="AD195" i="33"/>
  <c r="AH195" i="33" s="1"/>
  <c r="W164" i="30"/>
  <c r="AE169" i="33"/>
  <c r="AI168" i="33"/>
  <c r="U164" i="30"/>
  <c r="AF186" i="30"/>
  <c r="AF164" i="30"/>
  <c r="AD203" i="33"/>
  <c r="AH203" i="33" s="1"/>
  <c r="AD194" i="30"/>
  <c r="AH194" i="30" s="1"/>
  <c r="AD211" i="33"/>
  <c r="AH211" i="33" s="1"/>
  <c r="AD175" i="33"/>
  <c r="AH175" i="33" s="1"/>
  <c r="AE164" i="33"/>
  <c r="AD197" i="30"/>
  <c r="AH197" i="30" s="1"/>
  <c r="AD195" i="30"/>
  <c r="AH195" i="30" s="1"/>
  <c r="AG186" i="33"/>
  <c r="AG169" i="33"/>
  <c r="AG168" i="33"/>
  <c r="W187" i="30"/>
  <c r="U168" i="33"/>
  <c r="AD170" i="33"/>
  <c r="AJ170" i="33" s="1"/>
  <c r="AD171" i="33"/>
  <c r="AH171" i="33" s="1"/>
  <c r="AE164" i="30"/>
  <c r="AD189" i="30"/>
  <c r="AH189" i="30" s="1"/>
  <c r="AD206" i="33"/>
  <c r="AH206" i="33" s="1"/>
  <c r="AE168" i="33"/>
  <c r="AD166" i="30"/>
  <c r="AH166" i="30" s="1"/>
  <c r="AI187" i="33"/>
  <c r="U187" i="33"/>
  <c r="V187" i="33"/>
  <c r="AG187" i="33"/>
  <c r="AE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AD165" i="33"/>
  <c r="AJ165" i="33" s="1"/>
  <c r="AI167" i="33"/>
  <c r="AD167" i="33"/>
  <c r="AJ167" i="33" s="1"/>
  <c r="AH167" i="33"/>
  <c r="AE167" i="33"/>
  <c r="V167" i="33"/>
  <c r="AD169" i="33"/>
  <c r="AH169" i="33" s="1"/>
  <c r="V166" i="33"/>
  <c r="AF166" i="33"/>
  <c r="AE166" i="33"/>
  <c r="U166" i="33"/>
  <c r="AG166" i="33"/>
  <c r="W166" i="33"/>
  <c r="AJ166" i="33"/>
  <c r="AD166" i="33"/>
  <c r="AH166" i="33" s="1"/>
  <c r="U187" i="30"/>
  <c r="AE187" i="30"/>
  <c r="V187" i="30"/>
  <c r="AF187" i="30"/>
  <c r="AI187" i="30"/>
  <c r="V186" i="33"/>
  <c r="W186" i="33"/>
  <c r="AE186" i="33"/>
  <c r="P132" i="34"/>
  <c r="X32" i="31"/>
  <c r="X34" i="31" s="1"/>
  <c r="BS72" i="32"/>
  <c r="CX83" i="32"/>
  <c r="BO64" i="32"/>
  <c r="BO110" i="32" s="1"/>
  <c r="BD63" i="32"/>
  <c r="BD109" i="32" s="1"/>
  <c r="AZ73" i="32"/>
  <c r="BR75" i="32"/>
  <c r="W59" i="31"/>
  <c r="BJ71" i="32"/>
  <c r="X58" i="31"/>
  <c r="O62" i="31"/>
  <c r="O63" i="31" s="1"/>
  <c r="O49" i="31" s="1"/>
  <c r="O54" i="31" s="1"/>
  <c r="P61" i="31"/>
  <c r="P48" i="31" s="1"/>
  <c r="Y59" i="31"/>
  <c r="W58" i="31"/>
  <c r="V62" i="31"/>
  <c r="V63" i="31" s="1"/>
  <c r="V49" i="31" s="1"/>
  <c r="V54" i="31" s="1"/>
  <c r="V55" i="31" s="1"/>
  <c r="Z58" i="31"/>
  <c r="DZ82" i="32"/>
  <c r="BJ75" i="32"/>
  <c r="BJ82" i="32" s="1"/>
  <c r="O58" i="31"/>
  <c r="BE73" i="32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4" i="31" s="1"/>
  <c r="K57" i="31"/>
  <c r="G62" i="31"/>
  <c r="G63" i="31" s="1"/>
  <c r="G49" i="31" s="1"/>
  <c r="G54" i="31" s="1"/>
  <c r="G55" i="31" s="1"/>
  <c r="BN71" i="32"/>
  <c r="J57" i="31"/>
  <c r="E62" i="31"/>
  <c r="E63" i="31" s="1"/>
  <c r="E49" i="31" s="1"/>
  <c r="E54" i="31" s="1"/>
  <c r="Z62" i="31"/>
  <c r="Z63" i="31" s="1"/>
  <c r="Z49" i="31" s="1"/>
  <c r="Z54" i="31" s="1"/>
  <c r="Z55" i="31" s="1"/>
  <c r="C181" i="31"/>
  <c r="C196" i="31" s="1"/>
  <c r="G76" i="32" s="1"/>
  <c r="BS74" i="32"/>
  <c r="AZ71" i="32"/>
  <c r="H59" i="31"/>
  <c r="Q62" i="31"/>
  <c r="Q63" i="31" s="1"/>
  <c r="Q49" i="31" s="1"/>
  <c r="Q54" i="31" s="1"/>
  <c r="R62" i="31"/>
  <c r="R63" i="31" s="1"/>
  <c r="R49" i="31" s="1"/>
  <c r="R54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BJ101" i="33"/>
  <c r="BI3" i="31"/>
  <c r="BJ3" i="31"/>
  <c r="C202" i="31"/>
  <c r="C213" i="31" s="1"/>
  <c r="BI60" i="32"/>
  <c r="BI106" i="32" s="1"/>
  <c r="AV61" i="32"/>
  <c r="AV107" i="32" s="1"/>
  <c r="AV74" i="32"/>
  <c r="AV84" i="32" s="1"/>
  <c r="AV71" i="32"/>
  <c r="AX60" i="32"/>
  <c r="BB60" i="32"/>
  <c r="BQ62" i="32"/>
  <c r="BQ108" i="32" s="1"/>
  <c r="AW62" i="32"/>
  <c r="AW108" i="32" s="1"/>
  <c r="BR60" i="32"/>
  <c r="BD60" i="32"/>
  <c r="BD73" i="32"/>
  <c r="BD84" i="32" s="1"/>
  <c r="BC60" i="32"/>
  <c r="BS73" i="32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S212" i="31"/>
  <c r="CQ117" i="32"/>
  <c r="V6" i="32" s="1"/>
  <c r="BI94" i="33"/>
  <c r="DJ117" i="32"/>
  <c r="L7" i="32" s="1"/>
  <c r="BS62" i="32"/>
  <c r="BS108" i="32" s="1"/>
  <c r="DZ84" i="32"/>
  <c r="DS117" i="32"/>
  <c r="U7" i="32" s="1"/>
  <c r="G58" i="31"/>
  <c r="S61" i="31"/>
  <c r="S48" i="31" s="1"/>
  <c r="S62" i="31"/>
  <c r="S63" i="31" s="1"/>
  <c r="S49" i="31" s="1"/>
  <c r="S54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AK20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F54" i="31" s="1"/>
  <c r="S38" i="31"/>
  <c r="S40" i="31"/>
  <c r="S27" i="31" s="1"/>
  <c r="S41" i="31"/>
  <c r="S42" i="31" s="1"/>
  <c r="S28" i="31" s="1"/>
  <c r="S33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K33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I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I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3" i="31" s="1"/>
  <c r="T37" i="31"/>
  <c r="V60" i="31"/>
  <c r="V64" i="31" s="1"/>
  <c r="F60" i="31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3" i="31" s="1"/>
  <c r="O37" i="31"/>
  <c r="M40" i="31"/>
  <c r="M27" i="31" s="1"/>
  <c r="M38" i="31"/>
  <c r="M36" i="31"/>
  <c r="M41" i="31"/>
  <c r="M42" i="31" s="1"/>
  <c r="M28" i="31" s="1"/>
  <c r="M33" i="31" s="1"/>
  <c r="M37" i="31"/>
  <c r="F41" i="31"/>
  <c r="F42" i="31" s="1"/>
  <c r="F28" i="31" s="1"/>
  <c r="F33" i="31" s="1"/>
  <c r="F40" i="31"/>
  <c r="F27" i="31" s="1"/>
  <c r="F38" i="31"/>
  <c r="F37" i="31"/>
  <c r="F36" i="31"/>
  <c r="V41" i="31"/>
  <c r="V42" i="31" s="1"/>
  <c r="V28" i="31" s="1"/>
  <c r="V33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4" i="31" s="1"/>
  <c r="L59" i="31"/>
  <c r="L58" i="31"/>
  <c r="L61" i="31"/>
  <c r="L48" i="31" s="1"/>
  <c r="L57" i="31"/>
  <c r="L60" i="31" s="1"/>
  <c r="U58" i="31"/>
  <c r="Q60" i="31"/>
  <c r="Q64" i="31" s="1"/>
  <c r="E58" i="31"/>
  <c r="P41" i="31"/>
  <c r="P42" i="31" s="1"/>
  <c r="P28" i="31" s="1"/>
  <c r="P33" i="31" s="1"/>
  <c r="P37" i="31"/>
  <c r="P36" i="31"/>
  <c r="P40" i="31"/>
  <c r="P27" i="31" s="1"/>
  <c r="P38" i="31"/>
  <c r="DC74" i="32"/>
  <c r="DC109" i="32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H167" i="30"/>
  <c r="AG167" i="30"/>
  <c r="AI165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112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3" i="31" s="1"/>
  <c r="Q37" i="31"/>
  <c r="Q40" i="31"/>
  <c r="Q27" i="31" s="1"/>
  <c r="Q38" i="31"/>
  <c r="Q36" i="31"/>
  <c r="J41" i="31"/>
  <c r="J42" i="31" s="1"/>
  <c r="J28" i="31" s="1"/>
  <c r="J33" i="31" s="1"/>
  <c r="J40" i="31"/>
  <c r="J27" i="31" s="1"/>
  <c r="J38" i="31"/>
  <c r="J37" i="31"/>
  <c r="J36" i="31"/>
  <c r="Z41" i="31"/>
  <c r="Z42" i="31" s="1"/>
  <c r="Z28" i="31" s="1"/>
  <c r="Z33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3" i="31" s="1"/>
  <c r="H37" i="31"/>
  <c r="P58" i="31"/>
  <c r="O36" i="31"/>
  <c r="L2" i="31"/>
  <c r="AU120" i="34"/>
  <c r="AU59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X54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F176" i="33"/>
  <c r="AI176" i="33"/>
  <c r="AE176" i="33"/>
  <c r="W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E41" i="31"/>
  <c r="E42" i="31" s="1"/>
  <c r="E28" i="31" s="1"/>
  <c r="E33" i="31" s="1"/>
  <c r="E37" i="31"/>
  <c r="E36" i="31"/>
  <c r="E40" i="31"/>
  <c r="E27" i="31" s="1"/>
  <c r="E38" i="31"/>
  <c r="U41" i="31"/>
  <c r="U42" i="31" s="1"/>
  <c r="U28" i="31" s="1"/>
  <c r="U33" i="31" s="1"/>
  <c r="U37" i="31"/>
  <c r="U40" i="31"/>
  <c r="U27" i="31" s="1"/>
  <c r="U38" i="31"/>
  <c r="U36" i="31"/>
  <c r="N41" i="31"/>
  <c r="N42" i="31" s="1"/>
  <c r="N28" i="31" s="1"/>
  <c r="N33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4" i="31" s="1"/>
  <c r="D58" i="31"/>
  <c r="T61" i="31"/>
  <c r="T48" i="31" s="1"/>
  <c r="T59" i="31"/>
  <c r="T57" i="31"/>
  <c r="T62" i="31"/>
  <c r="T63" i="31" s="1"/>
  <c r="T49" i="31" s="1"/>
  <c r="T54" i="31" s="1"/>
  <c r="T58" i="31"/>
  <c r="Y57" i="31"/>
  <c r="Y60" i="31" s="1"/>
  <c r="Y62" i="31"/>
  <c r="Y63" i="31" s="1"/>
  <c r="Y49" i="31" s="1"/>
  <c r="Y54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I54" i="31" s="1"/>
  <c r="E61" i="31"/>
  <c r="E48" i="31" s="1"/>
  <c r="X61" i="31"/>
  <c r="X48" i="31" s="1"/>
  <c r="P59" i="31"/>
  <c r="H58" i="31"/>
  <c r="H60" i="31" s="1"/>
  <c r="O38" i="31"/>
  <c r="T259" i="33"/>
  <c r="U259" i="33" s="1"/>
  <c r="T257" i="33"/>
  <c r="U257" i="33" s="1"/>
  <c r="T260" i="33"/>
  <c r="U260" i="33" s="1"/>
  <c r="T256" i="33"/>
  <c r="U256" i="33" s="1"/>
  <c r="T258" i="33"/>
  <c r="U258" i="33" s="1"/>
  <c r="EA83" i="32"/>
  <c r="EA84" i="32"/>
  <c r="EA82" i="32"/>
  <c r="EA81" i="32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G168" i="30"/>
  <c r="V168" i="30"/>
  <c r="AI166" i="30"/>
  <c r="AE166" i="30"/>
  <c r="W166" i="30"/>
  <c r="AF166" i="30"/>
  <c r="U166" i="30"/>
  <c r="V166" i="30"/>
  <c r="AJ166" i="30"/>
  <c r="AG166" i="30"/>
  <c r="AO166" i="30"/>
  <c r="AC228" i="30"/>
  <c r="K40" i="30" s="1"/>
  <c r="B52" i="32" s="1"/>
  <c r="C52" i="32" s="1"/>
  <c r="DY84" i="32"/>
  <c r="DY82" i="32"/>
  <c r="DY81" i="32"/>
  <c r="DY83" i="32"/>
  <c r="CS82" i="32"/>
  <c r="CS81" i="32"/>
  <c r="CS83" i="32"/>
  <c r="CS84" i="32"/>
  <c r="X43" i="31"/>
  <c r="R201" i="31"/>
  <c r="R2" i="31"/>
  <c r="AA34" i="30"/>
  <c r="K38" i="30" s="1"/>
  <c r="DU117" i="32"/>
  <c r="W7" i="32" s="1"/>
  <c r="CW117" i="32"/>
  <c r="AB6" i="32" s="1"/>
  <c r="H62" i="31"/>
  <c r="H63" i="31" s="1"/>
  <c r="H49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I33" i="31" s="1"/>
  <c r="Y40" i="31"/>
  <c r="Y27" i="31" s="1"/>
  <c r="Y38" i="31"/>
  <c r="Y36" i="31"/>
  <c r="Y41" i="31"/>
  <c r="Y42" i="31" s="1"/>
  <c r="Y28" i="31" s="1"/>
  <c r="Y33" i="31" s="1"/>
  <c r="Y37" i="31"/>
  <c r="R41" i="31"/>
  <c r="R42" i="31" s="1"/>
  <c r="R28" i="31" s="1"/>
  <c r="R33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D33" i="31" s="1"/>
  <c r="V2" i="31"/>
  <c r="AI188" i="30"/>
  <c r="AE188" i="30"/>
  <c r="W188" i="30"/>
  <c r="AF188" i="30"/>
  <c r="U188" i="30"/>
  <c r="AG188" i="30"/>
  <c r="V188" i="30"/>
  <c r="AD164" i="30"/>
  <c r="AI164" i="30" s="1"/>
  <c r="DM117" i="32"/>
  <c r="O7" i="32" s="1"/>
  <c r="CK117" i="32"/>
  <c r="P6" i="32" s="1"/>
  <c r="AD198" i="30"/>
  <c r="AH198" i="30" s="1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40" i="23"/>
  <c r="BR24" i="23"/>
  <c r="BR32" i="23"/>
  <c r="R55" i="31" l="1"/>
  <c r="Z64" i="31"/>
  <c r="W54" i="31"/>
  <c r="W55" i="31" s="1"/>
  <c r="P54" i="31"/>
  <c r="P55" i="31" s="1"/>
  <c r="H54" i="31"/>
  <c r="H55" i="31" s="1"/>
  <c r="F64" i="31"/>
  <c r="W64" i="31"/>
  <c r="L64" i="31"/>
  <c r="BA84" i="32"/>
  <c r="BA83" i="32"/>
  <c r="BA81" i="32"/>
  <c r="BA85" i="32" s="1"/>
  <c r="BE82" i="32"/>
  <c r="AJ217" i="34"/>
  <c r="AN217" i="34" s="1"/>
  <c r="AH169" i="30"/>
  <c r="B98" i="32"/>
  <c r="AH170" i="30"/>
  <c r="AH188" i="30"/>
  <c r="AH173" i="30"/>
  <c r="AH174" i="30"/>
  <c r="AH170" i="33"/>
  <c r="AH171" i="30"/>
  <c r="AJ168" i="30"/>
  <c r="AH174" i="33"/>
  <c r="AJ168" i="33"/>
  <c r="AJ187" i="30"/>
  <c r="AJ187" i="33"/>
  <c r="AH176" i="33"/>
  <c r="AH165" i="33"/>
  <c r="J110" i="33"/>
  <c r="AJ188" i="33"/>
  <c r="AI186" i="33"/>
  <c r="AI186" i="30"/>
  <c r="AI228" i="30" s="1"/>
  <c r="AH173" i="33"/>
  <c r="AI173" i="33"/>
  <c r="AJ171" i="33"/>
  <c r="BK84" i="32"/>
  <c r="BE84" i="32"/>
  <c r="BE83" i="32"/>
  <c r="BE81" i="32"/>
  <c r="BK83" i="32"/>
  <c r="BK85" i="32" s="1"/>
  <c r="AZ84" i="32"/>
  <c r="BS81" i="32"/>
  <c r="AV81" i="32"/>
  <c r="AV85" i="32" s="1"/>
  <c r="AZ83" i="32"/>
  <c r="BN81" i="32"/>
  <c r="AV82" i="32"/>
  <c r="BD81" i="32"/>
  <c r="AZ81" i="32"/>
  <c r="AV83" i="32"/>
  <c r="BD82" i="32"/>
  <c r="AZ82" i="32"/>
  <c r="BS82" i="32"/>
  <c r="BJ81" i="32"/>
  <c r="BJ84" i="32"/>
  <c r="BC81" i="32"/>
  <c r="BC85" i="32" s="1"/>
  <c r="BJ83" i="32"/>
  <c r="BD83" i="32"/>
  <c r="BS84" i="32"/>
  <c r="BC84" i="32"/>
  <c r="BC82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BH117" i="32"/>
  <c r="S5" i="32" s="1"/>
  <c r="BF117" i="32"/>
  <c r="Q5" i="32" s="1"/>
  <c r="BI117" i="32"/>
  <c r="T5" i="32" s="1"/>
  <c r="BG117" i="32"/>
  <c r="R5" i="32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R53" i="31"/>
  <c r="F55" i="31"/>
  <c r="BJ31" i="31"/>
  <c r="BL31" i="31"/>
  <c r="AQ5" i="31" s="1"/>
  <c r="BG31" i="31"/>
  <c r="AP3" i="31" s="1"/>
  <c r="AG29" i="33"/>
  <c r="J37" i="33" s="1"/>
  <c r="C203" i="34" s="1"/>
  <c r="J113" i="33"/>
  <c r="BK31" i="31"/>
  <c r="AQ6" i="31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I85" i="32"/>
  <c r="BQ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AD228" i="33"/>
  <c r="AO165" i="33"/>
  <c r="C78" i="34" s="1"/>
  <c r="AH164" i="33"/>
  <c r="BF85" i="32"/>
  <c r="C90" i="34"/>
  <c r="B51" i="32"/>
  <c r="C51" i="32" s="1"/>
  <c r="K33" i="30"/>
  <c r="CQ85" i="32"/>
  <c r="Y39" i="31"/>
  <c r="Y43" i="31" s="1"/>
  <c r="C132" i="34"/>
  <c r="D132" i="34" s="1"/>
  <c r="G18" i="3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AZ85" i="32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V44" i="33" s="1"/>
  <c r="V46" i="33" s="1"/>
  <c r="AJ36" i="33" s="1"/>
  <c r="AJ40" i="33" s="1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Q4" i="31" l="1"/>
  <c r="C75" i="34"/>
  <c r="BK86" i="32"/>
  <c r="BK87" i="32"/>
  <c r="BK102" i="32" s="1"/>
  <c r="V9" i="32" s="1"/>
  <c r="BQ87" i="32"/>
  <c r="BQ86" i="32"/>
  <c r="BC86" i="32"/>
  <c r="BC87" i="32"/>
  <c r="AZ86" i="32"/>
  <c r="AZ87" i="32"/>
  <c r="BF87" i="32"/>
  <c r="BF86" i="32"/>
  <c r="BI86" i="32"/>
  <c r="BI87" i="32"/>
  <c r="AX87" i="32"/>
  <c r="AX86" i="32"/>
  <c r="BA86" i="32"/>
  <c r="BA87" i="32"/>
  <c r="BN86" i="32"/>
  <c r="BN87" i="32"/>
  <c r="BG87" i="32"/>
  <c r="BG86" i="32"/>
  <c r="BB87" i="32"/>
  <c r="BB86" i="32"/>
  <c r="AW86" i="32"/>
  <c r="AW87" i="32"/>
  <c r="BL86" i="32"/>
  <c r="BL87" i="32"/>
  <c r="AV86" i="32"/>
  <c r="AV87" i="32"/>
  <c r="AY86" i="32"/>
  <c r="AY87" i="32"/>
  <c r="BM87" i="32"/>
  <c r="BM86" i="32"/>
  <c r="BD87" i="32"/>
  <c r="BD86" i="32"/>
  <c r="BH86" i="32"/>
  <c r="BH87" i="32"/>
  <c r="BR86" i="32"/>
  <c r="BR87" i="32"/>
  <c r="BP87" i="32"/>
  <c r="BP86" i="32"/>
  <c r="BE86" i="32"/>
  <c r="BE87" i="32"/>
  <c r="BO86" i="32"/>
  <c r="BO87" i="32"/>
  <c r="C71" i="34"/>
  <c r="C74" i="34" s="1"/>
  <c r="K48" i="30"/>
  <c r="B154" i="33" s="1"/>
  <c r="B149" i="33" s="1"/>
  <c r="J149" i="33" s="1"/>
  <c r="C304" i="34"/>
  <c r="AQ3" i="31"/>
  <c r="C305" i="34"/>
  <c r="AJ228" i="30"/>
  <c r="BS85" i="32"/>
  <c r="BN117" i="32"/>
  <c r="Y5" i="32" s="1"/>
  <c r="AI228" i="33"/>
  <c r="C133" i="33" s="1"/>
  <c r="J133" i="33" s="1"/>
  <c r="I34" i="31"/>
  <c r="AJ228" i="33"/>
  <c r="C134" i="33" s="1"/>
  <c r="J134" i="33" s="1"/>
  <c r="D34" i="31"/>
  <c r="R22" i="31"/>
  <c r="BJ85" i="32"/>
  <c r="BL117" i="32"/>
  <c r="W5" i="32" s="1"/>
  <c r="BE117" i="32"/>
  <c r="P5" i="32" s="1"/>
  <c r="AZ117" i="32"/>
  <c r="K5" i="32" s="1"/>
  <c r="BK117" i="32"/>
  <c r="V5" i="32" s="1"/>
  <c r="D22" i="31"/>
  <c r="BQ117" i="32"/>
  <c r="AB5" i="32" s="1"/>
  <c r="T22" i="31"/>
  <c r="BL102" i="32"/>
  <c r="W9" i="32" s="1"/>
  <c r="BO117" i="32"/>
  <c r="Z5" i="32" s="1"/>
  <c r="H202" i="31"/>
  <c r="T202" i="31"/>
  <c r="X202" i="31"/>
  <c r="V11" i="31"/>
  <c r="V13" i="31" s="1"/>
  <c r="F11" i="31"/>
  <c r="F13" i="31" s="1"/>
  <c r="N202" i="31"/>
  <c r="N213" i="31" s="1"/>
  <c r="U202" i="31"/>
  <c r="M11" i="31"/>
  <c r="M13" i="31" s="1"/>
  <c r="R11" i="31"/>
  <c r="R13" i="31" s="1"/>
  <c r="E202" i="31"/>
  <c r="W202" i="31"/>
  <c r="O180" i="31"/>
  <c r="O195" i="31" s="1"/>
  <c r="Q202" i="31"/>
  <c r="Q213" i="31" s="1"/>
  <c r="Q214" i="31" s="1"/>
  <c r="P11" i="31"/>
  <c r="P13" i="31" s="1"/>
  <c r="Y202" i="31"/>
  <c r="G202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H77" i="32"/>
  <c r="V77" i="32"/>
  <c r="X77" i="32"/>
  <c r="W77" i="32"/>
  <c r="C87" i="34"/>
  <c r="F56" i="32"/>
  <c r="C268" i="34" s="1"/>
  <c r="AW117" i="32"/>
  <c r="H5" i="32" s="1"/>
  <c r="BC117" i="32"/>
  <c r="N5" i="32" s="1"/>
  <c r="BA117" i="32"/>
  <c r="L5" i="32" s="1"/>
  <c r="Q11" i="31"/>
  <c r="Q13" i="31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D11" i="31"/>
  <c r="D13" i="31" s="1"/>
  <c r="D202" i="31"/>
  <c r="AD30" i="3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C22" i="31"/>
  <c r="C180" i="31"/>
  <c r="C195" i="31" s="1"/>
  <c r="G75" i="32" s="1"/>
  <c r="M212" i="31"/>
  <c r="H22" i="31"/>
  <c r="H180" i="31"/>
  <c r="H195" i="31" s="1"/>
  <c r="L75" i="32" s="1"/>
  <c r="V212" i="31"/>
  <c r="M22" i="31"/>
  <c r="M180" i="31"/>
  <c r="M195" i="31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Z38" i="33"/>
  <c r="Z39" i="33" s="1"/>
  <c r="B42" i="33"/>
  <c r="D275" i="34"/>
  <c r="F54" i="32"/>
  <c r="C266" i="34" s="1"/>
  <c r="F50" i="32"/>
  <c r="AH228" i="30"/>
  <c r="EB102" i="32"/>
  <c r="AD11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K253" i="34"/>
  <c r="L253" i="34" s="1"/>
  <c r="B55" i="32"/>
  <c r="C55" i="32" s="1"/>
  <c r="K43" i="30"/>
  <c r="C88" i="34" s="1"/>
  <c r="F51" i="32"/>
  <c r="C263" i="34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AY102" i="32" l="1"/>
  <c r="J9" i="32" s="1"/>
  <c r="BB102" i="32"/>
  <c r="M9" i="32" s="1"/>
  <c r="BO102" i="32"/>
  <c r="Z9" i="32" s="1"/>
  <c r="B155" i="33"/>
  <c r="I155" i="33" s="1"/>
  <c r="J154" i="33"/>
  <c r="C227" i="34" s="1"/>
  <c r="C81" i="34"/>
  <c r="S75" i="32"/>
  <c r="S77" i="32" s="1"/>
  <c r="AD31" i="31"/>
  <c r="T236" i="33" s="1"/>
  <c r="T235" i="33"/>
  <c r="BJ86" i="32"/>
  <c r="BJ87" i="32"/>
  <c r="BS87" i="32"/>
  <c r="BS86" i="32"/>
  <c r="BS102" i="32" s="1"/>
  <c r="AD9" i="32" s="1"/>
  <c r="CY102" i="32"/>
  <c r="AD10" i="32" s="1"/>
  <c r="CJ102" i="32"/>
  <c r="O10" i="32" s="1"/>
  <c r="CW102" i="32"/>
  <c r="AB10" i="32" s="1"/>
  <c r="CE102" i="32"/>
  <c r="J10" i="32" s="1"/>
  <c r="J13" i="32" s="1"/>
  <c r="CV102" i="32"/>
  <c r="AA10" i="32" s="1"/>
  <c r="H11" i="31"/>
  <c r="H13" i="31" s="1"/>
  <c r="CB102" i="32"/>
  <c r="G10" i="32" s="1"/>
  <c r="E11" i="31"/>
  <c r="E13" i="31" s="1"/>
  <c r="CU102" i="32"/>
  <c r="Z10" i="32" s="1"/>
  <c r="Y11" i="31"/>
  <c r="Y13" i="31" s="1"/>
  <c r="N11" i="31"/>
  <c r="N13" i="31" s="1"/>
  <c r="N214" i="31"/>
  <c r="H213" i="31"/>
  <c r="H214" i="31" s="1"/>
  <c r="H203" i="31"/>
  <c r="P202" i="31"/>
  <c r="P213" i="31" s="1"/>
  <c r="P214" i="31" s="1"/>
  <c r="R202" i="31"/>
  <c r="R213" i="31" s="1"/>
  <c r="R214" i="31" s="1"/>
  <c r="J11" i="31"/>
  <c r="J13" i="31" s="1"/>
  <c r="U11" i="31"/>
  <c r="U13" i="31" s="1"/>
  <c r="T11" i="31"/>
  <c r="T13" i="31" s="1"/>
  <c r="W11" i="31"/>
  <c r="W13" i="31" s="1"/>
  <c r="N203" i="31"/>
  <c r="Q203" i="31"/>
  <c r="X11" i="31"/>
  <c r="X13" i="31" s="1"/>
  <c r="T213" i="31"/>
  <c r="T214" i="31" s="1"/>
  <c r="T203" i="31"/>
  <c r="F202" i="31"/>
  <c r="G213" i="31"/>
  <c r="G214" i="31" s="1"/>
  <c r="G203" i="31"/>
  <c r="E213" i="31"/>
  <c r="E214" i="31" s="1"/>
  <c r="E203" i="31"/>
  <c r="X213" i="31"/>
  <c r="X214" i="31" s="1"/>
  <c r="X203" i="31"/>
  <c r="U213" i="31"/>
  <c r="U214" i="31" s="1"/>
  <c r="U203" i="31"/>
  <c r="Y213" i="31"/>
  <c r="Y214" i="31" s="1"/>
  <c r="Y203" i="31"/>
  <c r="W213" i="31"/>
  <c r="W214" i="31" s="1"/>
  <c r="W203" i="31"/>
  <c r="G11" i="31"/>
  <c r="G13" i="31" s="1"/>
  <c r="M202" i="31"/>
  <c r="V202" i="31"/>
  <c r="CR102" i="32"/>
  <c r="W10" i="32" s="1"/>
  <c r="CH102" i="32"/>
  <c r="M10" i="32" s="1"/>
  <c r="CC102" i="32"/>
  <c r="H10" i="32" s="1"/>
  <c r="CL102" i="32"/>
  <c r="Q10" i="32" s="1"/>
  <c r="CF102" i="32"/>
  <c r="K10" i="32" s="1"/>
  <c r="CD102" i="32"/>
  <c r="I10" i="32" s="1"/>
  <c r="CN102" i="32"/>
  <c r="S10" i="32" s="1"/>
  <c r="CX102" i="32"/>
  <c r="AC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B44" i="33"/>
  <c r="J44" i="33" s="1"/>
  <c r="C208" i="34" s="1"/>
  <c r="J42" i="33"/>
  <c r="C206" i="34" s="1"/>
  <c r="DM102" i="32"/>
  <c r="O11" i="32" s="1"/>
  <c r="D247" i="34"/>
  <c r="AB38" i="33"/>
  <c r="AB40" i="33"/>
  <c r="AD40" i="33" s="1"/>
  <c r="AE40" i="33" s="1"/>
  <c r="B43" i="33"/>
  <c r="J43" i="33" s="1"/>
  <c r="C207" i="34" s="1"/>
  <c r="AB39" i="33"/>
  <c r="D246" i="34"/>
  <c r="C222" i="34"/>
  <c r="BI102" i="32"/>
  <c r="T9" i="32" s="1"/>
  <c r="CQ102" i="32"/>
  <c r="V10" i="32" s="1"/>
  <c r="V13" i="32" s="1"/>
  <c r="BQ102" i="32"/>
  <c r="AB9" i="32" s="1"/>
  <c r="D262" i="34"/>
  <c r="DG102" i="32"/>
  <c r="I11" i="32" s="1"/>
  <c r="BF102" i="32"/>
  <c r="Q9" i="32" s="1"/>
  <c r="CG102" i="32"/>
  <c r="L10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C97" i="34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AD13" i="32" l="1"/>
  <c r="Z13" i="32"/>
  <c r="AC13" i="32"/>
  <c r="Q13" i="32"/>
  <c r="BJ102" i="32"/>
  <c r="U9" i="32" s="1"/>
  <c r="U13" i="32" s="1"/>
  <c r="T274" i="33"/>
  <c r="X274" i="33" s="1"/>
  <c r="X235" i="33"/>
  <c r="C187" i="34"/>
  <c r="C188" i="34"/>
  <c r="T275" i="33"/>
  <c r="X275" i="33" s="1"/>
  <c r="X236" i="33"/>
  <c r="C309" i="34" s="1"/>
  <c r="D245" i="34"/>
  <c r="AB13" i="32"/>
  <c r="AA13" i="32"/>
  <c r="M13" i="32"/>
  <c r="W13" i="32"/>
  <c r="P203" i="31"/>
  <c r="S13" i="32"/>
  <c r="R203" i="31"/>
  <c r="Y13" i="32"/>
  <c r="F213" i="31"/>
  <c r="F214" i="31" s="1"/>
  <c r="F203" i="31"/>
  <c r="M213" i="31"/>
  <c r="M214" i="31" s="1"/>
  <c r="M203" i="31"/>
  <c r="V213" i="31"/>
  <c r="V214" i="31" s="1"/>
  <c r="V203" i="31"/>
  <c r="K13" i="32"/>
  <c r="C217" i="34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H13" i="32"/>
  <c r="C82" i="34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F9" i="32" l="1"/>
  <c r="AJ8" i="31"/>
  <c r="T245" i="33" s="1"/>
  <c r="D208" i="34"/>
  <c r="D187" i="34"/>
  <c r="C308" i="34"/>
  <c r="D188" i="34"/>
  <c r="AJ5" i="31"/>
  <c r="X249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D206" i="34"/>
  <c r="C248" i="34"/>
  <c r="B91" i="32"/>
  <c r="D91" i="32" s="1"/>
  <c r="D97" i="34"/>
  <c r="D230" i="34"/>
  <c r="D213" i="34"/>
  <c r="D198" i="34"/>
  <c r="D228" i="34"/>
  <c r="D215" i="34"/>
  <c r="D200" i="34"/>
  <c r="D196" i="34"/>
  <c r="D139" i="34"/>
  <c r="D66" i="34"/>
  <c r="G63" i="34"/>
  <c r="D64" i="34"/>
  <c r="Q193" i="34" s="1"/>
  <c r="Q194" i="34" s="1"/>
  <c r="D80" i="34"/>
  <c r="J206" i="34" s="1"/>
  <c r="L206" i="34" s="1"/>
  <c r="J218" i="34"/>
  <c r="J217" i="34"/>
  <c r="D164" i="34"/>
  <c r="D65" i="34"/>
  <c r="J193" i="34" s="1"/>
  <c r="J194" i="34" s="1"/>
  <c r="D140" i="34"/>
  <c r="D167" i="34"/>
  <c r="D168" i="34"/>
  <c r="L224" i="34"/>
  <c r="D63" i="34"/>
  <c r="J216" i="34"/>
  <c r="D141" i="34"/>
  <c r="D146" i="34"/>
  <c r="D229" i="34"/>
  <c r="D150" i="34"/>
  <c r="D163" i="34"/>
  <c r="L223" i="34"/>
  <c r="AJ198" i="34" s="1"/>
  <c r="D147" i="34"/>
  <c r="D226" i="34"/>
  <c r="L225" i="34"/>
  <c r="D96" i="34"/>
  <c r="D73" i="34"/>
  <c r="K255" i="34" s="1"/>
  <c r="L255" i="34" s="1"/>
  <c r="D93" i="34"/>
  <c r="D76" i="34"/>
  <c r="D77" i="34"/>
  <c r="D92" i="34"/>
  <c r="D204" i="34"/>
  <c r="D95" i="34"/>
  <c r="D232" i="34"/>
  <c r="D87" i="34"/>
  <c r="K260" i="34" s="1"/>
  <c r="L260" i="34" s="1"/>
  <c r="D231" i="34"/>
  <c r="D94" i="34"/>
  <c r="D86" i="34"/>
  <c r="K259" i="34" s="1"/>
  <c r="L259" i="34" s="1"/>
  <c r="D78" i="34"/>
  <c r="D91" i="34"/>
  <c r="D85" i="34"/>
  <c r="K258" i="34" s="1"/>
  <c r="L258" i="34" s="1"/>
  <c r="D217" i="34"/>
  <c r="D89" i="34"/>
  <c r="K262" i="34" s="1"/>
  <c r="D205" i="34"/>
  <c r="D79" i="34"/>
  <c r="D72" i="34"/>
  <c r="D71" i="34"/>
  <c r="D90" i="34"/>
  <c r="K254" i="34" s="1"/>
  <c r="L254" i="34" s="1"/>
  <c r="D227" i="34"/>
  <c r="D233" i="34"/>
  <c r="D88" i="34"/>
  <c r="K261" i="34" s="1"/>
  <c r="L261" i="34" s="1"/>
  <c r="D74" i="34"/>
  <c r="D75" i="34"/>
  <c r="D81" i="34"/>
  <c r="J205" i="34" s="1"/>
  <c r="L205" i="34" s="1"/>
  <c r="D222" i="34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F77" i="32" l="1"/>
  <c r="B129" i="32" s="1"/>
  <c r="F76" i="32"/>
  <c r="C278" i="34" s="1"/>
  <c r="C291" i="34" s="1"/>
  <c r="F75" i="32"/>
  <c r="B81" i="32"/>
  <c r="F81" i="32" s="1"/>
  <c r="B114" i="32" s="1"/>
  <c r="X245" i="33"/>
  <c r="X248" i="33" s="1"/>
  <c r="C189" i="34"/>
  <c r="D189" i="34" s="1"/>
  <c r="AK189" i="34" s="1"/>
  <c r="AO189" i="34" s="1"/>
  <c r="AO192" i="34" s="1"/>
  <c r="AJ219" i="34"/>
  <c r="AN219" i="34" s="1"/>
  <c r="AK227" i="34"/>
  <c r="AO227" i="34" s="1"/>
  <c r="D278" i="34"/>
  <c r="AJ218" i="34"/>
  <c r="AN218" i="34" s="1"/>
  <c r="AK226" i="34"/>
  <c r="AO226" i="34" s="1"/>
  <c r="V264" i="33"/>
  <c r="V265" i="33"/>
  <c r="L209" i="34"/>
  <c r="DY73" i="34"/>
  <c r="DY85" i="34" s="1"/>
  <c r="DU73" i="34"/>
  <c r="DU85" i="34" s="1"/>
  <c r="DQ73" i="34"/>
  <c r="DQ85" i="34" s="1"/>
  <c r="DM73" i="34"/>
  <c r="DM85" i="34" s="1"/>
  <c r="DI73" i="34"/>
  <c r="DI85" i="34" s="1"/>
  <c r="DE73" i="34"/>
  <c r="DE85" i="34" s="1"/>
  <c r="DZ72" i="34"/>
  <c r="DZ84" i="34" s="1"/>
  <c r="DV72" i="34"/>
  <c r="DV84" i="34" s="1"/>
  <c r="DR72" i="34"/>
  <c r="DR84" i="34" s="1"/>
  <c r="DN72" i="34"/>
  <c r="DN84" i="34" s="1"/>
  <c r="DJ72" i="34"/>
  <c r="DJ84" i="34" s="1"/>
  <c r="DF72" i="34"/>
  <c r="DF84" i="34" s="1"/>
  <c r="EA71" i="34"/>
  <c r="EA82" i="34" s="1"/>
  <c r="DW71" i="34"/>
  <c r="DW82" i="34" s="1"/>
  <c r="DS71" i="34"/>
  <c r="DS82" i="34" s="1"/>
  <c r="DO71" i="34"/>
  <c r="DO82" i="34" s="1"/>
  <c r="DK71" i="34"/>
  <c r="DK82" i="34" s="1"/>
  <c r="DG71" i="34"/>
  <c r="DG82" i="34" s="1"/>
  <c r="EB70" i="34"/>
  <c r="EB81" i="34" s="1"/>
  <c r="DX70" i="34"/>
  <c r="DX81" i="34" s="1"/>
  <c r="DT70" i="34"/>
  <c r="DT81" i="34" s="1"/>
  <c r="DP70" i="34"/>
  <c r="DP81" i="34" s="1"/>
  <c r="DL70" i="34"/>
  <c r="DL81" i="34" s="1"/>
  <c r="DH70" i="34"/>
  <c r="DH81" i="34" s="1"/>
  <c r="DY69" i="34"/>
  <c r="DY80" i="34" s="1"/>
  <c r="DU69" i="34"/>
  <c r="DU80" i="34" s="1"/>
  <c r="DQ69" i="34"/>
  <c r="DQ80" i="34" s="1"/>
  <c r="DM69" i="34"/>
  <c r="DM80" i="34" s="1"/>
  <c r="DI69" i="34"/>
  <c r="DI80" i="34" s="1"/>
  <c r="DE69" i="34"/>
  <c r="DE80" i="34" s="1"/>
  <c r="DZ68" i="34"/>
  <c r="DZ79" i="34" s="1"/>
  <c r="DV68" i="34"/>
  <c r="DV79" i="34" s="1"/>
  <c r="DR68" i="34"/>
  <c r="DR79" i="34" s="1"/>
  <c r="DN68" i="34"/>
  <c r="DN79" i="34" s="1"/>
  <c r="DJ68" i="34"/>
  <c r="DJ79" i="34" s="1"/>
  <c r="DF68" i="34"/>
  <c r="DF79" i="34" s="1"/>
  <c r="EA67" i="34"/>
  <c r="EA78" i="34" s="1"/>
  <c r="DW67" i="34"/>
  <c r="DW78" i="34" s="1"/>
  <c r="DS67" i="34"/>
  <c r="DS78" i="34" s="1"/>
  <c r="DO67" i="34"/>
  <c r="DO78" i="34" s="1"/>
  <c r="DK67" i="34"/>
  <c r="DK78" i="34" s="1"/>
  <c r="DG67" i="34"/>
  <c r="DG78" i="34" s="1"/>
  <c r="EB66" i="34"/>
  <c r="EB77" i="34" s="1"/>
  <c r="DX66" i="34"/>
  <c r="DX77" i="34" s="1"/>
  <c r="DT66" i="34"/>
  <c r="DT77" i="34" s="1"/>
  <c r="DP66" i="34"/>
  <c r="DP77" i="34" s="1"/>
  <c r="DL66" i="34"/>
  <c r="DL77" i="34" s="1"/>
  <c r="DH66" i="34"/>
  <c r="DH77" i="34" s="1"/>
  <c r="DY65" i="34"/>
  <c r="DY76" i="34" s="1"/>
  <c r="DU65" i="34"/>
  <c r="DU76" i="34" s="1"/>
  <c r="DQ65" i="34"/>
  <c r="DQ76" i="34" s="1"/>
  <c r="DM65" i="34"/>
  <c r="DM76" i="34" s="1"/>
  <c r="DX73" i="34"/>
  <c r="DX85" i="34" s="1"/>
  <c r="DS73" i="34"/>
  <c r="DS85" i="34" s="1"/>
  <c r="DN73" i="34"/>
  <c r="DN85" i="34" s="1"/>
  <c r="DH73" i="34"/>
  <c r="DH85" i="34" s="1"/>
  <c r="EB72" i="34"/>
  <c r="EB84" i="34" s="1"/>
  <c r="DW72" i="34"/>
  <c r="DW84" i="34" s="1"/>
  <c r="DQ72" i="34"/>
  <c r="DQ84" i="34" s="1"/>
  <c r="DL72" i="34"/>
  <c r="DL84" i="34" s="1"/>
  <c r="DG72" i="34"/>
  <c r="DG84" i="34" s="1"/>
  <c r="DZ71" i="34"/>
  <c r="DZ82" i="34" s="1"/>
  <c r="DU71" i="34"/>
  <c r="DU82" i="34" s="1"/>
  <c r="DP71" i="34"/>
  <c r="DP82" i="34" s="1"/>
  <c r="DJ71" i="34"/>
  <c r="DJ82" i="34" s="1"/>
  <c r="DE71" i="34"/>
  <c r="DE82" i="34" s="1"/>
  <c r="DY70" i="34"/>
  <c r="DY81" i="34" s="1"/>
  <c r="DS70" i="34"/>
  <c r="DS81" i="34" s="1"/>
  <c r="DN70" i="34"/>
  <c r="DN81" i="34" s="1"/>
  <c r="DI70" i="34"/>
  <c r="DI81" i="34" s="1"/>
  <c r="DX69" i="34"/>
  <c r="DX80" i="34" s="1"/>
  <c r="DS69" i="34"/>
  <c r="DS80" i="34" s="1"/>
  <c r="DN69" i="34"/>
  <c r="DN80" i="34" s="1"/>
  <c r="DH69" i="34"/>
  <c r="DH80" i="34" s="1"/>
  <c r="EB68" i="34"/>
  <c r="EB79" i="34" s="1"/>
  <c r="DW68" i="34"/>
  <c r="DW79" i="34" s="1"/>
  <c r="DQ68" i="34"/>
  <c r="DQ79" i="34" s="1"/>
  <c r="DL68" i="34"/>
  <c r="DL79" i="34" s="1"/>
  <c r="DG68" i="34"/>
  <c r="DG79" i="34" s="1"/>
  <c r="DZ67" i="34"/>
  <c r="DZ78" i="34" s="1"/>
  <c r="DU67" i="34"/>
  <c r="DU78" i="34" s="1"/>
  <c r="DP67" i="34"/>
  <c r="DP78" i="34" s="1"/>
  <c r="DJ67" i="34"/>
  <c r="DJ78" i="34" s="1"/>
  <c r="DE67" i="34"/>
  <c r="DE78" i="34" s="1"/>
  <c r="DY66" i="34"/>
  <c r="DY77" i="34" s="1"/>
  <c r="DS66" i="34"/>
  <c r="DS77" i="34" s="1"/>
  <c r="DN66" i="34"/>
  <c r="DN77" i="34" s="1"/>
  <c r="DI66" i="34"/>
  <c r="DI77" i="34" s="1"/>
  <c r="DX65" i="34"/>
  <c r="DX76" i="34" s="1"/>
  <c r="DS65" i="34"/>
  <c r="DS76" i="34" s="1"/>
  <c r="DN65" i="34"/>
  <c r="DN76" i="34" s="1"/>
  <c r="DI65" i="34"/>
  <c r="DI76" i="34" s="1"/>
  <c r="DE65" i="34"/>
  <c r="DE76" i="34" s="1"/>
  <c r="DZ64" i="34"/>
  <c r="DZ75" i="34" s="1"/>
  <c r="DV64" i="34"/>
  <c r="DV75" i="34" s="1"/>
  <c r="DR64" i="34"/>
  <c r="DR75" i="34" s="1"/>
  <c r="DN64" i="34"/>
  <c r="DN75" i="34" s="1"/>
  <c r="DJ64" i="34"/>
  <c r="DJ75" i="34" s="1"/>
  <c r="DF64" i="34"/>
  <c r="DF75" i="34" s="1"/>
  <c r="EB73" i="34"/>
  <c r="EB85" i="34" s="1"/>
  <c r="DW73" i="34"/>
  <c r="DW85" i="34" s="1"/>
  <c r="DR73" i="34"/>
  <c r="DR85" i="34" s="1"/>
  <c r="DL73" i="34"/>
  <c r="DL85" i="34" s="1"/>
  <c r="DG73" i="34"/>
  <c r="DG85" i="34" s="1"/>
  <c r="EA72" i="34"/>
  <c r="EA84" i="34" s="1"/>
  <c r="DU72" i="34"/>
  <c r="DU84" i="34" s="1"/>
  <c r="DP72" i="34"/>
  <c r="DP84" i="34" s="1"/>
  <c r="DK72" i="34"/>
  <c r="DK84" i="34" s="1"/>
  <c r="DE72" i="34"/>
  <c r="DE84" i="34" s="1"/>
  <c r="DY71" i="34"/>
  <c r="DY82" i="34" s="1"/>
  <c r="DT71" i="34"/>
  <c r="DT82" i="34" s="1"/>
  <c r="DN71" i="34"/>
  <c r="DN82" i="34" s="1"/>
  <c r="DI71" i="34"/>
  <c r="DI82" i="34" s="1"/>
  <c r="DW70" i="34"/>
  <c r="DW81" i="34" s="1"/>
  <c r="DR70" i="34"/>
  <c r="DR81" i="34" s="1"/>
  <c r="DM70" i="34"/>
  <c r="DM81" i="34" s="1"/>
  <c r="DG70" i="34"/>
  <c r="DG81" i="34" s="1"/>
  <c r="EB69" i="34"/>
  <c r="EB80" i="34" s="1"/>
  <c r="DW69" i="34"/>
  <c r="DW80" i="34" s="1"/>
  <c r="DR69" i="34"/>
  <c r="DR80" i="34" s="1"/>
  <c r="DL69" i="34"/>
  <c r="DL80" i="34" s="1"/>
  <c r="DG69" i="34"/>
  <c r="DG80" i="34" s="1"/>
  <c r="EA68" i="34"/>
  <c r="EA79" i="34" s="1"/>
  <c r="DU68" i="34"/>
  <c r="DU79" i="34" s="1"/>
  <c r="DP68" i="34"/>
  <c r="DP79" i="34" s="1"/>
  <c r="DK68" i="34"/>
  <c r="DK79" i="34" s="1"/>
  <c r="DE68" i="34"/>
  <c r="DE79" i="34" s="1"/>
  <c r="DY67" i="34"/>
  <c r="DY78" i="34" s="1"/>
  <c r="DT67" i="34"/>
  <c r="DT78" i="34" s="1"/>
  <c r="DN67" i="34"/>
  <c r="DN78" i="34" s="1"/>
  <c r="DI67" i="34"/>
  <c r="DI78" i="34" s="1"/>
  <c r="DW66" i="34"/>
  <c r="DW77" i="34" s="1"/>
  <c r="DR66" i="34"/>
  <c r="DR77" i="34" s="1"/>
  <c r="DM66" i="34"/>
  <c r="DM77" i="34" s="1"/>
  <c r="DG66" i="34"/>
  <c r="DG77" i="34" s="1"/>
  <c r="EB65" i="34"/>
  <c r="EB76" i="34" s="1"/>
  <c r="DW65" i="34"/>
  <c r="DW76" i="34" s="1"/>
  <c r="DR65" i="34"/>
  <c r="DR76" i="34" s="1"/>
  <c r="DL65" i="34"/>
  <c r="DL76" i="34" s="1"/>
  <c r="DH65" i="34"/>
  <c r="DH76" i="34" s="1"/>
  <c r="DY64" i="34"/>
  <c r="DY75" i="34" s="1"/>
  <c r="DU64" i="34"/>
  <c r="DU75" i="34" s="1"/>
  <c r="DQ64" i="34"/>
  <c r="DQ75" i="34" s="1"/>
  <c r="DM64" i="34"/>
  <c r="DM75" i="34" s="1"/>
  <c r="DI64" i="34"/>
  <c r="DI75" i="34" s="1"/>
  <c r="DE64" i="34"/>
  <c r="DE75" i="34" s="1"/>
  <c r="EA73" i="34"/>
  <c r="EA85" i="34" s="1"/>
  <c r="DP73" i="34"/>
  <c r="DP85" i="34" s="1"/>
  <c r="DF73" i="34"/>
  <c r="DF85" i="34" s="1"/>
  <c r="DT72" i="34"/>
  <c r="DT84" i="34" s="1"/>
  <c r="DI72" i="34"/>
  <c r="DI84" i="34" s="1"/>
  <c r="DX71" i="34"/>
  <c r="DX82" i="34" s="1"/>
  <c r="DM71" i="34"/>
  <c r="DM82" i="34" s="1"/>
  <c r="DU70" i="34"/>
  <c r="DU81" i="34" s="1"/>
  <c r="DJ70" i="34"/>
  <c r="DJ81" i="34" s="1"/>
  <c r="EA69" i="34"/>
  <c r="EA80" i="34" s="1"/>
  <c r="DP69" i="34"/>
  <c r="DP80" i="34" s="1"/>
  <c r="DF69" i="34"/>
  <c r="DF80" i="34" s="1"/>
  <c r="DT68" i="34"/>
  <c r="DT79" i="34" s="1"/>
  <c r="DI68" i="34"/>
  <c r="DI79" i="34" s="1"/>
  <c r="DX67" i="34"/>
  <c r="DX78" i="34" s="1"/>
  <c r="DM67" i="34"/>
  <c r="DM78" i="34" s="1"/>
  <c r="DU66" i="34"/>
  <c r="DU77" i="34" s="1"/>
  <c r="DJ66" i="34"/>
  <c r="DJ77" i="34" s="1"/>
  <c r="EA65" i="34"/>
  <c r="EA76" i="34" s="1"/>
  <c r="DP65" i="34"/>
  <c r="DP76" i="34" s="1"/>
  <c r="DG65" i="34"/>
  <c r="DG76" i="34" s="1"/>
  <c r="EA64" i="34"/>
  <c r="EA75" i="34" s="1"/>
  <c r="DS64" i="34"/>
  <c r="DS75" i="34" s="1"/>
  <c r="DK64" i="34"/>
  <c r="DK75" i="34" s="1"/>
  <c r="CV73" i="34"/>
  <c r="CV85" i="34" s="1"/>
  <c r="CR73" i="34"/>
  <c r="CR85" i="34" s="1"/>
  <c r="CN73" i="34"/>
  <c r="CN85" i="34" s="1"/>
  <c r="CJ73" i="34"/>
  <c r="CJ85" i="34" s="1"/>
  <c r="CF73" i="34"/>
  <c r="CF85" i="34" s="1"/>
  <c r="CB73" i="34"/>
  <c r="CB85" i="34" s="1"/>
  <c r="CW72" i="34"/>
  <c r="CW84" i="34" s="1"/>
  <c r="CS72" i="34"/>
  <c r="CS84" i="34" s="1"/>
  <c r="CO72" i="34"/>
  <c r="CO84" i="34" s="1"/>
  <c r="CK72" i="34"/>
  <c r="CK84" i="34" s="1"/>
  <c r="CG72" i="34"/>
  <c r="CG84" i="34" s="1"/>
  <c r="CC72" i="34"/>
  <c r="CC84" i="34" s="1"/>
  <c r="CX71" i="34"/>
  <c r="CX82" i="34" s="1"/>
  <c r="CT71" i="34"/>
  <c r="CT82" i="34" s="1"/>
  <c r="CP71" i="34"/>
  <c r="CP82" i="34" s="1"/>
  <c r="CL71" i="34"/>
  <c r="CL82" i="34" s="1"/>
  <c r="CH71" i="34"/>
  <c r="CH82" i="34" s="1"/>
  <c r="CD71" i="34"/>
  <c r="CD82" i="34" s="1"/>
  <c r="CY70" i="34"/>
  <c r="CY81" i="34" s="1"/>
  <c r="CU70" i="34"/>
  <c r="CU81" i="34" s="1"/>
  <c r="CQ70" i="34"/>
  <c r="CQ81" i="34" s="1"/>
  <c r="CM70" i="34"/>
  <c r="CM81" i="34" s="1"/>
  <c r="CI70" i="34"/>
  <c r="CI81" i="34" s="1"/>
  <c r="CE70" i="34"/>
  <c r="CE81" i="34" s="1"/>
  <c r="CV69" i="34"/>
  <c r="CV80" i="34" s="1"/>
  <c r="CR69" i="34"/>
  <c r="CR80" i="34" s="1"/>
  <c r="CN69" i="34"/>
  <c r="CN80" i="34" s="1"/>
  <c r="CJ69" i="34"/>
  <c r="CJ80" i="34" s="1"/>
  <c r="CF69" i="34"/>
  <c r="CF80" i="34" s="1"/>
  <c r="CB69" i="34"/>
  <c r="CB80" i="34" s="1"/>
  <c r="CW68" i="34"/>
  <c r="CW79" i="34" s="1"/>
  <c r="CS68" i="34"/>
  <c r="CS79" i="34" s="1"/>
  <c r="CO68" i="34"/>
  <c r="CO79" i="34" s="1"/>
  <c r="CK68" i="34"/>
  <c r="CK79" i="34" s="1"/>
  <c r="CG68" i="34"/>
  <c r="CG79" i="34" s="1"/>
  <c r="CC68" i="34"/>
  <c r="CC79" i="34" s="1"/>
  <c r="CX67" i="34"/>
  <c r="CX78" i="34" s="1"/>
  <c r="CT67" i="34"/>
  <c r="CT78" i="34" s="1"/>
  <c r="CP67" i="34"/>
  <c r="CP78" i="34" s="1"/>
  <c r="CL67" i="34"/>
  <c r="CL78" i="34" s="1"/>
  <c r="CH67" i="34"/>
  <c r="CH78" i="34" s="1"/>
  <c r="CD67" i="34"/>
  <c r="CD78" i="34" s="1"/>
  <c r="CY66" i="34"/>
  <c r="CY77" i="34" s="1"/>
  <c r="CU66" i="34"/>
  <c r="CU77" i="34" s="1"/>
  <c r="CQ66" i="34"/>
  <c r="CQ77" i="34" s="1"/>
  <c r="CM66" i="34"/>
  <c r="CM77" i="34" s="1"/>
  <c r="CI66" i="34"/>
  <c r="CI77" i="34" s="1"/>
  <c r="CE66" i="34"/>
  <c r="CE77" i="34" s="1"/>
  <c r="CV65" i="34"/>
  <c r="CV76" i="34" s="1"/>
  <c r="CR65" i="34"/>
  <c r="CR76" i="34" s="1"/>
  <c r="CN65" i="34"/>
  <c r="CN76" i="34" s="1"/>
  <c r="CJ65" i="34"/>
  <c r="CJ76" i="34" s="1"/>
  <c r="CF65" i="34"/>
  <c r="CF76" i="34" s="1"/>
  <c r="CB65" i="34"/>
  <c r="CB76" i="34" s="1"/>
  <c r="CW64" i="34"/>
  <c r="CW151" i="34" s="1"/>
  <c r="CS64" i="34"/>
  <c r="CS151" i="34" s="1"/>
  <c r="CO64" i="34"/>
  <c r="CO151" i="34" s="1"/>
  <c r="CK64" i="34"/>
  <c r="CK151" i="34" s="1"/>
  <c r="CG64" i="34"/>
  <c r="CG151" i="34" s="1"/>
  <c r="CC64" i="34"/>
  <c r="DZ73" i="34"/>
  <c r="DZ85" i="34" s="1"/>
  <c r="DO73" i="34"/>
  <c r="DO85" i="34" s="1"/>
  <c r="DS72" i="34"/>
  <c r="DS84" i="34" s="1"/>
  <c r="DH72" i="34"/>
  <c r="DH84" i="34" s="1"/>
  <c r="DV71" i="34"/>
  <c r="DV82" i="34" s="1"/>
  <c r="DL71" i="34"/>
  <c r="DL82" i="34" s="1"/>
  <c r="EA70" i="34"/>
  <c r="EA81" i="34" s="1"/>
  <c r="DQ70" i="34"/>
  <c r="DQ81" i="34" s="1"/>
  <c r="DF70" i="34"/>
  <c r="DF81" i="34" s="1"/>
  <c r="DZ69" i="34"/>
  <c r="DZ80" i="34" s="1"/>
  <c r="DO69" i="34"/>
  <c r="DO80" i="34" s="1"/>
  <c r="DS68" i="34"/>
  <c r="DS79" i="34" s="1"/>
  <c r="DH68" i="34"/>
  <c r="DH79" i="34" s="1"/>
  <c r="DV67" i="34"/>
  <c r="DV78" i="34" s="1"/>
  <c r="DL67" i="34"/>
  <c r="DL78" i="34" s="1"/>
  <c r="EA66" i="34"/>
  <c r="EA77" i="34" s="1"/>
  <c r="DQ66" i="34"/>
  <c r="DQ77" i="34" s="1"/>
  <c r="DF66" i="34"/>
  <c r="DF77" i="34" s="1"/>
  <c r="DZ65" i="34"/>
  <c r="DZ76" i="34" s="1"/>
  <c r="DO65" i="34"/>
  <c r="DO76" i="34" s="1"/>
  <c r="DF65" i="34"/>
  <c r="DF76" i="34" s="1"/>
  <c r="DX64" i="34"/>
  <c r="DX75" i="34" s="1"/>
  <c r="DP64" i="34"/>
  <c r="DP75" i="34" s="1"/>
  <c r="DH64" i="34"/>
  <c r="DH75" i="34" s="1"/>
  <c r="CY73" i="34"/>
  <c r="CY85" i="34" s="1"/>
  <c r="CU73" i="34"/>
  <c r="CU85" i="34" s="1"/>
  <c r="CQ73" i="34"/>
  <c r="CQ85" i="34" s="1"/>
  <c r="CM73" i="34"/>
  <c r="CM85" i="34" s="1"/>
  <c r="CI73" i="34"/>
  <c r="CI85" i="34" s="1"/>
  <c r="CE73" i="34"/>
  <c r="CE85" i="34" s="1"/>
  <c r="CV72" i="34"/>
  <c r="CV84" i="34" s="1"/>
  <c r="CR72" i="34"/>
  <c r="CR84" i="34" s="1"/>
  <c r="CN72" i="34"/>
  <c r="CN84" i="34" s="1"/>
  <c r="CJ72" i="34"/>
  <c r="CJ84" i="34" s="1"/>
  <c r="CF72" i="34"/>
  <c r="CF84" i="34" s="1"/>
  <c r="CB72" i="34"/>
  <c r="CB84" i="34" s="1"/>
  <c r="CW71" i="34"/>
  <c r="CW82" i="34" s="1"/>
  <c r="CS71" i="34"/>
  <c r="CS82" i="34" s="1"/>
  <c r="CO71" i="34"/>
  <c r="CO82" i="34" s="1"/>
  <c r="CK71" i="34"/>
  <c r="CK82" i="34" s="1"/>
  <c r="CG71" i="34"/>
  <c r="CG82" i="34" s="1"/>
  <c r="CC71" i="34"/>
  <c r="CC82" i="34" s="1"/>
  <c r="CX70" i="34"/>
  <c r="CX81" i="34" s="1"/>
  <c r="CT70" i="34"/>
  <c r="CT81" i="34" s="1"/>
  <c r="CP70" i="34"/>
  <c r="CP81" i="34" s="1"/>
  <c r="CL70" i="34"/>
  <c r="CL81" i="34" s="1"/>
  <c r="CH70" i="34"/>
  <c r="CH81" i="34" s="1"/>
  <c r="CD70" i="34"/>
  <c r="CD81" i="34" s="1"/>
  <c r="CY69" i="34"/>
  <c r="CY80" i="34" s="1"/>
  <c r="CU69" i="34"/>
  <c r="CU80" i="34" s="1"/>
  <c r="CQ69" i="34"/>
  <c r="CQ80" i="34" s="1"/>
  <c r="CM69" i="34"/>
  <c r="CM80" i="34" s="1"/>
  <c r="CI69" i="34"/>
  <c r="CI80" i="34" s="1"/>
  <c r="CE69" i="34"/>
  <c r="CE80" i="34" s="1"/>
  <c r="CV68" i="34"/>
  <c r="CV79" i="34" s="1"/>
  <c r="CR68" i="34"/>
  <c r="CR79" i="34" s="1"/>
  <c r="CN68" i="34"/>
  <c r="CN79" i="34" s="1"/>
  <c r="CJ68" i="34"/>
  <c r="CJ79" i="34" s="1"/>
  <c r="CF68" i="34"/>
  <c r="CF79" i="34" s="1"/>
  <c r="CB68" i="34"/>
  <c r="CB79" i="34" s="1"/>
  <c r="CW67" i="34"/>
  <c r="CW78" i="34" s="1"/>
  <c r="CS67" i="34"/>
  <c r="CS78" i="34" s="1"/>
  <c r="CO67" i="34"/>
  <c r="CO78" i="34" s="1"/>
  <c r="CK67" i="34"/>
  <c r="CK78" i="34" s="1"/>
  <c r="CG67" i="34"/>
  <c r="CG78" i="34" s="1"/>
  <c r="CC67" i="34"/>
  <c r="CC78" i="34" s="1"/>
  <c r="CX66" i="34"/>
  <c r="CX77" i="34" s="1"/>
  <c r="CT66" i="34"/>
  <c r="CT77" i="34" s="1"/>
  <c r="CP66" i="34"/>
  <c r="CP77" i="34" s="1"/>
  <c r="CL66" i="34"/>
  <c r="CL77" i="34" s="1"/>
  <c r="CH66" i="34"/>
  <c r="CH77" i="34" s="1"/>
  <c r="CD66" i="34"/>
  <c r="CD77" i="34" s="1"/>
  <c r="CY65" i="34"/>
  <c r="CY76" i="34" s="1"/>
  <c r="CU65" i="34"/>
  <c r="CU76" i="34" s="1"/>
  <c r="CQ65" i="34"/>
  <c r="CQ76" i="34" s="1"/>
  <c r="CM65" i="34"/>
  <c r="CM76" i="34" s="1"/>
  <c r="CI65" i="34"/>
  <c r="CI76" i="34" s="1"/>
  <c r="CE65" i="34"/>
  <c r="CE76" i="34" s="1"/>
  <c r="CV64" i="34"/>
  <c r="CV151" i="34" s="1"/>
  <c r="CR64" i="34"/>
  <c r="CN64" i="34"/>
  <c r="CN151" i="34" s="1"/>
  <c r="CJ64" i="34"/>
  <c r="CJ151" i="34" s="1"/>
  <c r="CF64" i="34"/>
  <c r="CF151" i="34" s="1"/>
  <c r="CB64" i="34"/>
  <c r="BS73" i="34"/>
  <c r="BS85" i="34" s="1"/>
  <c r="BO73" i="34"/>
  <c r="BO85" i="34" s="1"/>
  <c r="BK73" i="34"/>
  <c r="BK85" i="34" s="1"/>
  <c r="BG73" i="34"/>
  <c r="BG85" i="34" s="1"/>
  <c r="BC73" i="34"/>
  <c r="BC85" i="34" s="1"/>
  <c r="AY73" i="34"/>
  <c r="AY85" i="34" s="1"/>
  <c r="BS72" i="34"/>
  <c r="BS84" i="34" s="1"/>
  <c r="BO72" i="34"/>
  <c r="BO84" i="34" s="1"/>
  <c r="BK72" i="34"/>
  <c r="BK84" i="34" s="1"/>
  <c r="BG72" i="34"/>
  <c r="BG84" i="34" s="1"/>
  <c r="BC72" i="34"/>
  <c r="BC84" i="34" s="1"/>
  <c r="AY72" i="34"/>
  <c r="AY84" i="34" s="1"/>
  <c r="BS71" i="34"/>
  <c r="BS82" i="34" s="1"/>
  <c r="BO71" i="34"/>
  <c r="BO82" i="34" s="1"/>
  <c r="BK71" i="34"/>
  <c r="BK82" i="34" s="1"/>
  <c r="BG71" i="34"/>
  <c r="BG82" i="34" s="1"/>
  <c r="BC71" i="34"/>
  <c r="BC82" i="34" s="1"/>
  <c r="AY71" i="34"/>
  <c r="AY82" i="34" s="1"/>
  <c r="BS70" i="34"/>
  <c r="BS81" i="34" s="1"/>
  <c r="BO70" i="34"/>
  <c r="BO81" i="34" s="1"/>
  <c r="BK70" i="34"/>
  <c r="BK81" i="34" s="1"/>
  <c r="BG70" i="34"/>
  <c r="BG81" i="34" s="1"/>
  <c r="BC70" i="34"/>
  <c r="BC81" i="34" s="1"/>
  <c r="AY70" i="34"/>
  <c r="AY81" i="34" s="1"/>
  <c r="BS69" i="34"/>
  <c r="BS80" i="34" s="1"/>
  <c r="BO69" i="34"/>
  <c r="BO80" i="34" s="1"/>
  <c r="BK69" i="34"/>
  <c r="BK80" i="34" s="1"/>
  <c r="BG69" i="34"/>
  <c r="BG80" i="34" s="1"/>
  <c r="BC69" i="34"/>
  <c r="BC80" i="34" s="1"/>
  <c r="AY69" i="34"/>
  <c r="AY80" i="34" s="1"/>
  <c r="BS68" i="34"/>
  <c r="BS155" i="34" s="1"/>
  <c r="BO68" i="34"/>
  <c r="BK68" i="34"/>
  <c r="BG68" i="34"/>
  <c r="BG155" i="34" s="1"/>
  <c r="BC68" i="34"/>
  <c r="BC155" i="34" s="1"/>
  <c r="AY68" i="34"/>
  <c r="BS67" i="34"/>
  <c r="DJ73" i="34"/>
  <c r="DJ85" i="34" s="1"/>
  <c r="DO72" i="34"/>
  <c r="DO84" i="34" s="1"/>
  <c r="DR71" i="34"/>
  <c r="DR82" i="34" s="1"/>
  <c r="DK70" i="34"/>
  <c r="DK81" i="34" s="1"/>
  <c r="DT69" i="34"/>
  <c r="DT80" i="34" s="1"/>
  <c r="DY68" i="34"/>
  <c r="DY79" i="34" s="1"/>
  <c r="DH67" i="34"/>
  <c r="DH78" i="34" s="1"/>
  <c r="DV66" i="34"/>
  <c r="DV77" i="34" s="1"/>
  <c r="DJ65" i="34"/>
  <c r="DJ76" i="34" s="1"/>
  <c r="DT64" i="34"/>
  <c r="DT75" i="34" s="1"/>
  <c r="CW73" i="34"/>
  <c r="CW85" i="34" s="1"/>
  <c r="CO73" i="34"/>
  <c r="CO85" i="34" s="1"/>
  <c r="CG73" i="34"/>
  <c r="CG85" i="34" s="1"/>
  <c r="CY72" i="34"/>
  <c r="CY84" i="34" s="1"/>
  <c r="CQ72" i="34"/>
  <c r="CQ84" i="34" s="1"/>
  <c r="CI72" i="34"/>
  <c r="CI84" i="34" s="1"/>
  <c r="CR71" i="34"/>
  <c r="CR82" i="34" s="1"/>
  <c r="CJ71" i="34"/>
  <c r="CJ82" i="34" s="1"/>
  <c r="CB71" i="34"/>
  <c r="CB82" i="34" s="1"/>
  <c r="CS70" i="34"/>
  <c r="CS81" i="34" s="1"/>
  <c r="CK70" i="34"/>
  <c r="CK81" i="34" s="1"/>
  <c r="CC70" i="34"/>
  <c r="CC81" i="34" s="1"/>
  <c r="CW69" i="34"/>
  <c r="CW80" i="34" s="1"/>
  <c r="CO69" i="34"/>
  <c r="CO80" i="34" s="1"/>
  <c r="CG69" i="34"/>
  <c r="CG80" i="34" s="1"/>
  <c r="CY68" i="34"/>
  <c r="CY79" i="34" s="1"/>
  <c r="CQ68" i="34"/>
  <c r="CQ79" i="34" s="1"/>
  <c r="CI68" i="34"/>
  <c r="CI79" i="34" s="1"/>
  <c r="CR67" i="34"/>
  <c r="CR78" i="34" s="1"/>
  <c r="CJ67" i="34"/>
  <c r="CJ78" i="34" s="1"/>
  <c r="CB67" i="34"/>
  <c r="CB78" i="34" s="1"/>
  <c r="CS66" i="34"/>
  <c r="CS77" i="34" s="1"/>
  <c r="CK66" i="34"/>
  <c r="CK77" i="34" s="1"/>
  <c r="CC66" i="34"/>
  <c r="CC77" i="34" s="1"/>
  <c r="CW65" i="34"/>
  <c r="CW76" i="34" s="1"/>
  <c r="CO65" i="34"/>
  <c r="CO76" i="34" s="1"/>
  <c r="CG65" i="34"/>
  <c r="CG76" i="34" s="1"/>
  <c r="CY64" i="34"/>
  <c r="CY151" i="34" s="1"/>
  <c r="CQ64" i="34"/>
  <c r="CQ151" i="34" s="1"/>
  <c r="CI64" i="34"/>
  <c r="CI151" i="34" s="1"/>
  <c r="DV73" i="34"/>
  <c r="DV85" i="34" s="1"/>
  <c r="DM72" i="34"/>
  <c r="DM84" i="34" s="1"/>
  <c r="DQ71" i="34"/>
  <c r="DQ82" i="34" s="1"/>
  <c r="DZ70" i="34"/>
  <c r="DZ81" i="34" s="1"/>
  <c r="DE70" i="34"/>
  <c r="DE81" i="34" s="1"/>
  <c r="DK69" i="34"/>
  <c r="DK80" i="34" s="1"/>
  <c r="DX68" i="34"/>
  <c r="DX79" i="34" s="1"/>
  <c r="EB67" i="34"/>
  <c r="EB78" i="34" s="1"/>
  <c r="DF67" i="34"/>
  <c r="DF78" i="34" s="1"/>
  <c r="DO66" i="34"/>
  <c r="DO77" i="34" s="1"/>
  <c r="DV65" i="34"/>
  <c r="DV76" i="34" s="1"/>
  <c r="DO64" i="34"/>
  <c r="DO75" i="34" s="1"/>
  <c r="CT73" i="34"/>
  <c r="CT85" i="34" s="1"/>
  <c r="CL73" i="34"/>
  <c r="CL85" i="34" s="1"/>
  <c r="CD73" i="34"/>
  <c r="CD85" i="34" s="1"/>
  <c r="CX72" i="34"/>
  <c r="CX84" i="34" s="1"/>
  <c r="CP72" i="34"/>
  <c r="CP84" i="34" s="1"/>
  <c r="CH72" i="34"/>
  <c r="CH84" i="34" s="1"/>
  <c r="CY71" i="34"/>
  <c r="CY82" i="34" s="1"/>
  <c r="CQ71" i="34"/>
  <c r="CQ82" i="34" s="1"/>
  <c r="CI71" i="34"/>
  <c r="CI82" i="34" s="1"/>
  <c r="CR70" i="34"/>
  <c r="CR81" i="34" s="1"/>
  <c r="CJ70" i="34"/>
  <c r="CJ81" i="34" s="1"/>
  <c r="CB70" i="34"/>
  <c r="CB81" i="34" s="1"/>
  <c r="CT69" i="34"/>
  <c r="CT80" i="34" s="1"/>
  <c r="CL69" i="34"/>
  <c r="CL80" i="34" s="1"/>
  <c r="CD69" i="34"/>
  <c r="CD80" i="34" s="1"/>
  <c r="CX68" i="34"/>
  <c r="CX79" i="34" s="1"/>
  <c r="CP68" i="34"/>
  <c r="CP79" i="34" s="1"/>
  <c r="CH68" i="34"/>
  <c r="CH79" i="34" s="1"/>
  <c r="CY67" i="34"/>
  <c r="CY78" i="34" s="1"/>
  <c r="CQ67" i="34"/>
  <c r="CQ78" i="34" s="1"/>
  <c r="CI67" i="34"/>
  <c r="CI78" i="34" s="1"/>
  <c r="CR66" i="34"/>
  <c r="CR77" i="34" s="1"/>
  <c r="CJ66" i="34"/>
  <c r="CJ77" i="34" s="1"/>
  <c r="CB66" i="34"/>
  <c r="CB77" i="34" s="1"/>
  <c r="CT65" i="34"/>
  <c r="CT76" i="34" s="1"/>
  <c r="CL65" i="34"/>
  <c r="CL76" i="34" s="1"/>
  <c r="CD65" i="34"/>
  <c r="CD76" i="34" s="1"/>
  <c r="CX64" i="34"/>
  <c r="CX151" i="34" s="1"/>
  <c r="CP64" i="34"/>
  <c r="CP151" i="34" s="1"/>
  <c r="CH64" i="34"/>
  <c r="CH151" i="34" s="1"/>
  <c r="BR73" i="34"/>
  <c r="BR85" i="34" s="1"/>
  <c r="BM73" i="34"/>
  <c r="BM85" i="34" s="1"/>
  <c r="BH73" i="34"/>
  <c r="BH85" i="34" s="1"/>
  <c r="BB73" i="34"/>
  <c r="BB85" i="34" s="1"/>
  <c r="AW73" i="34"/>
  <c r="AW85" i="34" s="1"/>
  <c r="BP72" i="34"/>
  <c r="BP84" i="34" s="1"/>
  <c r="BJ72" i="34"/>
  <c r="BJ84" i="34" s="1"/>
  <c r="BE72" i="34"/>
  <c r="BE84" i="34" s="1"/>
  <c r="AZ72" i="34"/>
  <c r="AZ84" i="34" s="1"/>
  <c r="BR71" i="34"/>
  <c r="BR82" i="34" s="1"/>
  <c r="BM71" i="34"/>
  <c r="BM82" i="34" s="1"/>
  <c r="BH71" i="34"/>
  <c r="BH82" i="34" s="1"/>
  <c r="BB71" i="34"/>
  <c r="BB82" i="34" s="1"/>
  <c r="AW71" i="34"/>
  <c r="AW82" i="34" s="1"/>
  <c r="BP70" i="34"/>
  <c r="BP81" i="34" s="1"/>
  <c r="BJ70" i="34"/>
  <c r="BJ81" i="34" s="1"/>
  <c r="BE70" i="34"/>
  <c r="BE81" i="34" s="1"/>
  <c r="AZ70" i="34"/>
  <c r="AZ81" i="34" s="1"/>
  <c r="BR69" i="34"/>
  <c r="BR80" i="34" s="1"/>
  <c r="BM69" i="34"/>
  <c r="BM80" i="34" s="1"/>
  <c r="BH69" i="34"/>
  <c r="BH80" i="34" s="1"/>
  <c r="BB69" i="34"/>
  <c r="BB80" i="34" s="1"/>
  <c r="AW69" i="34"/>
  <c r="AW80" i="34" s="1"/>
  <c r="BP68" i="34"/>
  <c r="BJ68" i="34"/>
  <c r="BE68" i="34"/>
  <c r="BE155" i="34" s="1"/>
  <c r="AZ68" i="34"/>
  <c r="AZ155" i="34" s="1"/>
  <c r="BR67" i="34"/>
  <c r="BN67" i="34"/>
  <c r="BN78" i="34" s="1"/>
  <c r="BJ67" i="34"/>
  <c r="BJ78" i="34" s="1"/>
  <c r="BF67" i="34"/>
  <c r="BF78" i="34" s="1"/>
  <c r="BB67" i="34"/>
  <c r="AX67" i="34"/>
  <c r="AX154" i="34" s="1"/>
  <c r="BR66" i="34"/>
  <c r="BR153" i="34" s="1"/>
  <c r="BN66" i="34"/>
  <c r="BN77" i="34" s="1"/>
  <c r="BJ66" i="34"/>
  <c r="BJ77" i="34" s="1"/>
  <c r="BF66" i="34"/>
  <c r="BF77" i="34" s="1"/>
  <c r="BB66" i="34"/>
  <c r="AX66" i="34"/>
  <c r="AX153" i="34" s="1"/>
  <c r="BR65" i="34"/>
  <c r="BN65" i="34"/>
  <c r="BN76" i="34" s="1"/>
  <c r="BJ65" i="34"/>
  <c r="BJ76" i="34" s="1"/>
  <c r="BF65" i="34"/>
  <c r="BF76" i="34" s="1"/>
  <c r="BB65" i="34"/>
  <c r="AX65" i="34"/>
  <c r="BR64" i="34"/>
  <c r="BR151" i="34" s="1"/>
  <c r="BN64" i="34"/>
  <c r="BN151" i="34" s="1"/>
  <c r="BJ64" i="34"/>
  <c r="BF64" i="34"/>
  <c r="BF151" i="34" s="1"/>
  <c r="BB64" i="34"/>
  <c r="BB151" i="34" s="1"/>
  <c r="AX64" i="34"/>
  <c r="AX151" i="34" s="1"/>
  <c r="DT73" i="34"/>
  <c r="DT85" i="34" s="1"/>
  <c r="DY72" i="34"/>
  <c r="DY84" i="34" s="1"/>
  <c r="DH71" i="34"/>
  <c r="DH82" i="34" s="1"/>
  <c r="DV70" i="34"/>
  <c r="DV81" i="34" s="1"/>
  <c r="DJ69" i="34"/>
  <c r="DJ80" i="34" s="1"/>
  <c r="DO68" i="34"/>
  <c r="DO79" i="34" s="1"/>
  <c r="DR67" i="34"/>
  <c r="DR78" i="34" s="1"/>
  <c r="DK66" i="34"/>
  <c r="DK77" i="34" s="1"/>
  <c r="DT65" i="34"/>
  <c r="DT76" i="34" s="1"/>
  <c r="EB64" i="34"/>
  <c r="EB75" i="34" s="1"/>
  <c r="DL64" i="34"/>
  <c r="DL75" i="34" s="1"/>
  <c r="CS73" i="34"/>
  <c r="CS85" i="34" s="1"/>
  <c r="CK73" i="34"/>
  <c r="CK85" i="34" s="1"/>
  <c r="CC73" i="34"/>
  <c r="CC85" i="34" s="1"/>
  <c r="CU72" i="34"/>
  <c r="CU84" i="34" s="1"/>
  <c r="CM72" i="34"/>
  <c r="CM84" i="34" s="1"/>
  <c r="CE72" i="34"/>
  <c r="CE84" i="34" s="1"/>
  <c r="CV71" i="34"/>
  <c r="CV82" i="34" s="1"/>
  <c r="CN71" i="34"/>
  <c r="CN82" i="34" s="1"/>
  <c r="CF71" i="34"/>
  <c r="CF82" i="34" s="1"/>
  <c r="CW70" i="34"/>
  <c r="CW81" i="34" s="1"/>
  <c r="CO70" i="34"/>
  <c r="CO81" i="34" s="1"/>
  <c r="CG70" i="34"/>
  <c r="CG81" i="34" s="1"/>
  <c r="CS69" i="34"/>
  <c r="CS80" i="34" s="1"/>
  <c r="CK69" i="34"/>
  <c r="CK80" i="34" s="1"/>
  <c r="CC69" i="34"/>
  <c r="CC80" i="34" s="1"/>
  <c r="CU68" i="34"/>
  <c r="CU79" i="34" s="1"/>
  <c r="CM68" i="34"/>
  <c r="CM79" i="34" s="1"/>
  <c r="CE68" i="34"/>
  <c r="CE79" i="34" s="1"/>
  <c r="CV67" i="34"/>
  <c r="CV78" i="34" s="1"/>
  <c r="CN67" i="34"/>
  <c r="CN78" i="34" s="1"/>
  <c r="CF67" i="34"/>
  <c r="CF78" i="34" s="1"/>
  <c r="CW66" i="34"/>
  <c r="CW77" i="34" s="1"/>
  <c r="CO66" i="34"/>
  <c r="CO77" i="34" s="1"/>
  <c r="CG66" i="34"/>
  <c r="CG77" i="34" s="1"/>
  <c r="CS65" i="34"/>
  <c r="CS76" i="34" s="1"/>
  <c r="CK65" i="34"/>
  <c r="CK76" i="34" s="1"/>
  <c r="CC65" i="34"/>
  <c r="CC76" i="34" s="1"/>
  <c r="CU64" i="34"/>
  <c r="CU151" i="34" s="1"/>
  <c r="CM64" i="34"/>
  <c r="CE64" i="34"/>
  <c r="CE151" i="34" s="1"/>
  <c r="BQ73" i="34"/>
  <c r="BQ85" i="34" s="1"/>
  <c r="BL73" i="34"/>
  <c r="BL85" i="34" s="1"/>
  <c r="BF73" i="34"/>
  <c r="BF85" i="34" s="1"/>
  <c r="BA73" i="34"/>
  <c r="BA85" i="34" s="1"/>
  <c r="AV73" i="34"/>
  <c r="AV85" i="34" s="1"/>
  <c r="BN72" i="34"/>
  <c r="BN84" i="34" s="1"/>
  <c r="BI72" i="34"/>
  <c r="BI84" i="34" s="1"/>
  <c r="BD72" i="34"/>
  <c r="BD84" i="34" s="1"/>
  <c r="AX72" i="34"/>
  <c r="AX84" i="34" s="1"/>
  <c r="BQ71" i="34"/>
  <c r="BQ82" i="34" s="1"/>
  <c r="BL71" i="34"/>
  <c r="BL82" i="34" s="1"/>
  <c r="DF71" i="34"/>
  <c r="DF82" i="34" s="1"/>
  <c r="DV69" i="34"/>
  <c r="DV80" i="34" s="1"/>
  <c r="DQ67" i="34"/>
  <c r="DQ78" i="34" s="1"/>
  <c r="DG64" i="34"/>
  <c r="DG75" i="34" s="1"/>
  <c r="CH73" i="34"/>
  <c r="CH85" i="34" s="1"/>
  <c r="CD72" i="34"/>
  <c r="CD84" i="34" s="1"/>
  <c r="CE71" i="34"/>
  <c r="CE82" i="34" s="1"/>
  <c r="CF70" i="34"/>
  <c r="CF81" i="34" s="1"/>
  <c r="CH69" i="34"/>
  <c r="CH80" i="34" s="1"/>
  <c r="CD68" i="34"/>
  <c r="CD79" i="34" s="1"/>
  <c r="CE67" i="34"/>
  <c r="CE78" i="34" s="1"/>
  <c r="CF66" i="34"/>
  <c r="CF77" i="34" s="1"/>
  <c r="CH65" i="34"/>
  <c r="CH76" i="34" s="1"/>
  <c r="CD64" i="34"/>
  <c r="CD151" i="34" s="1"/>
  <c r="BN73" i="34"/>
  <c r="BN85" i="34" s="1"/>
  <c r="BD73" i="34"/>
  <c r="BD85" i="34" s="1"/>
  <c r="BQ72" i="34"/>
  <c r="BQ84" i="34" s="1"/>
  <c r="BF72" i="34"/>
  <c r="BF84" i="34" s="1"/>
  <c r="AV72" i="34"/>
  <c r="AV84" i="34" s="1"/>
  <c r="BI71" i="34"/>
  <c r="BI82" i="34" s="1"/>
  <c r="BA71" i="34"/>
  <c r="BA82" i="34" s="1"/>
  <c r="BR70" i="34"/>
  <c r="BR81" i="34" s="1"/>
  <c r="BL70" i="34"/>
  <c r="BL81" i="34" s="1"/>
  <c r="BD70" i="34"/>
  <c r="BD81" i="34" s="1"/>
  <c r="AW70" i="34"/>
  <c r="AW81" i="34" s="1"/>
  <c r="BN69" i="34"/>
  <c r="BN80" i="34" s="1"/>
  <c r="BF69" i="34"/>
  <c r="BF80" i="34" s="1"/>
  <c r="AZ69" i="34"/>
  <c r="AZ80" i="34" s="1"/>
  <c r="BQ68" i="34"/>
  <c r="BQ155" i="34" s="1"/>
  <c r="BI68" i="34"/>
  <c r="BI155" i="34" s="1"/>
  <c r="BB68" i="34"/>
  <c r="BB155" i="34" s="1"/>
  <c r="AV68" i="34"/>
  <c r="BM67" i="34"/>
  <c r="BM78" i="34" s="1"/>
  <c r="BH67" i="34"/>
  <c r="BH78" i="34" s="1"/>
  <c r="BC67" i="34"/>
  <c r="AW67" i="34"/>
  <c r="AW154" i="34" s="1"/>
  <c r="BP66" i="34"/>
  <c r="BP153" i="34" s="1"/>
  <c r="BK66" i="34"/>
  <c r="BK77" i="34" s="1"/>
  <c r="BE66" i="34"/>
  <c r="AZ66" i="34"/>
  <c r="BS65" i="34"/>
  <c r="BM65" i="34"/>
  <c r="BM76" i="34" s="1"/>
  <c r="BH65" i="34"/>
  <c r="BH76" i="34" s="1"/>
  <c r="BC65" i="34"/>
  <c r="AW65" i="34"/>
  <c r="BP64" i="34"/>
  <c r="BP151" i="34" s="1"/>
  <c r="BK64" i="34"/>
  <c r="BK151" i="34" s="1"/>
  <c r="BE64" i="34"/>
  <c r="BE151" i="34" s="1"/>
  <c r="AZ64" i="34"/>
  <c r="AZ151" i="34" s="1"/>
  <c r="DX72" i="34"/>
  <c r="DX84" i="34" s="1"/>
  <c r="DK65" i="34"/>
  <c r="DK76" i="34" s="1"/>
  <c r="BJ73" i="34"/>
  <c r="BJ85" i="34" s="1"/>
  <c r="AZ73" i="34"/>
  <c r="AZ85" i="34" s="1"/>
  <c r="BM72" i="34"/>
  <c r="BM84" i="34" s="1"/>
  <c r="BB72" i="34"/>
  <c r="BB84" i="34" s="1"/>
  <c r="BP71" i="34"/>
  <c r="BP82" i="34" s="1"/>
  <c r="BF71" i="34"/>
  <c r="BF82" i="34" s="1"/>
  <c r="AZ71" i="34"/>
  <c r="AZ82" i="34" s="1"/>
  <c r="BQ70" i="34"/>
  <c r="BQ81" i="34" s="1"/>
  <c r="BI70" i="34"/>
  <c r="BI81" i="34" s="1"/>
  <c r="BB70" i="34"/>
  <c r="BB81" i="34" s="1"/>
  <c r="AV70" i="34"/>
  <c r="AV81" i="34" s="1"/>
  <c r="BL69" i="34"/>
  <c r="BL80" i="34" s="1"/>
  <c r="BE69" i="34"/>
  <c r="BE80" i="34" s="1"/>
  <c r="AX69" i="34"/>
  <c r="AX80" i="34" s="1"/>
  <c r="BN68" i="34"/>
  <c r="BH68" i="34"/>
  <c r="BH155" i="34" s="1"/>
  <c r="BA68" i="34"/>
  <c r="BA155" i="34" s="1"/>
  <c r="BQ67" i="34"/>
  <c r="BQ78" i="34" s="1"/>
  <c r="BL67" i="34"/>
  <c r="BL78" i="34" s="1"/>
  <c r="BG67" i="34"/>
  <c r="BG78" i="34" s="1"/>
  <c r="BA67" i="34"/>
  <c r="BA154" i="34" s="1"/>
  <c r="AV67" i="34"/>
  <c r="AV154" i="34" s="1"/>
  <c r="BO66" i="34"/>
  <c r="BO77" i="34" s="1"/>
  <c r="BI66" i="34"/>
  <c r="BI77" i="34" s="1"/>
  <c r="BD66" i="34"/>
  <c r="AY66" i="34"/>
  <c r="AY153" i="34" s="1"/>
  <c r="BQ65" i="34"/>
  <c r="BL65" i="34"/>
  <c r="BL76" i="34" s="1"/>
  <c r="BG65" i="34"/>
  <c r="BG76" i="34" s="1"/>
  <c r="BA65" i="34"/>
  <c r="AV65" i="34"/>
  <c r="BO64" i="34"/>
  <c r="BO151" i="34" s="1"/>
  <c r="BI64" i="34"/>
  <c r="BD64" i="34"/>
  <c r="BD151" i="34" s="1"/>
  <c r="AY64" i="34"/>
  <c r="DO70" i="34"/>
  <c r="DO81" i="34" s="1"/>
  <c r="DM68" i="34"/>
  <c r="DM79" i="34" s="1"/>
  <c r="DZ66" i="34"/>
  <c r="DZ77" i="34" s="1"/>
  <c r="CX73" i="34"/>
  <c r="CX85" i="34" s="1"/>
  <c r="CT72" i="34"/>
  <c r="CT84" i="34" s="1"/>
  <c r="CU71" i="34"/>
  <c r="CU82" i="34" s="1"/>
  <c r="CV70" i="34"/>
  <c r="CV81" i="34" s="1"/>
  <c r="CX69" i="34"/>
  <c r="CX80" i="34" s="1"/>
  <c r="CT68" i="34"/>
  <c r="CT79" i="34" s="1"/>
  <c r="CU67" i="34"/>
  <c r="CU78" i="34" s="1"/>
  <c r="CV66" i="34"/>
  <c r="CV77" i="34" s="1"/>
  <c r="CX65" i="34"/>
  <c r="CX76" i="34" s="1"/>
  <c r="CT64" i="34"/>
  <c r="CT151" i="34" s="1"/>
  <c r="BI73" i="34"/>
  <c r="BI85" i="34" s="1"/>
  <c r="AX73" i="34"/>
  <c r="AX85" i="34" s="1"/>
  <c r="BL72" i="34"/>
  <c r="BL84" i="34" s="1"/>
  <c r="BA72" i="34"/>
  <c r="BA84" i="34" s="1"/>
  <c r="BN71" i="34"/>
  <c r="BN82" i="34" s="1"/>
  <c r="BE71" i="34"/>
  <c r="BE82" i="34" s="1"/>
  <c r="AX71" i="34"/>
  <c r="AX82" i="34" s="1"/>
  <c r="BN70" i="34"/>
  <c r="BN81" i="34" s="1"/>
  <c r="BH70" i="34"/>
  <c r="BH81" i="34" s="1"/>
  <c r="BA70" i="34"/>
  <c r="BA81" i="34" s="1"/>
  <c r="BQ69" i="34"/>
  <c r="BQ80" i="34" s="1"/>
  <c r="BJ69" i="34"/>
  <c r="BJ80" i="34" s="1"/>
  <c r="BD69" i="34"/>
  <c r="BD80" i="34" s="1"/>
  <c r="AV69" i="34"/>
  <c r="AV80" i="34" s="1"/>
  <c r="BM68" i="34"/>
  <c r="BF68" i="34"/>
  <c r="BF155" i="34" s="1"/>
  <c r="AX68" i="34"/>
  <c r="AX155" i="34" s="1"/>
  <c r="BP67" i="34"/>
  <c r="BP78" i="34" s="1"/>
  <c r="BK67" i="34"/>
  <c r="BK78" i="34" s="1"/>
  <c r="BE67" i="34"/>
  <c r="BE78" i="34" s="1"/>
  <c r="AZ67" i="34"/>
  <c r="AZ154" i="34" s="1"/>
  <c r="BS66" i="34"/>
  <c r="BS153" i="34" s="1"/>
  <c r="BM66" i="34"/>
  <c r="BM77" i="34" s="1"/>
  <c r="BH66" i="34"/>
  <c r="BH77" i="34" s="1"/>
  <c r="BC66" i="34"/>
  <c r="AW66" i="34"/>
  <c r="AW153" i="34" s="1"/>
  <c r="BP65" i="34"/>
  <c r="BP152" i="34" s="1"/>
  <c r="BK65" i="34"/>
  <c r="BK76" i="34" s="1"/>
  <c r="BE65" i="34"/>
  <c r="AZ65" i="34"/>
  <c r="BS64" i="34"/>
  <c r="BM64" i="34"/>
  <c r="BM151" i="34" s="1"/>
  <c r="BH64" i="34"/>
  <c r="BC64" i="34"/>
  <c r="BC151" i="34" s="1"/>
  <c r="AW64" i="34"/>
  <c r="EB71" i="34"/>
  <c r="EB82" i="34" s="1"/>
  <c r="BP73" i="34"/>
  <c r="BP85" i="34" s="1"/>
  <c r="AW72" i="34"/>
  <c r="AW84" i="34" s="1"/>
  <c r="BM70" i="34"/>
  <c r="BM81" i="34" s="1"/>
  <c r="BI69" i="34"/>
  <c r="BI80" i="34" s="1"/>
  <c r="BD68" i="34"/>
  <c r="BD155" i="34" s="1"/>
  <c r="BD67" i="34"/>
  <c r="BG66" i="34"/>
  <c r="BG77" i="34" s="1"/>
  <c r="BI65" i="34"/>
  <c r="BI76" i="34" s="1"/>
  <c r="BL64" i="34"/>
  <c r="DK73" i="34"/>
  <c r="DK85" i="34" s="1"/>
  <c r="DW64" i="34"/>
  <c r="DW75" i="34" s="1"/>
  <c r="CL72" i="34"/>
  <c r="CL84" i="34" s="1"/>
  <c r="CN70" i="34"/>
  <c r="CN81" i="34" s="1"/>
  <c r="CL68" i="34"/>
  <c r="CL79" i="34" s="1"/>
  <c r="CN66" i="34"/>
  <c r="CN77" i="34" s="1"/>
  <c r="CL64" i="34"/>
  <c r="CL151" i="34" s="1"/>
  <c r="BE73" i="34"/>
  <c r="BE85" i="34" s="1"/>
  <c r="BJ71" i="34"/>
  <c r="BJ82" i="34" s="1"/>
  <c r="BF70" i="34"/>
  <c r="BF81" i="34" s="1"/>
  <c r="BA69" i="34"/>
  <c r="BA80" i="34" s="1"/>
  <c r="AW68" i="34"/>
  <c r="AW155" i="34" s="1"/>
  <c r="AY67" i="34"/>
  <c r="AY154" i="34" s="1"/>
  <c r="BA66" i="34"/>
  <c r="BD65" i="34"/>
  <c r="BG64" i="34"/>
  <c r="DE66" i="34"/>
  <c r="DE77" i="34" s="1"/>
  <c r="BR72" i="34"/>
  <c r="BR84" i="34" s="1"/>
  <c r="BD71" i="34"/>
  <c r="BD82" i="34" s="1"/>
  <c r="AX70" i="34"/>
  <c r="AX81" i="34" s="1"/>
  <c r="BR68" i="34"/>
  <c r="BR155" i="34" s="1"/>
  <c r="BO67" i="34"/>
  <c r="BO78" i="34" s="1"/>
  <c r="BQ66" i="34"/>
  <c r="BQ153" i="34" s="1"/>
  <c r="AV66" i="34"/>
  <c r="AV153" i="34" s="1"/>
  <c r="AY65" i="34"/>
  <c r="BA64" i="34"/>
  <c r="BA151" i="34" s="1"/>
  <c r="CM67" i="34"/>
  <c r="CM78" i="34" s="1"/>
  <c r="BP69" i="34"/>
  <c r="BP80" i="34" s="1"/>
  <c r="BO65" i="34"/>
  <c r="BO76" i="34" s="1"/>
  <c r="BL66" i="34"/>
  <c r="BL77" i="34" s="1"/>
  <c r="CP69" i="34"/>
  <c r="CP80" i="34" s="1"/>
  <c r="BL68" i="34"/>
  <c r="BQ64" i="34"/>
  <c r="BQ151" i="34" s="1"/>
  <c r="CP73" i="34"/>
  <c r="CP85" i="34" s="1"/>
  <c r="CM71" i="34"/>
  <c r="CM82" i="34" s="1"/>
  <c r="BH72" i="34"/>
  <c r="BH84" i="34" s="1"/>
  <c r="BI67" i="34"/>
  <c r="BI78" i="34" s="1"/>
  <c r="AV64" i="34"/>
  <c r="AV151" i="34" s="1"/>
  <c r="CP65" i="34"/>
  <c r="CP76" i="34" s="1"/>
  <c r="AV71" i="34"/>
  <c r="AV82" i="34" s="1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J220" i="34"/>
  <c r="J221" i="34" s="1"/>
  <c r="W193" i="34"/>
  <c r="W194" i="34" s="1"/>
  <c r="V198" i="34" s="1"/>
  <c r="W198" i="34" s="1"/>
  <c r="AP198" i="34"/>
  <c r="O254" i="34"/>
  <c r="O260" i="34"/>
  <c r="I199" i="34"/>
  <c r="J199" i="34" s="1"/>
  <c r="I200" i="34"/>
  <c r="J200" i="34" s="1"/>
  <c r="I198" i="34"/>
  <c r="J198" i="34" s="1"/>
  <c r="D270" i="34"/>
  <c r="O262" i="34"/>
  <c r="D271" i="34"/>
  <c r="K256" i="34"/>
  <c r="L256" i="34" s="1"/>
  <c r="K257" i="34"/>
  <c r="L257" i="34" s="1"/>
  <c r="P199" i="34"/>
  <c r="Q199" i="34" s="1"/>
  <c r="P198" i="34"/>
  <c r="Q198" i="34" s="1"/>
  <c r="B94" i="32"/>
  <c r="O258" i="34"/>
  <c r="D268" i="34"/>
  <c r="D264" i="34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113" i="32" l="1"/>
  <c r="B125" i="32" s="1"/>
  <c r="AY76" i="34"/>
  <c r="AY152" i="34"/>
  <c r="BS76" i="34"/>
  <c r="BS152" i="34"/>
  <c r="BR76" i="34"/>
  <c r="BR133" i="34" s="1"/>
  <c r="BR152" i="34"/>
  <c r="BE76" i="34"/>
  <c r="BE133" i="34" s="1"/>
  <c r="BE152" i="34"/>
  <c r="AZ77" i="34"/>
  <c r="AZ153" i="34"/>
  <c r="BA76" i="34"/>
  <c r="BA152" i="34"/>
  <c r="BD76" i="34"/>
  <c r="BD133" i="34" s="1"/>
  <c r="BD152" i="34"/>
  <c r="BE77" i="34"/>
  <c r="BE134" i="34" s="1"/>
  <c r="BE153" i="34"/>
  <c r="BB77" i="34"/>
  <c r="BB134" i="34" s="1"/>
  <c r="BB153" i="34"/>
  <c r="BA77" i="34"/>
  <c r="BA153" i="34"/>
  <c r="BQ76" i="34"/>
  <c r="BQ133" i="34" s="1"/>
  <c r="BQ152" i="34"/>
  <c r="BQ160" i="34" s="1"/>
  <c r="BQ161" i="34" s="1"/>
  <c r="BQ162" i="34" s="1"/>
  <c r="AX76" i="34"/>
  <c r="AX122" i="34" s="1"/>
  <c r="AX168" i="34" s="1"/>
  <c r="AX152" i="34"/>
  <c r="AX160" i="34" s="1"/>
  <c r="AX161" i="34" s="1"/>
  <c r="AX162" i="34" s="1"/>
  <c r="AZ76" i="34"/>
  <c r="AZ152" i="34"/>
  <c r="AW76" i="34"/>
  <c r="AW152" i="34"/>
  <c r="BB76" i="34"/>
  <c r="BB133" i="34" s="1"/>
  <c r="BB152" i="34"/>
  <c r="BC77" i="34"/>
  <c r="BC134" i="34" s="1"/>
  <c r="BC153" i="34"/>
  <c r="BD77" i="34"/>
  <c r="BD153" i="34"/>
  <c r="BC76" i="34"/>
  <c r="BC152" i="34"/>
  <c r="AV76" i="34"/>
  <c r="AV122" i="34" s="1"/>
  <c r="AV168" i="34" s="1"/>
  <c r="AV152" i="34"/>
  <c r="C193" i="34"/>
  <c r="D193" i="34" s="1"/>
  <c r="C277" i="34"/>
  <c r="D277" i="34" s="1"/>
  <c r="V263" i="33"/>
  <c r="J46" i="33" s="1"/>
  <c r="C210" i="34" s="1"/>
  <c r="J141" i="33"/>
  <c r="C219" i="34" s="1"/>
  <c r="D219" i="34" s="1"/>
  <c r="BK79" i="34"/>
  <c r="BK136" i="34" s="1"/>
  <c r="BK155" i="34"/>
  <c r="BK160" i="34" s="1"/>
  <c r="BK161" i="34" s="1"/>
  <c r="BK162" i="34" s="1"/>
  <c r="BL79" i="34"/>
  <c r="BL136" i="34" s="1"/>
  <c r="BL155" i="34"/>
  <c r="BM79" i="34"/>
  <c r="BM125" i="34" s="1"/>
  <c r="BM171" i="34" s="1"/>
  <c r="BM155" i="34"/>
  <c r="BM160" i="34" s="1"/>
  <c r="BM161" i="34" s="1"/>
  <c r="BM162" i="34" s="1"/>
  <c r="BN79" i="34"/>
  <c r="BN155" i="34"/>
  <c r="BN160" i="34" s="1"/>
  <c r="BN161" i="34" s="1"/>
  <c r="BN162" i="34" s="1"/>
  <c r="BJ79" i="34"/>
  <c r="BJ136" i="34" s="1"/>
  <c r="BJ155" i="34"/>
  <c r="BO79" i="34"/>
  <c r="BO136" i="34" s="1"/>
  <c r="BO155" i="34"/>
  <c r="BO160" i="34" s="1"/>
  <c r="BO161" i="34" s="1"/>
  <c r="BO162" i="34" s="1"/>
  <c r="BP79" i="34"/>
  <c r="BP136" i="34" s="1"/>
  <c r="BP155" i="34"/>
  <c r="BP160" i="34" s="1"/>
  <c r="BP161" i="34" s="1"/>
  <c r="BP162" i="34" s="1"/>
  <c r="BH75" i="34"/>
  <c r="BH151" i="34"/>
  <c r="BH160" i="34" s="1"/>
  <c r="BH161" i="34" s="1"/>
  <c r="BH162" i="34" s="1"/>
  <c r="BJ75" i="34"/>
  <c r="BJ132" i="34" s="1"/>
  <c r="BJ151" i="34"/>
  <c r="BJ160" i="34" s="1"/>
  <c r="BJ161" i="34" s="1"/>
  <c r="BJ162" i="34" s="1"/>
  <c r="BG75" i="34"/>
  <c r="BG132" i="34" s="1"/>
  <c r="BG151" i="34"/>
  <c r="BG160" i="34" s="1"/>
  <c r="BG161" i="34" s="1"/>
  <c r="BG162" i="34" s="1"/>
  <c r="BI75" i="34"/>
  <c r="BI121" i="34" s="1"/>
  <c r="BI167" i="34" s="1"/>
  <c r="BI151" i="34"/>
  <c r="BI160" i="34" s="1"/>
  <c r="BI161" i="34" s="1"/>
  <c r="BI162" i="34" s="1"/>
  <c r="D291" i="34"/>
  <c r="BC78" i="34"/>
  <c r="BC154" i="34"/>
  <c r="BS78" i="34"/>
  <c r="BS135" i="34" s="1"/>
  <c r="BS154" i="34"/>
  <c r="BD78" i="34"/>
  <c r="BD124" i="34" s="1"/>
  <c r="BD170" i="34" s="1"/>
  <c r="BD154" i="34"/>
  <c r="BR78" i="34"/>
  <c r="BR124" i="34" s="1"/>
  <c r="BR170" i="34" s="1"/>
  <c r="BR154" i="34"/>
  <c r="BB78" i="34"/>
  <c r="BB154" i="34"/>
  <c r="CH75" i="34"/>
  <c r="CH132" i="34" s="1"/>
  <c r="CW75" i="34"/>
  <c r="CW132" i="34" s="1"/>
  <c r="CF75" i="34"/>
  <c r="CF121" i="34" s="1"/>
  <c r="CF167" i="34" s="1"/>
  <c r="BS79" i="34"/>
  <c r="BS136" i="34" s="1"/>
  <c r="BQ75" i="34"/>
  <c r="BQ132" i="34" s="1"/>
  <c r="AZ75" i="34"/>
  <c r="AZ121" i="34" s="1"/>
  <c r="AZ167" i="34" s="1"/>
  <c r="AV78" i="34"/>
  <c r="AV135" i="34" s="1"/>
  <c r="CQ75" i="34"/>
  <c r="CQ121" i="34" s="1"/>
  <c r="CQ167" i="34" s="1"/>
  <c r="BS77" i="34"/>
  <c r="BS123" i="34" s="1"/>
  <c r="BS169" i="34" s="1"/>
  <c r="Q200" i="34"/>
  <c r="D202" i="34" s="1"/>
  <c r="BA75" i="34"/>
  <c r="BA132" i="34" s="1"/>
  <c r="BF75" i="34"/>
  <c r="BF132" i="34" s="1"/>
  <c r="CS75" i="34"/>
  <c r="CS121" i="34" s="1"/>
  <c r="CS167" i="34" s="1"/>
  <c r="AX78" i="34"/>
  <c r="AX135" i="34" s="1"/>
  <c r="BI79" i="34"/>
  <c r="BI125" i="34" s="1"/>
  <c r="BI171" i="34" s="1"/>
  <c r="BP76" i="34"/>
  <c r="BP122" i="34" s="1"/>
  <c r="BP168" i="34" s="1"/>
  <c r="AX77" i="34"/>
  <c r="AX123" i="34" s="1"/>
  <c r="AX169" i="34" s="1"/>
  <c r="CJ75" i="34"/>
  <c r="CJ121" i="34" s="1"/>
  <c r="CJ167" i="34" s="1"/>
  <c r="BK75" i="34"/>
  <c r="BK132" i="34" s="1"/>
  <c r="BB75" i="34"/>
  <c r="BB132" i="34" s="1"/>
  <c r="V199" i="34"/>
  <c r="W199" i="34" s="1"/>
  <c r="W200" i="34" s="1"/>
  <c r="D203" i="34" s="1"/>
  <c r="BQ77" i="34"/>
  <c r="BQ134" i="34" s="1"/>
  <c r="BR77" i="34"/>
  <c r="BR134" i="34" s="1"/>
  <c r="CU75" i="34"/>
  <c r="CU132" i="34" s="1"/>
  <c r="BQ79" i="34"/>
  <c r="BQ125" i="34" s="1"/>
  <c r="BQ171" i="34" s="1"/>
  <c r="BR79" i="34"/>
  <c r="BR136" i="34" s="1"/>
  <c r="AW79" i="34"/>
  <c r="AW136" i="34" s="1"/>
  <c r="BP77" i="34"/>
  <c r="BP123" i="34" s="1"/>
  <c r="BP169" i="34" s="1"/>
  <c r="AW77" i="34"/>
  <c r="AW123" i="34" s="1"/>
  <c r="AW169" i="34" s="1"/>
  <c r="CV75" i="34"/>
  <c r="CV121" i="34" s="1"/>
  <c r="CV167" i="34" s="1"/>
  <c r="BC75" i="34"/>
  <c r="BC121" i="34" s="1"/>
  <c r="BC167" i="34" s="1"/>
  <c r="BC79" i="34"/>
  <c r="BC125" i="34" s="1"/>
  <c r="BC171" i="34" s="1"/>
  <c r="CY75" i="34"/>
  <c r="CY132" i="34" s="1"/>
  <c r="CG75" i="34"/>
  <c r="CG121" i="34" s="1"/>
  <c r="CG167" i="34" s="1"/>
  <c r="CT75" i="34"/>
  <c r="CT132" i="34" s="1"/>
  <c r="BD75" i="34"/>
  <c r="BD132" i="34" s="1"/>
  <c r="CE75" i="34"/>
  <c r="CE132" i="34" s="1"/>
  <c r="L210" i="34"/>
  <c r="L211" i="34" s="1"/>
  <c r="L212" i="34" s="1"/>
  <c r="BR75" i="34"/>
  <c r="BR132" i="34" s="1"/>
  <c r="CO75" i="34"/>
  <c r="CO132" i="34" s="1"/>
  <c r="BO75" i="34"/>
  <c r="BO132" i="34" s="1"/>
  <c r="CX75" i="34"/>
  <c r="CX132" i="34" s="1"/>
  <c r="BE79" i="34"/>
  <c r="BE125" i="34" s="1"/>
  <c r="BE171" i="34" s="1"/>
  <c r="BB79" i="34"/>
  <c r="BB136" i="34" s="1"/>
  <c r="CI75" i="34"/>
  <c r="CI121" i="34" s="1"/>
  <c r="CI167" i="34" s="1"/>
  <c r="BF79" i="34"/>
  <c r="BF125" i="34" s="1"/>
  <c r="BF171" i="34" s="1"/>
  <c r="CL75" i="34"/>
  <c r="CL132" i="34" s="1"/>
  <c r="BM75" i="34"/>
  <c r="BM121" i="34" s="1"/>
  <c r="BM167" i="34" s="1"/>
  <c r="CN75" i="34"/>
  <c r="CN132" i="34" s="1"/>
  <c r="BH79" i="34"/>
  <c r="BH136" i="34" s="1"/>
  <c r="AW151" i="34"/>
  <c r="AW75" i="34"/>
  <c r="AW121" i="34" s="1"/>
  <c r="AW167" i="34" s="1"/>
  <c r="BS151" i="34"/>
  <c r="BS75" i="34"/>
  <c r="BS132" i="34" s="1"/>
  <c r="CB151" i="34"/>
  <c r="CB75" i="34"/>
  <c r="CB132" i="34" s="1"/>
  <c r="AY151" i="34"/>
  <c r="AY75" i="34"/>
  <c r="AY132" i="34" s="1"/>
  <c r="AY155" i="34"/>
  <c r="AY79" i="34"/>
  <c r="AY136" i="34" s="1"/>
  <c r="CR151" i="34"/>
  <c r="CR75" i="34"/>
  <c r="CR132" i="34" s="1"/>
  <c r="CC151" i="34"/>
  <c r="CC75" i="34"/>
  <c r="CC132" i="34" s="1"/>
  <c r="BP75" i="34"/>
  <c r="BP132" i="34" s="1"/>
  <c r="CD75" i="34"/>
  <c r="CD121" i="34" s="1"/>
  <c r="CD167" i="34" s="1"/>
  <c r="AV75" i="34"/>
  <c r="AV132" i="34" s="1"/>
  <c r="AY78" i="34"/>
  <c r="AY124" i="34" s="1"/>
  <c r="AY170" i="34" s="1"/>
  <c r="AY77" i="34"/>
  <c r="AY123" i="34" s="1"/>
  <c r="AY169" i="34" s="1"/>
  <c r="BL151" i="34"/>
  <c r="BL75" i="34"/>
  <c r="BL121" i="34" s="1"/>
  <c r="BL167" i="34" s="1"/>
  <c r="AV155" i="34"/>
  <c r="AV79" i="34"/>
  <c r="AV125" i="34" s="1"/>
  <c r="AV171" i="34" s="1"/>
  <c r="CM151" i="34"/>
  <c r="CM75" i="34"/>
  <c r="CM121" i="34" s="1"/>
  <c r="CM167" i="34" s="1"/>
  <c r="O261" i="34"/>
  <c r="J201" i="34"/>
  <c r="D201" i="34" s="1"/>
  <c r="D267" i="34"/>
  <c r="AX79" i="34"/>
  <c r="AX136" i="34" s="1"/>
  <c r="AZ79" i="34"/>
  <c r="AZ136" i="34" s="1"/>
  <c r="AP203" i="34"/>
  <c r="AQ203" i="34" s="1"/>
  <c r="AP202" i="34"/>
  <c r="AQ202" i="34" s="1"/>
  <c r="AP204" i="34"/>
  <c r="AQ204" i="34" s="1"/>
  <c r="AP200" i="34"/>
  <c r="AQ200" i="34" s="1"/>
  <c r="AP201" i="34"/>
  <c r="AQ201" i="34" s="1"/>
  <c r="BN75" i="34"/>
  <c r="BN132" i="34" s="1"/>
  <c r="CP75" i="34"/>
  <c r="CP121" i="34" s="1"/>
  <c r="CP167" i="34" s="1"/>
  <c r="BE75" i="34"/>
  <c r="BE121" i="34" s="1"/>
  <c r="BE167" i="34" s="1"/>
  <c r="AZ78" i="34"/>
  <c r="AZ135" i="34" s="1"/>
  <c r="BG79" i="34"/>
  <c r="BG136" i="34" s="1"/>
  <c r="AW78" i="34"/>
  <c r="AW124" i="34" s="1"/>
  <c r="AW170" i="34" s="1"/>
  <c r="BD79" i="34"/>
  <c r="BD136" i="34" s="1"/>
  <c r="BA160" i="34"/>
  <c r="BA161" i="34" s="1"/>
  <c r="BA162" i="34" s="1"/>
  <c r="BF160" i="34"/>
  <c r="BF161" i="34" s="1"/>
  <c r="BF162" i="34" s="1"/>
  <c r="AV77" i="34"/>
  <c r="AV134" i="34" s="1"/>
  <c r="AX75" i="34"/>
  <c r="AX132" i="34" s="1"/>
  <c r="CK75" i="34"/>
  <c r="CK121" i="34" s="1"/>
  <c r="CK167" i="34" s="1"/>
  <c r="BA79" i="34"/>
  <c r="BA136" i="34" s="1"/>
  <c r="BA78" i="34"/>
  <c r="BA135" i="34" s="1"/>
  <c r="AL208" i="34"/>
  <c r="AZ160" i="34"/>
  <c r="AZ161" i="34" s="1"/>
  <c r="AZ162" i="34" s="1"/>
  <c r="DX133" i="34"/>
  <c r="DX122" i="34"/>
  <c r="DX168" i="34" s="1"/>
  <c r="CI135" i="34"/>
  <c r="CI124" i="34"/>
  <c r="CI170" i="34" s="1"/>
  <c r="CB133" i="34"/>
  <c r="CB122" i="34"/>
  <c r="CB168" i="34" s="1"/>
  <c r="CS139" i="34"/>
  <c r="CS128" i="34"/>
  <c r="CS174" i="34" s="1"/>
  <c r="DU132" i="34"/>
  <c r="DU121" i="34"/>
  <c r="DU167" i="34" s="1"/>
  <c r="DM124" i="34"/>
  <c r="DM170" i="34" s="1"/>
  <c r="DM135" i="34"/>
  <c r="CX139" i="34"/>
  <c r="CX128" i="34"/>
  <c r="CX174" i="34" s="1"/>
  <c r="DI132" i="34"/>
  <c r="DI121" i="34"/>
  <c r="DI167" i="34" s="1"/>
  <c r="CD135" i="34"/>
  <c r="CD124" i="34"/>
  <c r="CD170" i="34" s="1"/>
  <c r="CM137" i="34"/>
  <c r="CM126" i="34"/>
  <c r="CM172" i="34" s="1"/>
  <c r="DV139" i="34"/>
  <c r="DV128" i="34"/>
  <c r="DV174" i="34" s="1"/>
  <c r="O255" i="34"/>
  <c r="O259" i="34"/>
  <c r="DH133" i="34"/>
  <c r="DH122" i="34"/>
  <c r="DH168" i="34" s="1"/>
  <c r="BG140" i="34"/>
  <c r="BG129" i="34"/>
  <c r="BG175" i="34" s="1"/>
  <c r="DM132" i="34"/>
  <c r="DM121" i="34"/>
  <c r="DM167" i="34" s="1"/>
  <c r="AZ137" i="34"/>
  <c r="AZ126" i="34"/>
  <c r="AZ172" i="34" s="1"/>
  <c r="DF139" i="34"/>
  <c r="DF128" i="34"/>
  <c r="DF174" i="34" s="1"/>
  <c r="DO134" i="34"/>
  <c r="DO123" i="34"/>
  <c r="DO169" i="34" s="1"/>
  <c r="BD141" i="34"/>
  <c r="BD130" i="34"/>
  <c r="BD176" i="34" s="1"/>
  <c r="CI134" i="34"/>
  <c r="CI123" i="34"/>
  <c r="CI169" i="34" s="1"/>
  <c r="BM138" i="34"/>
  <c r="BM127" i="34"/>
  <c r="BM173" i="34" s="1"/>
  <c r="BI133" i="34"/>
  <c r="BI122" i="34"/>
  <c r="BI168" i="34" s="1"/>
  <c r="EB133" i="34"/>
  <c r="EB122" i="34"/>
  <c r="EB168" i="34" s="1"/>
  <c r="DS134" i="34"/>
  <c r="DS123" i="34"/>
  <c r="DS169" i="34" s="1"/>
  <c r="DG135" i="34"/>
  <c r="DG124" i="34"/>
  <c r="DG170" i="34" s="1"/>
  <c r="BE137" i="34"/>
  <c r="BE126" i="34"/>
  <c r="BE172" i="34" s="1"/>
  <c r="AW138" i="34"/>
  <c r="AW127" i="34"/>
  <c r="AW173" i="34" s="1"/>
  <c r="AZ139" i="34"/>
  <c r="AZ128" i="34"/>
  <c r="AZ174" i="34" s="1"/>
  <c r="CH140" i="34"/>
  <c r="CH129" i="34"/>
  <c r="CH175" i="34" s="1"/>
  <c r="DE141" i="34"/>
  <c r="DE130" i="34"/>
  <c r="DE176" i="34" s="1"/>
  <c r="DE132" i="34"/>
  <c r="DE121" i="34"/>
  <c r="DE167" i="34" s="1"/>
  <c r="CF133" i="34"/>
  <c r="CF122" i="34"/>
  <c r="CF168" i="34" s="1"/>
  <c r="CQ134" i="34"/>
  <c r="CQ123" i="34"/>
  <c r="CQ169" i="34" s="1"/>
  <c r="CT135" i="34"/>
  <c r="CT124" i="34"/>
  <c r="CT170" i="34" s="1"/>
  <c r="DI136" i="34"/>
  <c r="DI125" i="34"/>
  <c r="DI171" i="34" s="1"/>
  <c r="BC127" i="34"/>
  <c r="BC173" i="34" s="1"/>
  <c r="BC138" i="34"/>
  <c r="CC139" i="34"/>
  <c r="CC128" i="34"/>
  <c r="CC174" i="34" s="1"/>
  <c r="BR140" i="34"/>
  <c r="BR129" i="34"/>
  <c r="BR175" i="34" s="1"/>
  <c r="CQ141" i="34"/>
  <c r="CQ130" i="34"/>
  <c r="CQ176" i="34" s="1"/>
  <c r="CE134" i="34"/>
  <c r="CE123" i="34"/>
  <c r="CE169" i="34" s="1"/>
  <c r="BG135" i="34"/>
  <c r="BG124" i="34"/>
  <c r="BG170" i="34" s="1"/>
  <c r="BP137" i="34"/>
  <c r="BP126" i="34"/>
  <c r="BP172" i="34" s="1"/>
  <c r="BH138" i="34"/>
  <c r="BH127" i="34"/>
  <c r="BH173" i="34" s="1"/>
  <c r="CH128" i="34"/>
  <c r="CH174" i="34" s="1"/>
  <c r="CH139" i="34"/>
  <c r="DM140" i="34"/>
  <c r="DM129" i="34"/>
  <c r="DM175" i="34" s="1"/>
  <c r="DF132" i="34"/>
  <c r="DF121" i="34"/>
  <c r="DF167" i="34" s="1"/>
  <c r="DV132" i="34"/>
  <c r="DV121" i="34"/>
  <c r="DV167" i="34" s="1"/>
  <c r="BF133" i="34"/>
  <c r="BF122" i="34"/>
  <c r="BF168" i="34" s="1"/>
  <c r="CC133" i="34"/>
  <c r="CC122" i="34"/>
  <c r="CC168" i="34" s="1"/>
  <c r="CS133" i="34"/>
  <c r="CS122" i="34"/>
  <c r="CS168" i="34" s="1"/>
  <c r="DM133" i="34"/>
  <c r="DM122" i="34"/>
  <c r="DM168" i="34" s="1"/>
  <c r="BM134" i="34"/>
  <c r="BM123" i="34"/>
  <c r="BM169" i="34" s="1"/>
  <c r="CJ134" i="34"/>
  <c r="CJ123" i="34"/>
  <c r="CJ169" i="34" s="1"/>
  <c r="DH134" i="34"/>
  <c r="DH123" i="34"/>
  <c r="DH169" i="34" s="1"/>
  <c r="DX134" i="34"/>
  <c r="DX123" i="34"/>
  <c r="DX169" i="34" s="1"/>
  <c r="BN135" i="34"/>
  <c r="BN124" i="34"/>
  <c r="BN170" i="34" s="1"/>
  <c r="CP135" i="34"/>
  <c r="CP124" i="34"/>
  <c r="CP170" i="34" s="1"/>
  <c r="DS135" i="34"/>
  <c r="DS124" i="34"/>
  <c r="DS170" i="34" s="1"/>
  <c r="CP136" i="34"/>
  <c r="CP125" i="34"/>
  <c r="CP171" i="34" s="1"/>
  <c r="DP136" i="34"/>
  <c r="DP125" i="34"/>
  <c r="DP171" i="34" s="1"/>
  <c r="BA137" i="34"/>
  <c r="BA126" i="34"/>
  <c r="BA172" i="34" s="1"/>
  <c r="CC137" i="34"/>
  <c r="CC126" i="34"/>
  <c r="CC172" i="34" s="1"/>
  <c r="CY126" i="34"/>
  <c r="CY172" i="34" s="1"/>
  <c r="CY137" i="34"/>
  <c r="DX137" i="34"/>
  <c r="DX126" i="34"/>
  <c r="DX172" i="34" s="1"/>
  <c r="BO138" i="34"/>
  <c r="BO127" i="34"/>
  <c r="BO173" i="34" s="1"/>
  <c r="CV138" i="34"/>
  <c r="CV127" i="34"/>
  <c r="CV173" i="34" s="1"/>
  <c r="DV138" i="34"/>
  <c r="DV127" i="34"/>
  <c r="DV173" i="34" s="1"/>
  <c r="BG139" i="34"/>
  <c r="BG128" i="34"/>
  <c r="BG174" i="34" s="1"/>
  <c r="CI139" i="34"/>
  <c r="CI128" i="34"/>
  <c r="CI174" i="34" s="1"/>
  <c r="DG139" i="34"/>
  <c r="DG128" i="34"/>
  <c r="DG174" i="34" s="1"/>
  <c r="AX140" i="34"/>
  <c r="AX129" i="34"/>
  <c r="AX175" i="34" s="1"/>
  <c r="BS140" i="34"/>
  <c r="BS129" i="34"/>
  <c r="BS175" i="34" s="1"/>
  <c r="CT140" i="34"/>
  <c r="CT129" i="34"/>
  <c r="CT175" i="34" s="1"/>
  <c r="DY140" i="34"/>
  <c r="DY129" i="34"/>
  <c r="DY175" i="34" s="1"/>
  <c r="BP141" i="34"/>
  <c r="BP130" i="34"/>
  <c r="BP176" i="34" s="1"/>
  <c r="CR141" i="34"/>
  <c r="CR130" i="34"/>
  <c r="CR176" i="34" s="1"/>
  <c r="DQ141" i="34"/>
  <c r="DQ130" i="34"/>
  <c r="DQ176" i="34" s="1"/>
  <c r="DK132" i="34"/>
  <c r="DK121" i="34"/>
  <c r="DK167" i="34" s="1"/>
  <c r="EA132" i="34"/>
  <c r="EA121" i="34"/>
  <c r="EA167" i="34" s="1"/>
  <c r="BK133" i="34"/>
  <c r="BK122" i="34"/>
  <c r="BK168" i="34" s="1"/>
  <c r="CH133" i="34"/>
  <c r="CH122" i="34"/>
  <c r="CH168" i="34" s="1"/>
  <c r="CX133" i="34"/>
  <c r="CX122" i="34"/>
  <c r="CX168" i="34" s="1"/>
  <c r="DR133" i="34"/>
  <c r="DR122" i="34"/>
  <c r="DR168" i="34" s="1"/>
  <c r="CO134" i="34"/>
  <c r="CO123" i="34"/>
  <c r="CO169" i="34" s="1"/>
  <c r="DI134" i="34"/>
  <c r="DI123" i="34"/>
  <c r="DI169" i="34" s="1"/>
  <c r="DZ134" i="34"/>
  <c r="DZ123" i="34"/>
  <c r="DZ169" i="34" s="1"/>
  <c r="BO135" i="34"/>
  <c r="BO124" i="34"/>
  <c r="BO170" i="34" s="1"/>
  <c r="CW135" i="34"/>
  <c r="CW124" i="34"/>
  <c r="CW170" i="34" s="1"/>
  <c r="DU135" i="34"/>
  <c r="DU124" i="34"/>
  <c r="DU170" i="34" s="1"/>
  <c r="CL136" i="34"/>
  <c r="CL125" i="34"/>
  <c r="CL171" i="34" s="1"/>
  <c r="DL136" i="34"/>
  <c r="DL125" i="34"/>
  <c r="DL171" i="34" s="1"/>
  <c r="AW137" i="34"/>
  <c r="AW126" i="34"/>
  <c r="AW172" i="34" s="1"/>
  <c r="BR137" i="34"/>
  <c r="BR126" i="34"/>
  <c r="BR172" i="34" s="1"/>
  <c r="CU137" i="34"/>
  <c r="CU126" i="34"/>
  <c r="CU172" i="34" s="1"/>
  <c r="DY137" i="34"/>
  <c r="DY126" i="34"/>
  <c r="DY172" i="34" s="1"/>
  <c r="BP138" i="34"/>
  <c r="BP127" i="34"/>
  <c r="BP173" i="34" s="1"/>
  <c r="CR138" i="34"/>
  <c r="CR127" i="34"/>
  <c r="CR173" i="34" s="1"/>
  <c r="DR138" i="34"/>
  <c r="DR127" i="34"/>
  <c r="DR173" i="34" s="1"/>
  <c r="BC139" i="34"/>
  <c r="BC128" i="34"/>
  <c r="BC174" i="34" s="1"/>
  <c r="CE139" i="34"/>
  <c r="CE128" i="34"/>
  <c r="CE174" i="34" s="1"/>
  <c r="DI139" i="34"/>
  <c r="DI128" i="34"/>
  <c r="DI174" i="34" s="1"/>
  <c r="AY140" i="34"/>
  <c r="AY129" i="34"/>
  <c r="AY175" i="34" s="1"/>
  <c r="CF140" i="34"/>
  <c r="CF129" i="34"/>
  <c r="CF175" i="34" s="1"/>
  <c r="DE140" i="34"/>
  <c r="DE129" i="34"/>
  <c r="DE175" i="34" s="1"/>
  <c r="DZ140" i="34"/>
  <c r="DZ129" i="34"/>
  <c r="DZ175" i="34" s="1"/>
  <c r="BL141" i="34"/>
  <c r="BL130" i="34"/>
  <c r="BL176" i="34" s="1"/>
  <c r="CN130" i="34"/>
  <c r="CN176" i="34" s="1"/>
  <c r="CN141" i="34"/>
  <c r="DM141" i="34"/>
  <c r="DM130" i="34"/>
  <c r="DM176" i="34" s="1"/>
  <c r="DL132" i="34"/>
  <c r="DL121" i="34"/>
  <c r="DL167" i="34" s="1"/>
  <c r="EB132" i="34"/>
  <c r="EB121" i="34"/>
  <c r="EB167" i="34" s="1"/>
  <c r="BH133" i="34"/>
  <c r="BH122" i="34"/>
  <c r="BH168" i="34" s="1"/>
  <c r="CI122" i="34"/>
  <c r="CI168" i="34" s="1"/>
  <c r="CI133" i="34"/>
  <c r="CY122" i="34"/>
  <c r="CY168" i="34" s="1"/>
  <c r="CY133" i="34"/>
  <c r="DS122" i="34"/>
  <c r="DS168" i="34" s="1"/>
  <c r="DS133" i="34"/>
  <c r="CP134" i="34"/>
  <c r="CP123" i="34"/>
  <c r="CP169" i="34" s="1"/>
  <c r="DJ134" i="34"/>
  <c r="DJ123" i="34"/>
  <c r="DJ169" i="34" s="1"/>
  <c r="EA134" i="34"/>
  <c r="EA123" i="34"/>
  <c r="EA169" i="34" s="1"/>
  <c r="BP135" i="34"/>
  <c r="BP124" i="34"/>
  <c r="BP170" i="34" s="1"/>
  <c r="CS124" i="34"/>
  <c r="CS170" i="34" s="1"/>
  <c r="CS135" i="34"/>
  <c r="DQ135" i="34"/>
  <c r="DQ124" i="34"/>
  <c r="DQ170" i="34" s="1"/>
  <c r="CC136" i="34"/>
  <c r="CC125" i="34"/>
  <c r="CC171" i="34" s="1"/>
  <c r="CX136" i="34"/>
  <c r="CX125" i="34"/>
  <c r="CX171" i="34" s="1"/>
  <c r="DX136" i="34"/>
  <c r="DX125" i="34"/>
  <c r="DX171" i="34" s="1"/>
  <c r="BN137" i="34"/>
  <c r="BN126" i="34"/>
  <c r="BN172" i="34" s="1"/>
  <c r="CV137" i="34"/>
  <c r="CV126" i="34"/>
  <c r="CV172" i="34" s="1"/>
  <c r="DU137" i="34"/>
  <c r="DU126" i="34"/>
  <c r="DU172" i="34" s="1"/>
  <c r="BG138" i="34"/>
  <c r="BG127" i="34"/>
  <c r="BG173" i="34" s="1"/>
  <c r="CI138" i="34"/>
  <c r="CI127" i="34"/>
  <c r="CI173" i="34" s="1"/>
  <c r="DH138" i="34"/>
  <c r="DH127" i="34"/>
  <c r="DH173" i="34" s="1"/>
  <c r="AY139" i="34"/>
  <c r="AY128" i="34"/>
  <c r="AY174" i="34" s="1"/>
  <c r="CG139" i="34"/>
  <c r="CG128" i="34"/>
  <c r="CG174" i="34" s="1"/>
  <c r="DE139" i="34"/>
  <c r="DE128" i="34"/>
  <c r="DE174" i="34" s="1"/>
  <c r="DZ139" i="34"/>
  <c r="DZ128" i="34"/>
  <c r="DZ174" i="34" s="1"/>
  <c r="BQ140" i="34"/>
  <c r="BQ129" i="34"/>
  <c r="BQ175" i="34" s="1"/>
  <c r="CR140" i="34"/>
  <c r="CR129" i="34"/>
  <c r="CR175" i="34" s="1"/>
  <c r="DQ140" i="34"/>
  <c r="DQ129" i="34"/>
  <c r="DQ175" i="34" s="1"/>
  <c r="BB141" i="34"/>
  <c r="BB130" i="34"/>
  <c r="BB176" i="34" s="1"/>
  <c r="CE141" i="34"/>
  <c r="CE130" i="34"/>
  <c r="CE176" i="34" s="1"/>
  <c r="DI141" i="34"/>
  <c r="DI130" i="34"/>
  <c r="DI176" i="34" s="1"/>
  <c r="DY134" i="34"/>
  <c r="DY123" i="34"/>
  <c r="DY169" i="34" s="1"/>
  <c r="BI135" i="34"/>
  <c r="BI124" i="34"/>
  <c r="BI170" i="34" s="1"/>
  <c r="CF135" i="34"/>
  <c r="CF124" i="34"/>
  <c r="CF170" i="34" s="1"/>
  <c r="CV135" i="34"/>
  <c r="CV124" i="34"/>
  <c r="CV170" i="34" s="1"/>
  <c r="DT135" i="34"/>
  <c r="DT124" i="34"/>
  <c r="DT170" i="34" s="1"/>
  <c r="CQ136" i="34"/>
  <c r="CQ125" i="34"/>
  <c r="CQ171" i="34" s="1"/>
  <c r="DK136" i="34"/>
  <c r="DK125" i="34"/>
  <c r="DK171" i="34" s="1"/>
  <c r="EA136" i="34"/>
  <c r="EA125" i="34"/>
  <c r="EA171" i="34" s="1"/>
  <c r="BK137" i="34"/>
  <c r="BK126" i="34"/>
  <c r="BK172" i="34" s="1"/>
  <c r="CH137" i="34"/>
  <c r="CH126" i="34"/>
  <c r="CH172" i="34" s="1"/>
  <c r="CX137" i="34"/>
  <c r="CX126" i="34"/>
  <c r="CX172" i="34" s="1"/>
  <c r="DR137" i="34"/>
  <c r="DR126" i="34"/>
  <c r="DR172" i="34" s="1"/>
  <c r="BB138" i="34"/>
  <c r="BB127" i="34"/>
  <c r="BB173" i="34" s="1"/>
  <c r="BR138" i="34"/>
  <c r="BR127" i="34"/>
  <c r="BR173" i="34" s="1"/>
  <c r="CO138" i="34"/>
  <c r="CO127" i="34"/>
  <c r="CO173" i="34" s="1"/>
  <c r="DI138" i="34"/>
  <c r="DI127" i="34"/>
  <c r="DI173" i="34" s="1"/>
  <c r="DY138" i="34"/>
  <c r="DY127" i="34"/>
  <c r="DY173" i="34" s="1"/>
  <c r="BI139" i="34"/>
  <c r="BI128" i="34"/>
  <c r="BI174" i="34" s="1"/>
  <c r="CF139" i="34"/>
  <c r="CF128" i="34"/>
  <c r="CF174" i="34" s="1"/>
  <c r="CV139" i="34"/>
  <c r="CV128" i="34"/>
  <c r="CV174" i="34" s="1"/>
  <c r="DT139" i="34"/>
  <c r="DT128" i="34"/>
  <c r="DT174" i="34" s="1"/>
  <c r="AZ140" i="34"/>
  <c r="AZ129" i="34"/>
  <c r="AZ175" i="34" s="1"/>
  <c r="BP140" i="34"/>
  <c r="BP129" i="34"/>
  <c r="BP175" i="34" s="1"/>
  <c r="CQ140" i="34"/>
  <c r="CQ129" i="34"/>
  <c r="CQ175" i="34" s="1"/>
  <c r="DK140" i="34"/>
  <c r="DK129" i="34"/>
  <c r="DK175" i="34" s="1"/>
  <c r="EA140" i="34"/>
  <c r="EA129" i="34"/>
  <c r="EA175" i="34" s="1"/>
  <c r="BK141" i="34"/>
  <c r="BK130" i="34"/>
  <c r="BK176" i="34" s="1"/>
  <c r="CH141" i="34"/>
  <c r="CH130" i="34"/>
  <c r="CH176" i="34" s="1"/>
  <c r="CX141" i="34"/>
  <c r="CX130" i="34"/>
  <c r="CX176" i="34" s="1"/>
  <c r="DR141" i="34"/>
  <c r="DR130" i="34"/>
  <c r="DR176" i="34" s="1"/>
  <c r="DZ132" i="34"/>
  <c r="DZ121" i="34"/>
  <c r="DZ167" i="34" s="1"/>
  <c r="BJ133" i="34"/>
  <c r="BJ122" i="34"/>
  <c r="BJ168" i="34" s="1"/>
  <c r="CG133" i="34"/>
  <c r="CG122" i="34"/>
  <c r="CG168" i="34" s="1"/>
  <c r="CW133" i="34"/>
  <c r="CW122" i="34"/>
  <c r="CW168" i="34" s="1"/>
  <c r="DQ133" i="34"/>
  <c r="DQ122" i="34"/>
  <c r="DQ168" i="34" s="1"/>
  <c r="BA134" i="34"/>
  <c r="BA123" i="34"/>
  <c r="BA169" i="34" s="1"/>
  <c r="CN134" i="34"/>
  <c r="CN123" i="34"/>
  <c r="CN169" i="34" s="1"/>
  <c r="DL134" i="34"/>
  <c r="DL123" i="34"/>
  <c r="DL169" i="34" s="1"/>
  <c r="CU135" i="34"/>
  <c r="CU124" i="34"/>
  <c r="CU170" i="34" s="1"/>
  <c r="DY124" i="34"/>
  <c r="DY170" i="34" s="1"/>
  <c r="DY135" i="34"/>
  <c r="CV136" i="34"/>
  <c r="CV125" i="34"/>
  <c r="CV171" i="34" s="1"/>
  <c r="DU136" i="34"/>
  <c r="DU125" i="34"/>
  <c r="DU171" i="34" s="1"/>
  <c r="BF137" i="34"/>
  <c r="BF126" i="34"/>
  <c r="BF172" i="34" s="1"/>
  <c r="CI126" i="34"/>
  <c r="CI172" i="34" s="1"/>
  <c r="CI137" i="34"/>
  <c r="DH137" i="34"/>
  <c r="DH126" i="34"/>
  <c r="DH172" i="34" s="1"/>
  <c r="AY138" i="34"/>
  <c r="AY127" i="34"/>
  <c r="AY173" i="34" s="1"/>
  <c r="CF138" i="34"/>
  <c r="CF127" i="34"/>
  <c r="CF173" i="34" s="1"/>
  <c r="DF138" i="34"/>
  <c r="DF127" i="34"/>
  <c r="DF173" i="34" s="1"/>
  <c r="EA138" i="34"/>
  <c r="EA127" i="34"/>
  <c r="EA173" i="34" s="1"/>
  <c r="BL139" i="34"/>
  <c r="BL128" i="34"/>
  <c r="BL174" i="34" s="1"/>
  <c r="CO139" i="34"/>
  <c r="CO128" i="34"/>
  <c r="CO174" i="34" s="1"/>
  <c r="DM139" i="34"/>
  <c r="DM128" i="34"/>
  <c r="DM174" i="34" s="1"/>
  <c r="BC140" i="34"/>
  <c r="BC129" i="34"/>
  <c r="BC175" i="34" s="1"/>
  <c r="CD140" i="34"/>
  <c r="CD129" i="34"/>
  <c r="CD175" i="34" s="1"/>
  <c r="DI140" i="34"/>
  <c r="DI129" i="34"/>
  <c r="DI175" i="34" s="1"/>
  <c r="AZ141" i="34"/>
  <c r="AZ130" i="34"/>
  <c r="AZ176" i="34" s="1"/>
  <c r="CB141" i="34"/>
  <c r="CB130" i="34"/>
  <c r="CB176" i="34" s="1"/>
  <c r="CW141" i="34"/>
  <c r="CW130" i="34"/>
  <c r="CW176" i="34" s="1"/>
  <c r="DW141" i="34"/>
  <c r="DW130" i="34"/>
  <c r="DW176" i="34" s="1"/>
  <c r="DO132" i="34"/>
  <c r="DO121" i="34"/>
  <c r="DO167" i="34" s="1"/>
  <c r="AY133" i="34"/>
  <c r="AY122" i="34"/>
  <c r="AY168" i="34" s="1"/>
  <c r="BO133" i="34"/>
  <c r="BO122" i="34"/>
  <c r="BO168" i="34" s="1"/>
  <c r="CL133" i="34"/>
  <c r="CL122" i="34"/>
  <c r="CL168" i="34" s="1"/>
  <c r="DF133" i="34"/>
  <c r="DF122" i="34"/>
  <c r="DF168" i="34" s="1"/>
  <c r="DV133" i="34"/>
  <c r="DV122" i="34"/>
  <c r="DV168" i="34" s="1"/>
  <c r="BF134" i="34"/>
  <c r="BF123" i="34"/>
  <c r="BF169" i="34" s="1"/>
  <c r="CC134" i="34"/>
  <c r="CC123" i="34"/>
  <c r="CC169" i="34" s="1"/>
  <c r="CS134" i="34"/>
  <c r="CS123" i="34"/>
  <c r="CS169" i="34" s="1"/>
  <c r="DM134" i="34"/>
  <c r="DM123" i="34"/>
  <c r="DM169" i="34" s="1"/>
  <c r="CG135" i="34"/>
  <c r="CG124" i="34"/>
  <c r="CG170" i="34" s="1"/>
  <c r="DE135" i="34"/>
  <c r="DE124" i="34"/>
  <c r="DE170" i="34" s="1"/>
  <c r="DZ135" i="34"/>
  <c r="DZ124" i="34"/>
  <c r="DZ170" i="34" s="1"/>
  <c r="CR136" i="34"/>
  <c r="CR125" i="34"/>
  <c r="CR171" i="34" s="1"/>
  <c r="DQ136" i="34"/>
  <c r="DQ125" i="34"/>
  <c r="DQ171" i="34" s="1"/>
  <c r="BB137" i="34"/>
  <c r="BB126" i="34"/>
  <c r="BB172" i="34" s="1"/>
  <c r="CE137" i="34"/>
  <c r="CE126" i="34"/>
  <c r="CE172" i="34" s="1"/>
  <c r="DI137" i="34"/>
  <c r="DI126" i="34"/>
  <c r="DI172" i="34" s="1"/>
  <c r="AZ138" i="34"/>
  <c r="AZ127" i="34"/>
  <c r="AZ173" i="34" s="1"/>
  <c r="CB138" i="34"/>
  <c r="CB127" i="34"/>
  <c r="CB173" i="34" s="1"/>
  <c r="CX138" i="34"/>
  <c r="CX127" i="34"/>
  <c r="CX173" i="34" s="1"/>
  <c r="DW138" i="34"/>
  <c r="DW127" i="34"/>
  <c r="DW173" i="34" s="1"/>
  <c r="BH139" i="34"/>
  <c r="BH128" i="34"/>
  <c r="BH174" i="34" s="1"/>
  <c r="CK139" i="34"/>
  <c r="CK128" i="34"/>
  <c r="CK174" i="34" s="1"/>
  <c r="DN139" i="34"/>
  <c r="DN128" i="34"/>
  <c r="DN174" i="34" s="1"/>
  <c r="BE140" i="34"/>
  <c r="BE129" i="34"/>
  <c r="BE175" i="34" s="1"/>
  <c r="CK140" i="34"/>
  <c r="CK129" i="34"/>
  <c r="CK175" i="34" s="1"/>
  <c r="DJ140" i="34"/>
  <c r="DJ129" i="34"/>
  <c r="DJ175" i="34" s="1"/>
  <c r="AV141" i="34"/>
  <c r="AV130" i="34"/>
  <c r="AV176" i="34" s="1"/>
  <c r="BQ141" i="34"/>
  <c r="BQ130" i="34"/>
  <c r="BQ176" i="34" s="1"/>
  <c r="CS141" i="34"/>
  <c r="CS130" i="34"/>
  <c r="CS176" i="34" s="1"/>
  <c r="DS141" i="34"/>
  <c r="DS130" i="34"/>
  <c r="DS176" i="34" s="1"/>
  <c r="DP121" i="34"/>
  <c r="DP167" i="34" s="1"/>
  <c r="DP132" i="34"/>
  <c r="BL122" i="34"/>
  <c r="BL168" i="34" s="1"/>
  <c r="BL133" i="34"/>
  <c r="CM122" i="34"/>
  <c r="CM168" i="34" s="1"/>
  <c r="CM133" i="34"/>
  <c r="DG122" i="34"/>
  <c r="DG168" i="34" s="1"/>
  <c r="DG133" i="34"/>
  <c r="DW122" i="34"/>
  <c r="DW168" i="34" s="1"/>
  <c r="DW133" i="34"/>
  <c r="BG123" i="34"/>
  <c r="BG169" i="34" s="1"/>
  <c r="BG134" i="34"/>
  <c r="CD123" i="34"/>
  <c r="CD169" i="34" s="1"/>
  <c r="CD134" i="34"/>
  <c r="CT123" i="34"/>
  <c r="CT169" i="34" s="1"/>
  <c r="CT134" i="34"/>
  <c r="DN123" i="34"/>
  <c r="DN169" i="34" s="1"/>
  <c r="DN134" i="34"/>
  <c r="CC124" i="34"/>
  <c r="CC170" i="34" s="1"/>
  <c r="CC135" i="34"/>
  <c r="CX135" i="34"/>
  <c r="CX124" i="34"/>
  <c r="CX170" i="34" s="1"/>
  <c r="DV135" i="34"/>
  <c r="DV124" i="34"/>
  <c r="DV170" i="34" s="1"/>
  <c r="CH136" i="34"/>
  <c r="CH125" i="34"/>
  <c r="CH171" i="34" s="1"/>
  <c r="DH136" i="34"/>
  <c r="DH125" i="34"/>
  <c r="DH171" i="34" s="1"/>
  <c r="AX137" i="34"/>
  <c r="AX126" i="34"/>
  <c r="AX172" i="34" s="1"/>
  <c r="CF137" i="34"/>
  <c r="CF126" i="34"/>
  <c r="CF172" i="34" s="1"/>
  <c r="DE137" i="34"/>
  <c r="DE126" i="34"/>
  <c r="DE172" i="34" s="1"/>
  <c r="EA126" i="34"/>
  <c r="EA172" i="34" s="1"/>
  <c r="EA137" i="34"/>
  <c r="BL138" i="34"/>
  <c r="BL127" i="34"/>
  <c r="BL173" i="34" s="1"/>
  <c r="CN138" i="34"/>
  <c r="CN127" i="34"/>
  <c r="CN173" i="34" s="1"/>
  <c r="DN138" i="34"/>
  <c r="DN127" i="34"/>
  <c r="DN173" i="34" s="1"/>
  <c r="BD139" i="34"/>
  <c r="BD128" i="34"/>
  <c r="BD174" i="34" s="1"/>
  <c r="CL139" i="34"/>
  <c r="CL128" i="34"/>
  <c r="CL174" i="34" s="1"/>
  <c r="DJ128" i="34"/>
  <c r="DJ174" i="34" s="1"/>
  <c r="DJ139" i="34"/>
  <c r="BA140" i="34"/>
  <c r="BA129" i="34"/>
  <c r="BA175" i="34" s="1"/>
  <c r="CB140" i="34"/>
  <c r="CB129" i="34"/>
  <c r="CB175" i="34" s="1"/>
  <c r="CW140" i="34"/>
  <c r="CW129" i="34"/>
  <c r="CW175" i="34" s="1"/>
  <c r="DV140" i="34"/>
  <c r="DV129" i="34"/>
  <c r="DV175" i="34" s="1"/>
  <c r="BH141" i="34"/>
  <c r="BH130" i="34"/>
  <c r="BH176" i="34" s="1"/>
  <c r="CJ141" i="34"/>
  <c r="CJ130" i="34"/>
  <c r="CJ176" i="34" s="1"/>
  <c r="DO141" i="34"/>
  <c r="DO130" i="34"/>
  <c r="DO176" i="34" s="1"/>
  <c r="BM135" i="34"/>
  <c r="BM124" i="34"/>
  <c r="BM170" i="34" s="1"/>
  <c r="CJ135" i="34"/>
  <c r="CJ124" i="34"/>
  <c r="CJ170" i="34" s="1"/>
  <c r="DH135" i="34"/>
  <c r="DH124" i="34"/>
  <c r="DH170" i="34" s="1"/>
  <c r="DX135" i="34"/>
  <c r="DX124" i="34"/>
  <c r="DX170" i="34" s="1"/>
  <c r="CE136" i="34"/>
  <c r="CE125" i="34"/>
  <c r="CE171" i="34" s="1"/>
  <c r="CU136" i="34"/>
  <c r="CU125" i="34"/>
  <c r="CU171" i="34" s="1"/>
  <c r="DO136" i="34"/>
  <c r="DO125" i="34"/>
  <c r="DO171" i="34" s="1"/>
  <c r="AY137" i="34"/>
  <c r="AY126" i="34"/>
  <c r="AY172" i="34" s="1"/>
  <c r="BO137" i="34"/>
  <c r="BO126" i="34"/>
  <c r="BO172" i="34" s="1"/>
  <c r="CL137" i="34"/>
  <c r="CL126" i="34"/>
  <c r="CL172" i="34" s="1"/>
  <c r="DF137" i="34"/>
  <c r="DF126" i="34"/>
  <c r="DF172" i="34" s="1"/>
  <c r="DV137" i="34"/>
  <c r="DV126" i="34"/>
  <c r="DV172" i="34" s="1"/>
  <c r="BF138" i="34"/>
  <c r="BF127" i="34"/>
  <c r="BF173" i="34" s="1"/>
  <c r="CC138" i="34"/>
  <c r="CC127" i="34"/>
  <c r="CC173" i="34" s="1"/>
  <c r="CS138" i="34"/>
  <c r="CS127" i="34"/>
  <c r="CS173" i="34" s="1"/>
  <c r="DM138" i="34"/>
  <c r="DM127" i="34"/>
  <c r="DM173" i="34" s="1"/>
  <c r="AW139" i="34"/>
  <c r="AW128" i="34"/>
  <c r="AW174" i="34" s="1"/>
  <c r="BM139" i="34"/>
  <c r="BM128" i="34"/>
  <c r="BM174" i="34" s="1"/>
  <c r="CJ139" i="34"/>
  <c r="CJ128" i="34"/>
  <c r="CJ174" i="34" s="1"/>
  <c r="DH139" i="34"/>
  <c r="DH128" i="34"/>
  <c r="DH174" i="34" s="1"/>
  <c r="DX139" i="34"/>
  <c r="DX128" i="34"/>
  <c r="DX174" i="34" s="1"/>
  <c r="BD140" i="34"/>
  <c r="BD129" i="34"/>
  <c r="BD175" i="34" s="1"/>
  <c r="CE140" i="34"/>
  <c r="CE129" i="34"/>
  <c r="CE175" i="34" s="1"/>
  <c r="CU140" i="34"/>
  <c r="CU129" i="34"/>
  <c r="CU175" i="34" s="1"/>
  <c r="DO140" i="34"/>
  <c r="DO129" i="34"/>
  <c r="DO175" i="34" s="1"/>
  <c r="AY141" i="34"/>
  <c r="AY130" i="34"/>
  <c r="AY176" i="34" s="1"/>
  <c r="BO141" i="34"/>
  <c r="BO130" i="34"/>
  <c r="BO176" i="34" s="1"/>
  <c r="CL141" i="34"/>
  <c r="CL130" i="34"/>
  <c r="CL176" i="34" s="1"/>
  <c r="DF141" i="34"/>
  <c r="DF130" i="34"/>
  <c r="DF176" i="34" s="1"/>
  <c r="DV141" i="34"/>
  <c r="DV130" i="34"/>
  <c r="DV176" i="34" s="1"/>
  <c r="D263" i="34"/>
  <c r="CF130" i="34"/>
  <c r="CF176" i="34" s="1"/>
  <c r="CF141" i="34"/>
  <c r="DR140" i="34"/>
  <c r="DR129" i="34"/>
  <c r="DR175" i="34" s="1"/>
  <c r="DJ138" i="34"/>
  <c r="DJ127" i="34"/>
  <c r="DJ173" i="34" s="1"/>
  <c r="AZ134" i="34"/>
  <c r="AZ123" i="34"/>
  <c r="AZ169" i="34" s="1"/>
  <c r="CB137" i="34"/>
  <c r="CB126" i="34"/>
  <c r="CB172" i="34" s="1"/>
  <c r="DX140" i="34"/>
  <c r="DX129" i="34"/>
  <c r="DX175" i="34" s="1"/>
  <c r="CV133" i="34"/>
  <c r="CV122" i="34"/>
  <c r="CV168" i="34" s="1"/>
  <c r="BJ137" i="34"/>
  <c r="BJ126" i="34"/>
  <c r="BJ172" i="34" s="1"/>
  <c r="CN140" i="34"/>
  <c r="CN129" i="34"/>
  <c r="CN175" i="34" s="1"/>
  <c r="CJ133" i="34"/>
  <c r="CJ122" i="34"/>
  <c r="CJ168" i="34" s="1"/>
  <c r="DJ132" i="34"/>
  <c r="DJ121" i="34"/>
  <c r="DJ167" i="34" s="1"/>
  <c r="O257" i="34"/>
  <c r="BL134" i="34"/>
  <c r="BL123" i="34"/>
  <c r="BL169" i="34" s="1"/>
  <c r="CJ138" i="34"/>
  <c r="CJ127" i="34"/>
  <c r="CJ173" i="34" s="1"/>
  <c r="EA139" i="34"/>
  <c r="EA128" i="34"/>
  <c r="EA174" i="34" s="1"/>
  <c r="DT125" i="34"/>
  <c r="DT171" i="34" s="1"/>
  <c r="DT136" i="34"/>
  <c r="CM139" i="34"/>
  <c r="CM128" i="34"/>
  <c r="CM174" i="34" s="1"/>
  <c r="CR133" i="34"/>
  <c r="CR122" i="34"/>
  <c r="CR168" i="34" s="1"/>
  <c r="CD136" i="34"/>
  <c r="CD125" i="34"/>
  <c r="CD171" i="34" s="1"/>
  <c r="CW137" i="34"/>
  <c r="CW126" i="34"/>
  <c r="CW172" i="34" s="1"/>
  <c r="CP127" i="34"/>
  <c r="CP173" i="34" s="1"/>
  <c r="CP138" i="34"/>
  <c r="DK139" i="34"/>
  <c r="DK128" i="34"/>
  <c r="DK174" i="34" s="1"/>
  <c r="BI141" i="34"/>
  <c r="BI130" i="34"/>
  <c r="BI176" i="34" s="1"/>
  <c r="AW133" i="34"/>
  <c r="AW122" i="34"/>
  <c r="AW168" i="34" s="1"/>
  <c r="DP133" i="34"/>
  <c r="DP122" i="34"/>
  <c r="DP168" i="34" s="1"/>
  <c r="DW134" i="34"/>
  <c r="DW123" i="34"/>
  <c r="DW169" i="34" s="1"/>
  <c r="BN136" i="34"/>
  <c r="BN125" i="34"/>
  <c r="BN171" i="34" s="1"/>
  <c r="CG137" i="34"/>
  <c r="CG126" i="34"/>
  <c r="CG172" i="34" s="1"/>
  <c r="DT138" i="34"/>
  <c r="DT127" i="34"/>
  <c r="DT173" i="34" s="1"/>
  <c r="DQ139" i="34"/>
  <c r="DQ128" i="34"/>
  <c r="DQ174" i="34" s="1"/>
  <c r="DH140" i="34"/>
  <c r="DH129" i="34"/>
  <c r="DH175" i="34" s="1"/>
  <c r="BJ121" i="34"/>
  <c r="BJ167" i="34" s="1"/>
  <c r="DY132" i="34"/>
  <c r="DY121" i="34"/>
  <c r="DY167" i="34" s="1"/>
  <c r="DT133" i="34"/>
  <c r="DT122" i="34"/>
  <c r="DT168" i="34" s="1"/>
  <c r="DK134" i="34"/>
  <c r="DK123" i="34"/>
  <c r="DK169" i="34" s="1"/>
  <c r="CY135" i="34"/>
  <c r="CY124" i="34"/>
  <c r="CY170" i="34" s="1"/>
  <c r="CO136" i="34"/>
  <c r="CO125" i="34"/>
  <c r="CO171" i="34" s="1"/>
  <c r="DG137" i="34"/>
  <c r="DG126" i="34"/>
  <c r="DG172" i="34" s="1"/>
  <c r="DZ127" i="34"/>
  <c r="DZ173" i="34" s="1"/>
  <c r="DZ138" i="34"/>
  <c r="BB140" i="34"/>
  <c r="BB129" i="34"/>
  <c r="BB175" i="34" s="1"/>
  <c r="CV130" i="34"/>
  <c r="CV176" i="34" s="1"/>
  <c r="CV141" i="34"/>
  <c r="DN132" i="34"/>
  <c r="DN121" i="34"/>
  <c r="DN167" i="34" s="1"/>
  <c r="BN133" i="34"/>
  <c r="BN122" i="34"/>
  <c r="BN168" i="34" s="1"/>
  <c r="CK133" i="34"/>
  <c r="CK122" i="34"/>
  <c r="CK168" i="34" s="1"/>
  <c r="DE133" i="34"/>
  <c r="DE122" i="34"/>
  <c r="DE168" i="34" s="1"/>
  <c r="DU133" i="34"/>
  <c r="DU122" i="34"/>
  <c r="DU168" i="34" s="1"/>
  <c r="CB134" i="34"/>
  <c r="CB123" i="34"/>
  <c r="CB169" i="34" s="1"/>
  <c r="CR134" i="34"/>
  <c r="CR123" i="34"/>
  <c r="CR169" i="34" s="1"/>
  <c r="DP134" i="34"/>
  <c r="DP123" i="34"/>
  <c r="DP169" i="34" s="1"/>
  <c r="BC135" i="34"/>
  <c r="BC124" i="34"/>
  <c r="BC170" i="34" s="1"/>
  <c r="CE135" i="34"/>
  <c r="CE124" i="34"/>
  <c r="CE170" i="34" s="1"/>
  <c r="DI124" i="34"/>
  <c r="DI170" i="34" s="1"/>
  <c r="DI135" i="34"/>
  <c r="CF136" i="34"/>
  <c r="CF125" i="34"/>
  <c r="CF171" i="34" s="1"/>
  <c r="DE136" i="34"/>
  <c r="DE125" i="34"/>
  <c r="DE171" i="34" s="1"/>
  <c r="DZ136" i="34"/>
  <c r="DZ125" i="34"/>
  <c r="DZ171" i="34" s="1"/>
  <c r="BL126" i="34"/>
  <c r="BL172" i="34" s="1"/>
  <c r="BL137" i="34"/>
  <c r="CN137" i="34"/>
  <c r="CN126" i="34"/>
  <c r="CN172" i="34" s="1"/>
  <c r="DM137" i="34"/>
  <c r="DM126" i="34"/>
  <c r="DM172" i="34" s="1"/>
  <c r="BD138" i="34"/>
  <c r="BD127" i="34"/>
  <c r="BD173" i="34" s="1"/>
  <c r="CL138" i="34"/>
  <c r="CL127" i="34"/>
  <c r="CL173" i="34" s="1"/>
  <c r="DK138" i="34"/>
  <c r="DK127" i="34"/>
  <c r="DK173" i="34" s="1"/>
  <c r="AV139" i="34"/>
  <c r="AV128" i="34"/>
  <c r="AV174" i="34" s="1"/>
  <c r="BR139" i="34"/>
  <c r="BR128" i="34"/>
  <c r="BR174" i="34" s="1"/>
  <c r="CT139" i="34"/>
  <c r="CT128" i="34"/>
  <c r="CT174" i="34" s="1"/>
  <c r="DR128" i="34"/>
  <c r="DR174" i="34" s="1"/>
  <c r="DR139" i="34"/>
  <c r="BI140" i="34"/>
  <c r="BI129" i="34"/>
  <c r="BI175" i="34" s="1"/>
  <c r="CJ140" i="34"/>
  <c r="CJ129" i="34"/>
  <c r="CJ175" i="34" s="1"/>
  <c r="DN140" i="34"/>
  <c r="DN129" i="34"/>
  <c r="DN175" i="34" s="1"/>
  <c r="BE141" i="34"/>
  <c r="BE130" i="34"/>
  <c r="BE176" i="34" s="1"/>
  <c r="CG141" i="34"/>
  <c r="CG130" i="34"/>
  <c r="CG176" i="34" s="1"/>
  <c r="DG141" i="34"/>
  <c r="DG130" i="34"/>
  <c r="DG176" i="34" s="1"/>
  <c r="EB141" i="34"/>
  <c r="EB130" i="34"/>
  <c r="EB176" i="34" s="1"/>
  <c r="BH132" i="34"/>
  <c r="BH121" i="34"/>
  <c r="BH167" i="34" s="1"/>
  <c r="DS132" i="34"/>
  <c r="DS121" i="34"/>
  <c r="DS167" i="34" s="1"/>
  <c r="BC133" i="34"/>
  <c r="BC122" i="34"/>
  <c r="BC168" i="34" s="1"/>
  <c r="BS133" i="34"/>
  <c r="BS122" i="34"/>
  <c r="BS168" i="34" s="1"/>
  <c r="CP133" i="34"/>
  <c r="CP122" i="34"/>
  <c r="CP168" i="34" s="1"/>
  <c r="DJ133" i="34"/>
  <c r="DJ122" i="34"/>
  <c r="DJ168" i="34" s="1"/>
  <c r="DZ133" i="34"/>
  <c r="DZ122" i="34"/>
  <c r="DZ168" i="34" s="1"/>
  <c r="BJ134" i="34"/>
  <c r="BJ123" i="34"/>
  <c r="BJ169" i="34" s="1"/>
  <c r="CG134" i="34"/>
  <c r="CG123" i="34"/>
  <c r="CG169" i="34" s="1"/>
  <c r="CW134" i="34"/>
  <c r="CW123" i="34"/>
  <c r="CW169" i="34" s="1"/>
  <c r="DQ134" i="34"/>
  <c r="DQ123" i="34"/>
  <c r="DQ169" i="34" s="1"/>
  <c r="CL135" i="34"/>
  <c r="CL124" i="34"/>
  <c r="CL170" i="34" s="1"/>
  <c r="DJ135" i="34"/>
  <c r="DJ124" i="34"/>
  <c r="DJ170" i="34" s="1"/>
  <c r="CB136" i="34"/>
  <c r="CB125" i="34"/>
  <c r="CB171" i="34" s="1"/>
  <c r="CW136" i="34"/>
  <c r="CW125" i="34"/>
  <c r="CW171" i="34" s="1"/>
  <c r="DV136" i="34"/>
  <c r="DV125" i="34"/>
  <c r="DV171" i="34" s="1"/>
  <c r="BH137" i="34"/>
  <c r="BH126" i="34"/>
  <c r="BH172" i="34" s="1"/>
  <c r="CJ137" i="34"/>
  <c r="CJ126" i="34"/>
  <c r="CJ172" i="34" s="1"/>
  <c r="DO137" i="34"/>
  <c r="DO126" i="34"/>
  <c r="DO172" i="34" s="1"/>
  <c r="BE138" i="34"/>
  <c r="BE127" i="34"/>
  <c r="BE173" i="34" s="1"/>
  <c r="CH138" i="34"/>
  <c r="CH127" i="34"/>
  <c r="CH173" i="34" s="1"/>
  <c r="DG138" i="34"/>
  <c r="DG127" i="34"/>
  <c r="DG173" i="34" s="1"/>
  <c r="EB138" i="34"/>
  <c r="EB127" i="34"/>
  <c r="EB173" i="34" s="1"/>
  <c r="BN139" i="34"/>
  <c r="BN128" i="34"/>
  <c r="BN174" i="34" s="1"/>
  <c r="CP139" i="34"/>
  <c r="CP128" i="34"/>
  <c r="CP174" i="34" s="1"/>
  <c r="DS139" i="34"/>
  <c r="DS128" i="34"/>
  <c r="DS174" i="34" s="1"/>
  <c r="BJ140" i="34"/>
  <c r="BJ129" i="34"/>
  <c r="BJ175" i="34" s="1"/>
  <c r="CP140" i="34"/>
  <c r="CP129" i="34"/>
  <c r="CP175" i="34" s="1"/>
  <c r="DP140" i="34"/>
  <c r="DP129" i="34"/>
  <c r="DP175" i="34" s="1"/>
  <c r="BA130" i="34"/>
  <c r="BA176" i="34" s="1"/>
  <c r="BA141" i="34"/>
  <c r="CC141" i="34"/>
  <c r="CC130" i="34"/>
  <c r="CC176" i="34" s="1"/>
  <c r="CY141" i="34"/>
  <c r="CY130" i="34"/>
  <c r="CY176" i="34" s="1"/>
  <c r="DX130" i="34"/>
  <c r="DX176" i="34" s="1"/>
  <c r="DX141" i="34"/>
  <c r="DT132" i="34"/>
  <c r="DT121" i="34"/>
  <c r="DT167" i="34" s="1"/>
  <c r="AZ122" i="34"/>
  <c r="AZ168" i="34" s="1"/>
  <c r="AZ133" i="34"/>
  <c r="CQ133" i="34"/>
  <c r="CQ122" i="34"/>
  <c r="CQ168" i="34" s="1"/>
  <c r="DK133" i="34"/>
  <c r="DK122" i="34"/>
  <c r="DK168" i="34" s="1"/>
  <c r="EA133" i="34"/>
  <c r="EA122" i="34"/>
  <c r="EA168" i="34" s="1"/>
  <c r="BK123" i="34"/>
  <c r="BK169" i="34" s="1"/>
  <c r="BK134" i="34"/>
  <c r="CH123" i="34"/>
  <c r="CH169" i="34" s="1"/>
  <c r="CH134" i="34"/>
  <c r="CX123" i="34"/>
  <c r="CX169" i="34" s="1"/>
  <c r="CX134" i="34"/>
  <c r="DR123" i="34"/>
  <c r="DR169" i="34" s="1"/>
  <c r="DR134" i="34"/>
  <c r="BF124" i="34"/>
  <c r="BF170" i="34" s="1"/>
  <c r="BF135" i="34"/>
  <c r="CH135" i="34"/>
  <c r="CH124" i="34"/>
  <c r="CH170" i="34" s="1"/>
  <c r="DF135" i="34"/>
  <c r="DF124" i="34"/>
  <c r="DF170" i="34" s="1"/>
  <c r="EA135" i="34"/>
  <c r="EA124" i="34"/>
  <c r="EA170" i="34" s="1"/>
  <c r="CN136" i="34"/>
  <c r="CN125" i="34"/>
  <c r="CN171" i="34" s="1"/>
  <c r="DM136" i="34"/>
  <c r="DM125" i="34"/>
  <c r="DM171" i="34" s="1"/>
  <c r="BD126" i="34"/>
  <c r="BD172" i="34" s="1"/>
  <c r="BD137" i="34"/>
  <c r="CK137" i="34"/>
  <c r="CK126" i="34"/>
  <c r="CK172" i="34" s="1"/>
  <c r="DK126" i="34"/>
  <c r="DK172" i="34" s="1"/>
  <c r="DK137" i="34"/>
  <c r="AV138" i="34"/>
  <c r="AV127" i="34"/>
  <c r="AV173" i="34" s="1"/>
  <c r="BQ138" i="34"/>
  <c r="BQ127" i="34"/>
  <c r="BQ173" i="34" s="1"/>
  <c r="CT138" i="34"/>
  <c r="CT127" i="34"/>
  <c r="CT173" i="34" s="1"/>
  <c r="DS138" i="34"/>
  <c r="DS127" i="34"/>
  <c r="DS173" i="34" s="1"/>
  <c r="BJ139" i="34"/>
  <c r="BJ128" i="34"/>
  <c r="BJ174" i="34" s="1"/>
  <c r="CQ139" i="34"/>
  <c r="CQ128" i="34"/>
  <c r="CQ174" i="34" s="1"/>
  <c r="DO139" i="34"/>
  <c r="DO128" i="34"/>
  <c r="DO174" i="34" s="1"/>
  <c r="BF129" i="34"/>
  <c r="BF175" i="34" s="1"/>
  <c r="BF140" i="34"/>
  <c r="CG140" i="34"/>
  <c r="CG129" i="34"/>
  <c r="CG175" i="34" s="1"/>
  <c r="DF140" i="34"/>
  <c r="DF129" i="34"/>
  <c r="DF175" i="34" s="1"/>
  <c r="EB140" i="34"/>
  <c r="EB129" i="34"/>
  <c r="EB175" i="34" s="1"/>
  <c r="BM141" i="34"/>
  <c r="BM130" i="34"/>
  <c r="BM176" i="34" s="1"/>
  <c r="CO141" i="34"/>
  <c r="CO130" i="34"/>
  <c r="CO176" i="34" s="1"/>
  <c r="DT141" i="34"/>
  <c r="DT130" i="34"/>
  <c r="DT176" i="34" s="1"/>
  <c r="BQ135" i="34"/>
  <c r="BQ124" i="34"/>
  <c r="BQ170" i="34" s="1"/>
  <c r="CN135" i="34"/>
  <c r="CN124" i="34"/>
  <c r="CN170" i="34" s="1"/>
  <c r="DL135" i="34"/>
  <c r="DL124" i="34"/>
  <c r="DL170" i="34" s="1"/>
  <c r="EB135" i="34"/>
  <c r="EB124" i="34"/>
  <c r="EB170" i="34" s="1"/>
  <c r="CI136" i="34"/>
  <c r="CI125" i="34"/>
  <c r="CI171" i="34" s="1"/>
  <c r="CY136" i="34"/>
  <c r="CY125" i="34"/>
  <c r="CY171" i="34" s="1"/>
  <c r="DS136" i="34"/>
  <c r="DS125" i="34"/>
  <c r="DS171" i="34" s="1"/>
  <c r="BC137" i="34"/>
  <c r="BC126" i="34"/>
  <c r="BC172" i="34" s="1"/>
  <c r="BS137" i="34"/>
  <c r="BS126" i="34"/>
  <c r="BS172" i="34" s="1"/>
  <c r="CP137" i="34"/>
  <c r="CP126" i="34"/>
  <c r="CP172" i="34" s="1"/>
  <c r="DJ137" i="34"/>
  <c r="DJ126" i="34"/>
  <c r="DJ172" i="34" s="1"/>
  <c r="DZ137" i="34"/>
  <c r="DZ126" i="34"/>
  <c r="DZ172" i="34" s="1"/>
  <c r="BJ138" i="34"/>
  <c r="BJ127" i="34"/>
  <c r="BJ173" i="34" s="1"/>
  <c r="CG138" i="34"/>
  <c r="CG127" i="34"/>
  <c r="CG173" i="34" s="1"/>
  <c r="CW138" i="34"/>
  <c r="CW127" i="34"/>
  <c r="CW173" i="34" s="1"/>
  <c r="DQ138" i="34"/>
  <c r="DQ127" i="34"/>
  <c r="DQ173" i="34" s="1"/>
  <c r="BA139" i="34"/>
  <c r="BA128" i="34"/>
  <c r="BA174" i="34" s="1"/>
  <c r="BQ139" i="34"/>
  <c r="BQ128" i="34"/>
  <c r="BQ174" i="34" s="1"/>
  <c r="CN139" i="34"/>
  <c r="CN128" i="34"/>
  <c r="CN174" i="34" s="1"/>
  <c r="DL139" i="34"/>
  <c r="DL128" i="34"/>
  <c r="DL174" i="34" s="1"/>
  <c r="EB139" i="34"/>
  <c r="EB128" i="34"/>
  <c r="EB174" i="34" s="1"/>
  <c r="BH140" i="34"/>
  <c r="BH129" i="34"/>
  <c r="BH175" i="34" s="1"/>
  <c r="CI140" i="34"/>
  <c r="CI129" i="34"/>
  <c r="CI175" i="34" s="1"/>
  <c r="CY140" i="34"/>
  <c r="CY129" i="34"/>
  <c r="CY175" i="34" s="1"/>
  <c r="DS140" i="34"/>
  <c r="DS129" i="34"/>
  <c r="DS175" i="34" s="1"/>
  <c r="BC141" i="34"/>
  <c r="BC130" i="34"/>
  <c r="BC176" i="34" s="1"/>
  <c r="BS141" i="34"/>
  <c r="BS130" i="34"/>
  <c r="BS176" i="34" s="1"/>
  <c r="CP141" i="34"/>
  <c r="CP130" i="34"/>
  <c r="CP176" i="34" s="1"/>
  <c r="DJ141" i="34"/>
  <c r="DJ130" i="34"/>
  <c r="DJ176" i="34" s="1"/>
  <c r="DZ141" i="34"/>
  <c r="DZ130" i="34"/>
  <c r="DZ176" i="34" s="1"/>
  <c r="D269" i="34"/>
  <c r="DL137" i="34"/>
  <c r="DL126" i="34"/>
  <c r="DL172" i="34" s="1"/>
  <c r="DU141" i="34"/>
  <c r="DU130" i="34"/>
  <c r="DU176" i="34" s="1"/>
  <c r="BS138" i="34"/>
  <c r="BS127" i="34"/>
  <c r="BS173" i="34" s="1"/>
  <c r="EA141" i="34"/>
  <c r="EA130" i="34"/>
  <c r="EA176" i="34" s="1"/>
  <c r="DG134" i="34"/>
  <c r="DG123" i="34"/>
  <c r="DG169" i="34" s="1"/>
  <c r="CU138" i="34"/>
  <c r="CU127" i="34"/>
  <c r="CU173" i="34" s="1"/>
  <c r="DK141" i="34"/>
  <c r="DK130" i="34"/>
  <c r="DK176" i="34" s="1"/>
  <c r="CU134" i="34"/>
  <c r="CU123" i="34"/>
  <c r="CU169" i="34" s="1"/>
  <c r="CE138" i="34"/>
  <c r="CE127" i="34"/>
  <c r="CE173" i="34" s="1"/>
  <c r="AX141" i="34"/>
  <c r="AX130" i="34"/>
  <c r="AX176" i="34" s="1"/>
  <c r="D265" i="34"/>
  <c r="BL135" i="34"/>
  <c r="BL124" i="34"/>
  <c r="BL170" i="34" s="1"/>
  <c r="CY134" i="34"/>
  <c r="CY123" i="34"/>
  <c r="CY169" i="34" s="1"/>
  <c r="DW135" i="34"/>
  <c r="DW124" i="34"/>
  <c r="DW170" i="34" s="1"/>
  <c r="CT136" i="34"/>
  <c r="CT125" i="34"/>
  <c r="CT171" i="34" s="1"/>
  <c r="BP139" i="34"/>
  <c r="BP128" i="34"/>
  <c r="BP174" i="34" s="1"/>
  <c r="CN133" i="34"/>
  <c r="CN122" i="34"/>
  <c r="CN168" i="34" s="1"/>
  <c r="CC140" i="34"/>
  <c r="CC129" i="34"/>
  <c r="CC175" i="34" s="1"/>
  <c r="CR137" i="34"/>
  <c r="CR126" i="34"/>
  <c r="CR172" i="34" s="1"/>
  <c r="CX140" i="34"/>
  <c r="CX129" i="34"/>
  <c r="CX175" i="34" s="1"/>
  <c r="DQ132" i="34"/>
  <c r="DQ121" i="34"/>
  <c r="DQ167" i="34" s="1"/>
  <c r="DL133" i="34"/>
  <c r="DL122" i="34"/>
  <c r="DL168" i="34" s="1"/>
  <c r="CM134" i="34"/>
  <c r="CM123" i="34"/>
  <c r="CM169" i="34" s="1"/>
  <c r="CO124" i="34"/>
  <c r="CO170" i="34" s="1"/>
  <c r="CO135" i="34"/>
  <c r="DY136" i="34"/>
  <c r="DY125" i="34"/>
  <c r="DY171" i="34" s="1"/>
  <c r="DQ137" i="34"/>
  <c r="DQ126" i="34"/>
  <c r="DQ172" i="34" s="1"/>
  <c r="DO138" i="34"/>
  <c r="DO127" i="34"/>
  <c r="DO173" i="34" s="1"/>
  <c r="BM140" i="34"/>
  <c r="BM129" i="34"/>
  <c r="BM175" i="34" s="1"/>
  <c r="CK141" i="34"/>
  <c r="CK130" i="34"/>
  <c r="CK176" i="34" s="1"/>
  <c r="BM133" i="34"/>
  <c r="BM122" i="34"/>
  <c r="BM168" i="34" s="1"/>
  <c r="BD134" i="34"/>
  <c r="BD123" i="34"/>
  <c r="BD169" i="34" s="1"/>
  <c r="BB124" i="34"/>
  <c r="BB170" i="34" s="1"/>
  <c r="BB135" i="34"/>
  <c r="CJ125" i="34"/>
  <c r="CJ171" i="34" s="1"/>
  <c r="CJ136" i="34"/>
  <c r="DW137" i="34"/>
  <c r="DW126" i="34"/>
  <c r="DW172" i="34" s="1"/>
  <c r="BF139" i="34"/>
  <c r="BF128" i="34"/>
  <c r="BF174" i="34" s="1"/>
  <c r="AW140" i="34"/>
  <c r="AW129" i="34"/>
  <c r="AW175" i="34" s="1"/>
  <c r="BN141" i="34"/>
  <c r="BN130" i="34"/>
  <c r="BN176" i="34" s="1"/>
  <c r="BA133" i="34"/>
  <c r="BA122" i="34"/>
  <c r="BA168" i="34" s="1"/>
  <c r="BH134" i="34"/>
  <c r="BH123" i="34"/>
  <c r="BH169" i="34" s="1"/>
  <c r="EB134" i="34"/>
  <c r="EB123" i="34"/>
  <c r="EB169" i="34" s="1"/>
  <c r="DR135" i="34"/>
  <c r="DR124" i="34"/>
  <c r="DR170" i="34" s="1"/>
  <c r="DN136" i="34"/>
  <c r="DN125" i="34"/>
  <c r="DN171" i="34" s="1"/>
  <c r="EB137" i="34"/>
  <c r="EB126" i="34"/>
  <c r="EB172" i="34" s="1"/>
  <c r="BK139" i="34"/>
  <c r="BK128" i="34"/>
  <c r="BK174" i="34" s="1"/>
  <c r="CS129" i="34"/>
  <c r="CS175" i="34" s="1"/>
  <c r="CS140" i="34"/>
  <c r="DP130" i="34"/>
  <c r="DP176" i="34" s="1"/>
  <c r="DP141" i="34"/>
  <c r="DR132" i="34"/>
  <c r="DR121" i="34"/>
  <c r="DR167" i="34" s="1"/>
  <c r="CO133" i="34"/>
  <c r="CO122" i="34"/>
  <c r="CO168" i="34" s="1"/>
  <c r="DI133" i="34"/>
  <c r="DI122" i="34"/>
  <c r="DI168" i="34" s="1"/>
  <c r="DY133" i="34"/>
  <c r="DY122" i="34"/>
  <c r="DY168" i="34" s="1"/>
  <c r="BI134" i="34"/>
  <c r="BI123" i="34"/>
  <c r="BI169" i="34" s="1"/>
  <c r="CF134" i="34"/>
  <c r="CF123" i="34"/>
  <c r="CF169" i="34" s="1"/>
  <c r="CV134" i="34"/>
  <c r="CV123" i="34"/>
  <c r="CV169" i="34" s="1"/>
  <c r="DT134" i="34"/>
  <c r="DT123" i="34"/>
  <c r="DT169" i="34" s="1"/>
  <c r="BH135" i="34"/>
  <c r="BH124" i="34"/>
  <c r="BH170" i="34" s="1"/>
  <c r="CK135" i="34"/>
  <c r="CK124" i="34"/>
  <c r="CK170" i="34" s="1"/>
  <c r="DN135" i="34"/>
  <c r="DN124" i="34"/>
  <c r="DN170" i="34" s="1"/>
  <c r="CK136" i="34"/>
  <c r="CK125" i="34"/>
  <c r="CK171" i="34" s="1"/>
  <c r="DJ136" i="34"/>
  <c r="DJ125" i="34"/>
  <c r="DJ171" i="34" s="1"/>
  <c r="AV126" i="34"/>
  <c r="AV172" i="34" s="1"/>
  <c r="AV137" i="34"/>
  <c r="BQ137" i="34"/>
  <c r="BQ126" i="34"/>
  <c r="BQ172" i="34" s="1"/>
  <c r="CS137" i="34"/>
  <c r="CS126" i="34"/>
  <c r="CS172" i="34" s="1"/>
  <c r="DS126" i="34"/>
  <c r="DS172" i="34" s="1"/>
  <c r="DS137" i="34"/>
  <c r="BI138" i="34"/>
  <c r="BI127" i="34"/>
  <c r="BI173" i="34" s="1"/>
  <c r="CQ138" i="34"/>
  <c r="CQ127" i="34"/>
  <c r="CQ173" i="34" s="1"/>
  <c r="DP138" i="34"/>
  <c r="DP127" i="34"/>
  <c r="DP173" i="34" s="1"/>
  <c r="BB139" i="34"/>
  <c r="BB128" i="34"/>
  <c r="BB174" i="34" s="1"/>
  <c r="CD139" i="34"/>
  <c r="CD128" i="34"/>
  <c r="CD174" i="34" s="1"/>
  <c r="CY139" i="34"/>
  <c r="CY128" i="34"/>
  <c r="CY174" i="34" s="1"/>
  <c r="DW139" i="34"/>
  <c r="DW128" i="34"/>
  <c r="DW174" i="34" s="1"/>
  <c r="BN140" i="34"/>
  <c r="BN129" i="34"/>
  <c r="BN175" i="34" s="1"/>
  <c r="CO140" i="34"/>
  <c r="CO129" i="34"/>
  <c r="CO175" i="34" s="1"/>
  <c r="DT140" i="34"/>
  <c r="DT129" i="34"/>
  <c r="DT175" i="34" s="1"/>
  <c r="BJ141" i="34"/>
  <c r="BJ130" i="34"/>
  <c r="BJ176" i="34" s="1"/>
  <c r="CM141" i="34"/>
  <c r="CM130" i="34"/>
  <c r="CM176" i="34" s="1"/>
  <c r="DL141" i="34"/>
  <c r="DL130" i="34"/>
  <c r="DL176" i="34" s="1"/>
  <c r="DG132" i="34"/>
  <c r="DG121" i="34"/>
  <c r="DG167" i="34" s="1"/>
  <c r="DW132" i="34"/>
  <c r="DW121" i="34"/>
  <c r="DW167" i="34" s="1"/>
  <c r="BG133" i="34"/>
  <c r="BG122" i="34"/>
  <c r="BG168" i="34" s="1"/>
  <c r="CD133" i="34"/>
  <c r="CD122" i="34"/>
  <c r="CD168" i="34" s="1"/>
  <c r="CT133" i="34"/>
  <c r="CT122" i="34"/>
  <c r="CT168" i="34" s="1"/>
  <c r="DN133" i="34"/>
  <c r="DN122" i="34"/>
  <c r="DN168" i="34" s="1"/>
  <c r="BN134" i="34"/>
  <c r="BN123" i="34"/>
  <c r="BN169" i="34" s="1"/>
  <c r="CK134" i="34"/>
  <c r="CK123" i="34"/>
  <c r="CK169" i="34" s="1"/>
  <c r="DE134" i="34"/>
  <c r="DE123" i="34"/>
  <c r="DE169" i="34" s="1"/>
  <c r="DU134" i="34"/>
  <c r="DU123" i="34"/>
  <c r="DU169" i="34" s="1"/>
  <c r="BJ135" i="34"/>
  <c r="BJ124" i="34"/>
  <c r="BJ170" i="34" s="1"/>
  <c r="CQ135" i="34"/>
  <c r="CQ124" i="34"/>
  <c r="CQ170" i="34" s="1"/>
  <c r="DO135" i="34"/>
  <c r="DO124" i="34"/>
  <c r="DO170" i="34" s="1"/>
  <c r="CG136" i="34"/>
  <c r="CG125" i="34"/>
  <c r="CG171" i="34" s="1"/>
  <c r="DF136" i="34"/>
  <c r="DF125" i="34"/>
  <c r="DF171" i="34" s="1"/>
  <c r="EB136" i="34"/>
  <c r="EB125" i="34"/>
  <c r="EB171" i="34" s="1"/>
  <c r="BM137" i="34"/>
  <c r="BM126" i="34"/>
  <c r="BM172" i="34" s="1"/>
  <c r="CO137" i="34"/>
  <c r="CO126" i="34"/>
  <c r="CO172" i="34" s="1"/>
  <c r="DT137" i="34"/>
  <c r="DT126" i="34"/>
  <c r="DT172" i="34" s="1"/>
  <c r="BK138" i="34"/>
  <c r="BK127" i="34"/>
  <c r="BK173" i="34" s="1"/>
  <c r="CM138" i="34"/>
  <c r="CM127" i="34"/>
  <c r="CM173" i="34" s="1"/>
  <c r="DL138" i="34"/>
  <c r="DL127" i="34"/>
  <c r="DL173" i="34" s="1"/>
  <c r="AX139" i="34"/>
  <c r="AX128" i="34"/>
  <c r="AX174" i="34" s="1"/>
  <c r="BS139" i="34"/>
  <c r="BS128" i="34"/>
  <c r="BS174" i="34" s="1"/>
  <c r="CU139" i="34"/>
  <c r="CU128" i="34"/>
  <c r="CU174" i="34" s="1"/>
  <c r="DY139" i="34"/>
  <c r="DY128" i="34"/>
  <c r="DY174" i="34" s="1"/>
  <c r="BO140" i="34"/>
  <c r="BO129" i="34"/>
  <c r="BO175" i="34" s="1"/>
  <c r="CV140" i="34"/>
  <c r="CV129" i="34"/>
  <c r="CV175" i="34" s="1"/>
  <c r="DU140" i="34"/>
  <c r="DU129" i="34"/>
  <c r="DU175" i="34" s="1"/>
  <c r="BF141" i="34"/>
  <c r="BF130" i="34"/>
  <c r="BF176" i="34" s="1"/>
  <c r="CI141" i="34"/>
  <c r="CI130" i="34"/>
  <c r="CI176" i="34" s="1"/>
  <c r="DH130" i="34"/>
  <c r="DH176" i="34" s="1"/>
  <c r="DH141" i="34"/>
  <c r="DH132" i="34"/>
  <c r="DH121" i="34"/>
  <c r="DH167" i="34" s="1"/>
  <c r="DX132" i="34"/>
  <c r="DX121" i="34"/>
  <c r="DX167" i="34" s="1"/>
  <c r="CE133" i="34"/>
  <c r="CE122" i="34"/>
  <c r="CE168" i="34" s="1"/>
  <c r="CU133" i="34"/>
  <c r="CU122" i="34"/>
  <c r="CU168" i="34" s="1"/>
  <c r="DO133" i="34"/>
  <c r="DO122" i="34"/>
  <c r="DO168" i="34" s="1"/>
  <c r="BO123" i="34"/>
  <c r="BO169" i="34" s="1"/>
  <c r="BO134" i="34"/>
  <c r="CL123" i="34"/>
  <c r="CL169" i="34" s="1"/>
  <c r="CL134" i="34"/>
  <c r="DF123" i="34"/>
  <c r="DF169" i="34" s="1"/>
  <c r="DF134" i="34"/>
  <c r="DV123" i="34"/>
  <c r="DV169" i="34" s="1"/>
  <c r="DV134" i="34"/>
  <c r="BK135" i="34"/>
  <c r="BK124" i="34"/>
  <c r="BK170" i="34" s="1"/>
  <c r="CM135" i="34"/>
  <c r="CM124" i="34"/>
  <c r="CM170" i="34" s="1"/>
  <c r="DK135" i="34"/>
  <c r="DK124" i="34"/>
  <c r="DK170" i="34" s="1"/>
  <c r="CS136" i="34"/>
  <c r="CS125" i="34"/>
  <c r="CS171" i="34" s="1"/>
  <c r="DR136" i="34"/>
  <c r="DR125" i="34"/>
  <c r="DR171" i="34" s="1"/>
  <c r="BI137" i="34"/>
  <c r="BI126" i="34"/>
  <c r="BI172" i="34" s="1"/>
  <c r="CQ126" i="34"/>
  <c r="CQ172" i="34" s="1"/>
  <c r="CQ137" i="34"/>
  <c r="DP137" i="34"/>
  <c r="DP126" i="34"/>
  <c r="DP172" i="34" s="1"/>
  <c r="BA138" i="34"/>
  <c r="BA127" i="34"/>
  <c r="BA173" i="34" s="1"/>
  <c r="CD138" i="34"/>
  <c r="CD127" i="34"/>
  <c r="CD173" i="34" s="1"/>
  <c r="CY138" i="34"/>
  <c r="CY127" i="34"/>
  <c r="CY173" i="34" s="1"/>
  <c r="DX138" i="34"/>
  <c r="DX127" i="34"/>
  <c r="DX173" i="34" s="1"/>
  <c r="BO139" i="34"/>
  <c r="BO128" i="34"/>
  <c r="BO174" i="34" s="1"/>
  <c r="CW139" i="34"/>
  <c r="CW128" i="34"/>
  <c r="CW174" i="34" s="1"/>
  <c r="DU139" i="34"/>
  <c r="DU128" i="34"/>
  <c r="DU174" i="34" s="1"/>
  <c r="BK140" i="34"/>
  <c r="BK129" i="34"/>
  <c r="BK175" i="34" s="1"/>
  <c r="CL140" i="34"/>
  <c r="CL129" i="34"/>
  <c r="CL175" i="34" s="1"/>
  <c r="DL140" i="34"/>
  <c r="DL129" i="34"/>
  <c r="DL175" i="34" s="1"/>
  <c r="AW141" i="34"/>
  <c r="AW130" i="34"/>
  <c r="AW176" i="34" s="1"/>
  <c r="BR141" i="34"/>
  <c r="BR130" i="34"/>
  <c r="BR176" i="34" s="1"/>
  <c r="CU141" i="34"/>
  <c r="CU130" i="34"/>
  <c r="CU176" i="34" s="1"/>
  <c r="DY141" i="34"/>
  <c r="DY130" i="34"/>
  <c r="DY176" i="34" s="1"/>
  <c r="BE135" i="34"/>
  <c r="BE124" i="34"/>
  <c r="BE170" i="34" s="1"/>
  <c r="CB135" i="34"/>
  <c r="CB124" i="34"/>
  <c r="CB170" i="34" s="1"/>
  <c r="CR135" i="34"/>
  <c r="CR124" i="34"/>
  <c r="CR170" i="34" s="1"/>
  <c r="DP135" i="34"/>
  <c r="DP124" i="34"/>
  <c r="DP170" i="34" s="1"/>
  <c r="BL125" i="34"/>
  <c r="BL171" i="34" s="1"/>
  <c r="CM136" i="34"/>
  <c r="CM125" i="34"/>
  <c r="CM171" i="34" s="1"/>
  <c r="DG136" i="34"/>
  <c r="DG125" i="34"/>
  <c r="DG171" i="34" s="1"/>
  <c r="DW136" i="34"/>
  <c r="DW125" i="34"/>
  <c r="DW171" i="34" s="1"/>
  <c r="BG137" i="34"/>
  <c r="BG126" i="34"/>
  <c r="BG172" i="34" s="1"/>
  <c r="CD137" i="34"/>
  <c r="CD126" i="34"/>
  <c r="CD172" i="34" s="1"/>
  <c r="CT137" i="34"/>
  <c r="CT126" i="34"/>
  <c r="CT172" i="34" s="1"/>
  <c r="DN137" i="34"/>
  <c r="DN126" i="34"/>
  <c r="DN172" i="34" s="1"/>
  <c r="AX138" i="34"/>
  <c r="AX127" i="34"/>
  <c r="AX173" i="34" s="1"/>
  <c r="BN138" i="34"/>
  <c r="BN127" i="34"/>
  <c r="BN173" i="34" s="1"/>
  <c r="CK138" i="34"/>
  <c r="CK127" i="34"/>
  <c r="CK173" i="34" s="1"/>
  <c r="DE138" i="34"/>
  <c r="DE127" i="34"/>
  <c r="DE173" i="34" s="1"/>
  <c r="DU138" i="34"/>
  <c r="DU127" i="34"/>
  <c r="DU173" i="34" s="1"/>
  <c r="BE139" i="34"/>
  <c r="BE128" i="34"/>
  <c r="BE174" i="34" s="1"/>
  <c r="CB139" i="34"/>
  <c r="CB128" i="34"/>
  <c r="CB174" i="34" s="1"/>
  <c r="CR139" i="34"/>
  <c r="CR128" i="34"/>
  <c r="CR174" i="34" s="1"/>
  <c r="DP139" i="34"/>
  <c r="DP128" i="34"/>
  <c r="DP174" i="34" s="1"/>
  <c r="AV140" i="34"/>
  <c r="AV129" i="34"/>
  <c r="AV175" i="34" s="1"/>
  <c r="BL140" i="34"/>
  <c r="BL129" i="34"/>
  <c r="BL175" i="34" s="1"/>
  <c r="CM140" i="34"/>
  <c r="CM129" i="34"/>
  <c r="CM175" i="34" s="1"/>
  <c r="DG140" i="34"/>
  <c r="DG129" i="34"/>
  <c r="DG175" i="34" s="1"/>
  <c r="DW140" i="34"/>
  <c r="DW129" i="34"/>
  <c r="DW175" i="34" s="1"/>
  <c r="BG141" i="34"/>
  <c r="BG130" i="34"/>
  <c r="BG176" i="34" s="1"/>
  <c r="CD141" i="34"/>
  <c r="CD130" i="34"/>
  <c r="CD176" i="34" s="1"/>
  <c r="CT141" i="34"/>
  <c r="CT130" i="34"/>
  <c r="CT176" i="34" s="1"/>
  <c r="DN141" i="34"/>
  <c r="DN130" i="34"/>
  <c r="DN176" i="34" s="1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J125" i="34" l="1"/>
  <c r="BJ171" i="34" s="1"/>
  <c r="BB122" i="34"/>
  <c r="BB168" i="34" s="1"/>
  <c r="BQ122" i="34"/>
  <c r="BQ168" i="34" s="1"/>
  <c r="AV133" i="34"/>
  <c r="BD122" i="34"/>
  <c r="BD168" i="34" s="1"/>
  <c r="BR122" i="34"/>
  <c r="BR168" i="34" s="1"/>
  <c r="BB160" i="34"/>
  <c r="BB161" i="34" s="1"/>
  <c r="BB162" i="34" s="1"/>
  <c r="BE122" i="34"/>
  <c r="BE168" i="34" s="1"/>
  <c r="AW160" i="34"/>
  <c r="AW161" i="34" s="1"/>
  <c r="AW162" i="34" s="1"/>
  <c r="BB123" i="34"/>
  <c r="BB169" i="34" s="1"/>
  <c r="BD160" i="34"/>
  <c r="BD161" i="34" s="1"/>
  <c r="BD162" i="34" s="1"/>
  <c r="AV160" i="34"/>
  <c r="AV161" i="34" s="1"/>
  <c r="AV162" i="34" s="1"/>
  <c r="BR160" i="34"/>
  <c r="BR161" i="34" s="1"/>
  <c r="BR162" i="34" s="1"/>
  <c r="BE160" i="34"/>
  <c r="BE161" i="34" s="1"/>
  <c r="BE162" i="34" s="1"/>
  <c r="BI132" i="34"/>
  <c r="BE123" i="34"/>
  <c r="BE169" i="34" s="1"/>
  <c r="AX133" i="34"/>
  <c r="BM136" i="34"/>
  <c r="BC123" i="34"/>
  <c r="BC169" i="34" s="1"/>
  <c r="BP125" i="34"/>
  <c r="BP171" i="34" s="1"/>
  <c r="BC160" i="34"/>
  <c r="BC161" i="34" s="1"/>
  <c r="BC162" i="34" s="1"/>
  <c r="BG121" i="34"/>
  <c r="BG167" i="34" s="1"/>
  <c r="BO125" i="34"/>
  <c r="BO171" i="34" s="1"/>
  <c r="BK125" i="34"/>
  <c r="BK171" i="34" s="1"/>
  <c r="BL160" i="34"/>
  <c r="BL161" i="34" s="1"/>
  <c r="BL162" i="34" s="1"/>
  <c r="BS160" i="34"/>
  <c r="BS161" i="34" s="1"/>
  <c r="BS162" i="34" s="1"/>
  <c r="BS124" i="34"/>
  <c r="BS170" i="34" s="1"/>
  <c r="BD135" i="34"/>
  <c r="BD145" i="34" s="1"/>
  <c r="CS132" i="34"/>
  <c r="CS143" i="34" s="1"/>
  <c r="CF132" i="34"/>
  <c r="CF145" i="34" s="1"/>
  <c r="BR135" i="34"/>
  <c r="BR144" i="34" s="1"/>
  <c r="CH121" i="34"/>
  <c r="CW121" i="34"/>
  <c r="AZ132" i="34"/>
  <c r="AZ145" i="34" s="1"/>
  <c r="BQ121" i="34"/>
  <c r="BQ167" i="34" s="1"/>
  <c r="CQ132" i="34"/>
  <c r="CQ145" i="34" s="1"/>
  <c r="BP133" i="34"/>
  <c r="BS125" i="34"/>
  <c r="BS171" i="34" s="1"/>
  <c r="BA121" i="34"/>
  <c r="BA167" i="34" s="1"/>
  <c r="AV124" i="34"/>
  <c r="AV170" i="34" s="1"/>
  <c r="BS134" i="34"/>
  <c r="BS143" i="34" s="1"/>
  <c r="BF121" i="34"/>
  <c r="AX124" i="34"/>
  <c r="AX170" i="34" s="1"/>
  <c r="BB121" i="34"/>
  <c r="BB167" i="34" s="1"/>
  <c r="BI136" i="34"/>
  <c r="AX134" i="34"/>
  <c r="AX142" i="34" s="1"/>
  <c r="CJ132" i="34"/>
  <c r="CJ145" i="34" s="1"/>
  <c r="BK121" i="34"/>
  <c r="BP134" i="34"/>
  <c r="AV121" i="34"/>
  <c r="AV167" i="34" s="1"/>
  <c r="CM132" i="34"/>
  <c r="CM144" i="34" s="1"/>
  <c r="CI132" i="34"/>
  <c r="CI145" i="34" s="1"/>
  <c r="AW134" i="34"/>
  <c r="CE121" i="34"/>
  <c r="BQ123" i="34"/>
  <c r="BQ169" i="34" s="1"/>
  <c r="BR123" i="34"/>
  <c r="BR169" i="34" s="1"/>
  <c r="BQ136" i="34"/>
  <c r="BQ145" i="34" s="1"/>
  <c r="CU121" i="34"/>
  <c r="CG132" i="34"/>
  <c r="CG145" i="34" s="1"/>
  <c r="AY121" i="34"/>
  <c r="AY167" i="34" s="1"/>
  <c r="CD132" i="34"/>
  <c r="CD144" i="34" s="1"/>
  <c r="BD121" i="34"/>
  <c r="BD167" i="34" s="1"/>
  <c r="BB125" i="34"/>
  <c r="BB171" i="34" s="1"/>
  <c r="AW125" i="34"/>
  <c r="BE136" i="34"/>
  <c r="BR125" i="34"/>
  <c r="BR171" i="34" s="1"/>
  <c r="BE132" i="34"/>
  <c r="BF136" i="34"/>
  <c r="BF144" i="34" s="1"/>
  <c r="AW132" i="34"/>
  <c r="CV132" i="34"/>
  <c r="CV145" i="34" s="1"/>
  <c r="CK132" i="34"/>
  <c r="CK142" i="34" s="1"/>
  <c r="BC132" i="34"/>
  <c r="CO121" i="34"/>
  <c r="BS121" i="34"/>
  <c r="BS167" i="34" s="1"/>
  <c r="CR121" i="34"/>
  <c r="BC136" i="34"/>
  <c r="BR121" i="34"/>
  <c r="BR167" i="34" s="1"/>
  <c r="AZ124" i="34"/>
  <c r="AZ170" i="34" s="1"/>
  <c r="BM132" i="34"/>
  <c r="BL132" i="34"/>
  <c r="BL144" i="34" s="1"/>
  <c r="CY121" i="34"/>
  <c r="BO121" i="34"/>
  <c r="BA125" i="34"/>
  <c r="BA171" i="34" s="1"/>
  <c r="CT121" i="34"/>
  <c r="AZ125" i="34"/>
  <c r="AZ171" i="34" s="1"/>
  <c r="CN121" i="34"/>
  <c r="AX125" i="34"/>
  <c r="AX171" i="34" s="1"/>
  <c r="BH125" i="34"/>
  <c r="AX121" i="34"/>
  <c r="AX167" i="34" s="1"/>
  <c r="BD125" i="34"/>
  <c r="BD171" i="34" s="1"/>
  <c r="CL121" i="34"/>
  <c r="BP121" i="34"/>
  <c r="AV136" i="34"/>
  <c r="AV142" i="34" s="1"/>
  <c r="D207" i="34"/>
  <c r="T208" i="34"/>
  <c r="X209" i="34" s="1"/>
  <c r="Z209" i="34" s="1"/>
  <c r="CP132" i="34"/>
  <c r="CP144" i="34" s="1"/>
  <c r="AY160" i="34"/>
  <c r="AY161" i="34" s="1"/>
  <c r="AY162" i="34" s="1"/>
  <c r="CX121" i="34"/>
  <c r="CC121" i="34"/>
  <c r="BG125" i="34"/>
  <c r="CB121" i="34"/>
  <c r="CB167" i="34" s="1"/>
  <c r="AY125" i="34"/>
  <c r="AY171" i="34" s="1"/>
  <c r="BN121" i="34"/>
  <c r="AY135" i="34"/>
  <c r="O256" i="34"/>
  <c r="AY134" i="34"/>
  <c r="DW178" i="34"/>
  <c r="DQ178" i="34"/>
  <c r="AW135" i="34"/>
  <c r="BA124" i="34"/>
  <c r="BA170" i="34" s="1"/>
  <c r="D266" i="34"/>
  <c r="D289" i="34" s="1"/>
  <c r="DH178" i="34"/>
  <c r="BM178" i="34"/>
  <c r="CP178" i="34"/>
  <c r="DN178" i="34"/>
  <c r="CG178" i="34"/>
  <c r="DJ178" i="34"/>
  <c r="DP178" i="34"/>
  <c r="CF178" i="34"/>
  <c r="DO178" i="34"/>
  <c r="DZ178" i="34"/>
  <c r="DL178" i="34"/>
  <c r="EA178" i="34"/>
  <c r="CQ178" i="34"/>
  <c r="DF178" i="34"/>
  <c r="CS178" i="34"/>
  <c r="DM178" i="34"/>
  <c r="BC178" i="34"/>
  <c r="DI178" i="34"/>
  <c r="DY178" i="34"/>
  <c r="DX178" i="34"/>
  <c r="CJ178" i="34"/>
  <c r="DG178" i="34"/>
  <c r="BL178" i="34"/>
  <c r="DR178" i="34"/>
  <c r="DS178" i="34"/>
  <c r="CI178" i="34"/>
  <c r="BJ178" i="34"/>
  <c r="CK178" i="34"/>
  <c r="AV123" i="34"/>
  <c r="AV169" i="34" s="1"/>
  <c r="AL209" i="34"/>
  <c r="AL207" i="34" s="1"/>
  <c r="D210" i="34" s="1"/>
  <c r="CM178" i="34"/>
  <c r="DT178" i="34"/>
  <c r="CD178" i="34"/>
  <c r="CV178" i="34"/>
  <c r="BI178" i="34"/>
  <c r="EB178" i="34"/>
  <c r="DK178" i="34"/>
  <c r="DV178" i="34"/>
  <c r="DE178" i="34"/>
  <c r="DU178" i="34"/>
  <c r="DX144" i="34"/>
  <c r="DX142" i="34"/>
  <c r="DX143" i="34"/>
  <c r="DX145" i="34"/>
  <c r="DG144" i="34"/>
  <c r="DG142" i="34"/>
  <c r="DG145" i="34"/>
  <c r="DG143" i="34"/>
  <c r="DR145" i="34"/>
  <c r="DR143" i="34"/>
  <c r="DR142" i="34"/>
  <c r="DR144" i="34"/>
  <c r="CH144" i="34"/>
  <c r="CH142" i="34"/>
  <c r="CH143" i="34"/>
  <c r="CH145" i="34"/>
  <c r="CO145" i="34"/>
  <c r="CO143" i="34"/>
  <c r="CO142" i="34"/>
  <c r="CO144" i="34"/>
  <c r="CW145" i="34"/>
  <c r="CW143" i="34"/>
  <c r="CW142" i="34"/>
  <c r="CW144" i="34"/>
  <c r="DS144" i="34"/>
  <c r="DS142" i="34"/>
  <c r="DS143" i="34"/>
  <c r="DS145" i="34"/>
  <c r="CT144" i="34"/>
  <c r="CT142" i="34"/>
  <c r="CT145" i="34"/>
  <c r="CT143" i="34"/>
  <c r="BG144" i="34"/>
  <c r="BG142" i="34"/>
  <c r="BG143" i="34"/>
  <c r="BG145" i="34"/>
  <c r="BJ144" i="34"/>
  <c r="BJ142" i="34"/>
  <c r="BJ143" i="34"/>
  <c r="BJ145" i="34"/>
  <c r="CR145" i="34"/>
  <c r="CR143" i="34"/>
  <c r="CR142" i="34"/>
  <c r="CR144" i="34"/>
  <c r="DO144" i="34"/>
  <c r="DO142" i="34"/>
  <c r="DO145" i="34"/>
  <c r="DO143" i="34"/>
  <c r="CE144" i="34"/>
  <c r="CE142" i="34"/>
  <c r="CE143" i="34"/>
  <c r="CE145" i="34"/>
  <c r="DZ145" i="34"/>
  <c r="DZ143" i="34"/>
  <c r="DZ142" i="34"/>
  <c r="DZ144" i="34"/>
  <c r="DL144" i="34"/>
  <c r="DL142" i="34"/>
  <c r="DL145" i="34"/>
  <c r="DL143" i="34"/>
  <c r="EA144" i="34"/>
  <c r="EA142" i="34"/>
  <c r="EA143" i="34"/>
  <c r="EA145" i="34"/>
  <c r="DF145" i="34"/>
  <c r="DF143" i="34"/>
  <c r="DF144" i="34"/>
  <c r="DF142" i="34"/>
  <c r="BO144" i="34"/>
  <c r="BO142" i="34"/>
  <c r="BO143" i="34"/>
  <c r="BO145" i="34"/>
  <c r="DM145" i="34"/>
  <c r="DM143" i="34"/>
  <c r="DM142" i="34"/>
  <c r="DM144" i="34"/>
  <c r="DP144" i="34"/>
  <c r="DP142" i="34"/>
  <c r="DP143" i="34"/>
  <c r="DP145" i="34"/>
  <c r="DI145" i="34"/>
  <c r="DI143" i="34"/>
  <c r="DI144" i="34"/>
  <c r="DI142" i="34"/>
  <c r="BN144" i="34"/>
  <c r="BN142" i="34"/>
  <c r="BN145" i="34"/>
  <c r="BN143" i="34"/>
  <c r="DH144" i="34"/>
  <c r="DH142" i="34"/>
  <c r="DH143" i="34"/>
  <c r="DH145" i="34"/>
  <c r="DW144" i="34"/>
  <c r="DW142" i="34"/>
  <c r="DW145" i="34"/>
  <c r="DW143" i="34"/>
  <c r="CX144" i="34"/>
  <c r="CX142" i="34"/>
  <c r="CX143" i="34"/>
  <c r="CX145" i="34"/>
  <c r="BK144" i="34"/>
  <c r="BK142" i="34"/>
  <c r="BK145" i="34"/>
  <c r="BK143" i="34"/>
  <c r="CC145" i="34"/>
  <c r="CC143" i="34"/>
  <c r="CC144" i="34"/>
  <c r="CC142" i="34"/>
  <c r="DQ145" i="34"/>
  <c r="DQ143" i="34"/>
  <c r="DQ144" i="34"/>
  <c r="DQ142" i="34"/>
  <c r="DT144" i="34"/>
  <c r="DT142" i="34"/>
  <c r="DT145" i="34"/>
  <c r="DT143" i="34"/>
  <c r="CY144" i="34"/>
  <c r="CY142" i="34"/>
  <c r="CY145" i="34"/>
  <c r="CY143" i="34"/>
  <c r="BH145" i="34"/>
  <c r="BH143" i="34"/>
  <c r="BH144" i="34"/>
  <c r="BH142" i="34"/>
  <c r="DN145" i="34"/>
  <c r="DN143" i="34"/>
  <c r="DN144" i="34"/>
  <c r="DN142" i="34"/>
  <c r="DY145" i="34"/>
  <c r="DY143" i="34"/>
  <c r="DY144" i="34"/>
  <c r="DY142" i="34"/>
  <c r="CB145" i="34"/>
  <c r="CB143" i="34"/>
  <c r="CB142" i="34"/>
  <c r="CB144" i="34"/>
  <c r="CU144" i="34"/>
  <c r="CU142" i="34"/>
  <c r="CU143" i="34"/>
  <c r="CU145" i="34"/>
  <c r="EB144" i="34"/>
  <c r="EB142" i="34"/>
  <c r="EB145" i="34"/>
  <c r="EB143" i="34"/>
  <c r="CN145" i="34"/>
  <c r="CN143" i="34"/>
  <c r="CN144" i="34"/>
  <c r="CN142" i="34"/>
  <c r="BA145" i="34"/>
  <c r="BA143" i="34"/>
  <c r="BA142" i="34"/>
  <c r="BA144" i="34"/>
  <c r="DK144" i="34"/>
  <c r="DK142" i="34"/>
  <c r="DK143" i="34"/>
  <c r="DK145" i="34"/>
  <c r="DV145" i="34"/>
  <c r="DV143" i="34"/>
  <c r="DV144" i="34"/>
  <c r="DV142" i="34"/>
  <c r="CL144" i="34"/>
  <c r="CL142" i="34"/>
  <c r="CL145" i="34"/>
  <c r="CL143" i="34"/>
  <c r="DE145" i="34"/>
  <c r="DE143" i="34"/>
  <c r="DE142" i="34"/>
  <c r="DE144" i="34"/>
  <c r="BB144" i="34"/>
  <c r="BB142" i="34"/>
  <c r="BB143" i="34"/>
  <c r="BB145" i="34"/>
  <c r="DJ145" i="34"/>
  <c r="DJ143" i="34"/>
  <c r="DJ142" i="34"/>
  <c r="DJ144" i="34"/>
  <c r="DU145" i="34"/>
  <c r="DU143" i="34"/>
  <c r="DU142" i="34"/>
  <c r="DU144" i="34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E178" i="34" l="1"/>
  <c r="BI145" i="34"/>
  <c r="BM145" i="34"/>
  <c r="CS145" i="34"/>
  <c r="BD143" i="34"/>
  <c r="CF143" i="34"/>
  <c r="CS142" i="34"/>
  <c r="CS144" i="34"/>
  <c r="BR145" i="34"/>
  <c r="BR143" i="34"/>
  <c r="BR142" i="34"/>
  <c r="BD144" i="34"/>
  <c r="BD142" i="34"/>
  <c r="CF142" i="34"/>
  <c r="CF144" i="34"/>
  <c r="CX167" i="34"/>
  <c r="CX178" i="34" s="1"/>
  <c r="BO167" i="34"/>
  <c r="BO178" i="34" s="1"/>
  <c r="CU167" i="34"/>
  <c r="CU178" i="34" s="1"/>
  <c r="BF167" i="34"/>
  <c r="BF178" i="34" s="1"/>
  <c r="CR167" i="34"/>
  <c r="CR178" i="34" s="1"/>
  <c r="CY167" i="34"/>
  <c r="CY178" i="34" s="1"/>
  <c r="CO167" i="34"/>
  <c r="CO178" i="34" s="1"/>
  <c r="CW167" i="34"/>
  <c r="CW178" i="34" s="1"/>
  <c r="BH171" i="34"/>
  <c r="BH178" i="34" s="1"/>
  <c r="AW171" i="34"/>
  <c r="AW178" i="34" s="1"/>
  <c r="BK167" i="34"/>
  <c r="BK178" i="34" s="1"/>
  <c r="CH167" i="34"/>
  <c r="CH178" i="34" s="1"/>
  <c r="CL167" i="34"/>
  <c r="CL178" i="34" s="1"/>
  <c r="BN167" i="34"/>
  <c r="BN178" i="34" s="1"/>
  <c r="CN167" i="34"/>
  <c r="CN178" i="34" s="1"/>
  <c r="CE167" i="34"/>
  <c r="CE178" i="34" s="1"/>
  <c r="CC167" i="34"/>
  <c r="CC178" i="34" s="1"/>
  <c r="BG171" i="34"/>
  <c r="BG178" i="34" s="1"/>
  <c r="BP167" i="34"/>
  <c r="BP178" i="34" s="1"/>
  <c r="CT167" i="34"/>
  <c r="CT178" i="34" s="1"/>
  <c r="AZ142" i="34"/>
  <c r="AZ144" i="34"/>
  <c r="AZ143" i="34"/>
  <c r="BQ178" i="34"/>
  <c r="BS142" i="34"/>
  <c r="BS144" i="34"/>
  <c r="CQ142" i="34"/>
  <c r="CQ144" i="34"/>
  <c r="BS145" i="34"/>
  <c r="BP143" i="34"/>
  <c r="CQ143" i="34"/>
  <c r="BS178" i="34"/>
  <c r="BI144" i="34"/>
  <c r="BI142" i="34"/>
  <c r="BI143" i="34"/>
  <c r="AX143" i="34"/>
  <c r="AX145" i="34"/>
  <c r="AX144" i="34"/>
  <c r="CJ144" i="34"/>
  <c r="BP144" i="34"/>
  <c r="BP145" i="34"/>
  <c r="BB178" i="34"/>
  <c r="CM143" i="34"/>
  <c r="CM142" i="34"/>
  <c r="CM145" i="34"/>
  <c r="CG142" i="34"/>
  <c r="CJ142" i="34"/>
  <c r="CJ143" i="34"/>
  <c r="BP142" i="34"/>
  <c r="CI144" i="34"/>
  <c r="AY178" i="34"/>
  <c r="BF145" i="34"/>
  <c r="CI142" i="34"/>
  <c r="BF143" i="34"/>
  <c r="BF142" i="34"/>
  <c r="CI143" i="34"/>
  <c r="BQ144" i="34"/>
  <c r="BQ142" i="34"/>
  <c r="BQ143" i="34"/>
  <c r="CG144" i="34"/>
  <c r="CD145" i="34"/>
  <c r="CG143" i="34"/>
  <c r="BE143" i="34"/>
  <c r="BC143" i="34"/>
  <c r="CD142" i="34"/>
  <c r="CD143" i="34"/>
  <c r="AW145" i="34"/>
  <c r="BD178" i="34"/>
  <c r="CK143" i="34"/>
  <c r="BL143" i="34"/>
  <c r="BC142" i="34"/>
  <c r="BC144" i="34"/>
  <c r="BE144" i="34"/>
  <c r="BL145" i="34"/>
  <c r="BE145" i="34"/>
  <c r="BE142" i="34"/>
  <c r="BR178" i="34"/>
  <c r="CV142" i="34"/>
  <c r="CV144" i="34"/>
  <c r="CK144" i="34"/>
  <c r="CK145" i="34"/>
  <c r="CV143" i="34"/>
  <c r="BC145" i="34"/>
  <c r="BL142" i="34"/>
  <c r="CP145" i="34"/>
  <c r="CP143" i="34"/>
  <c r="CP142" i="34"/>
  <c r="AZ178" i="34"/>
  <c r="BM142" i="34"/>
  <c r="BM144" i="34"/>
  <c r="BM143" i="34"/>
  <c r="AV144" i="34"/>
  <c r="AW143" i="34"/>
  <c r="AV143" i="34"/>
  <c r="AV145" i="34"/>
  <c r="AX178" i="34"/>
  <c r="AW142" i="34"/>
  <c r="AW144" i="34"/>
  <c r="AY144" i="34"/>
  <c r="CB178" i="34"/>
  <c r="BA178" i="34"/>
  <c r="X207" i="34"/>
  <c r="X208" i="34"/>
  <c r="AV178" i="34"/>
  <c r="AY145" i="34"/>
  <c r="AY143" i="34"/>
  <c r="AY142" i="34"/>
  <c r="BB146" i="34"/>
  <c r="CL146" i="34"/>
  <c r="DK146" i="34"/>
  <c r="EB146" i="34"/>
  <c r="CU146" i="34"/>
  <c r="CY146" i="34"/>
  <c r="DT146" i="34"/>
  <c r="BK146" i="34"/>
  <c r="CX146" i="34"/>
  <c r="DW146" i="34"/>
  <c r="DH146" i="34"/>
  <c r="BN146" i="34"/>
  <c r="DP146" i="34"/>
  <c r="BO146" i="34"/>
  <c r="EA146" i="34"/>
  <c r="DL146" i="34"/>
  <c r="CE146" i="34"/>
  <c r="DO146" i="34"/>
  <c r="BJ146" i="34"/>
  <c r="BG146" i="34"/>
  <c r="CT146" i="34"/>
  <c r="DS146" i="34"/>
  <c r="CH146" i="34"/>
  <c r="DG146" i="34"/>
  <c r="DX146" i="34"/>
  <c r="DV146" i="34"/>
  <c r="CN146" i="34"/>
  <c r="DY146" i="34"/>
  <c r="DN146" i="34"/>
  <c r="BH146" i="34"/>
  <c r="DQ146" i="34"/>
  <c r="CC146" i="34"/>
  <c r="DI146" i="34"/>
  <c r="DF146" i="34"/>
  <c r="DU146" i="34"/>
  <c r="DJ146" i="34"/>
  <c r="DE146" i="34"/>
  <c r="BA146" i="34"/>
  <c r="CB146" i="34"/>
  <c r="DM146" i="34"/>
  <c r="DZ146" i="34"/>
  <c r="CR146" i="34"/>
  <c r="CW146" i="34"/>
  <c r="CO146" i="34"/>
  <c r="DR146" i="34"/>
  <c r="Q2" i="7"/>
  <c r="B39" i="18"/>
  <c r="AH47" i="33" s="1"/>
  <c r="AH69" i="33" s="1"/>
  <c r="CS146" i="34" l="1"/>
  <c r="CS148" i="34" s="1"/>
  <c r="BR146" i="34"/>
  <c r="BD146" i="34"/>
  <c r="BD147" i="34" s="1"/>
  <c r="CF146" i="34"/>
  <c r="CF148" i="34" s="1"/>
  <c r="DG148" i="34"/>
  <c r="DG147" i="34"/>
  <c r="DE148" i="34"/>
  <c r="DE147" i="34"/>
  <c r="DQ148" i="34"/>
  <c r="DQ147" i="34"/>
  <c r="CH148" i="34"/>
  <c r="CH147" i="34"/>
  <c r="EA148" i="34"/>
  <c r="EA147" i="34"/>
  <c r="DT148" i="34"/>
  <c r="DT147" i="34"/>
  <c r="BA148" i="34"/>
  <c r="BA147" i="34"/>
  <c r="CW148" i="34"/>
  <c r="CW147" i="34"/>
  <c r="DJ148" i="34"/>
  <c r="DJ147" i="34"/>
  <c r="BH148" i="34"/>
  <c r="BH147" i="34"/>
  <c r="DS148" i="34"/>
  <c r="DS147" i="34"/>
  <c r="BO148" i="34"/>
  <c r="BO147" i="34"/>
  <c r="CY148" i="34"/>
  <c r="CY147" i="34"/>
  <c r="BK148" i="34"/>
  <c r="BK147" i="34"/>
  <c r="CO148" i="34"/>
  <c r="CO147" i="34"/>
  <c r="DU148" i="34"/>
  <c r="DU147" i="34"/>
  <c r="DN148" i="34"/>
  <c r="DN147" i="34"/>
  <c r="CT148" i="34"/>
  <c r="CT147" i="34"/>
  <c r="DP148" i="34"/>
  <c r="DP147" i="34"/>
  <c r="CU148" i="34"/>
  <c r="CU147" i="34"/>
  <c r="CR148" i="34"/>
  <c r="CR147" i="34"/>
  <c r="DZ148" i="34"/>
  <c r="DZ147" i="34"/>
  <c r="DF148" i="34"/>
  <c r="DF147" i="34"/>
  <c r="DY148" i="34"/>
  <c r="DY147" i="34"/>
  <c r="BG148" i="34"/>
  <c r="BG147" i="34"/>
  <c r="BN148" i="34"/>
  <c r="BN147" i="34"/>
  <c r="EB148" i="34"/>
  <c r="EB147" i="34"/>
  <c r="CC147" i="34"/>
  <c r="CC148" i="34"/>
  <c r="DM148" i="34"/>
  <c r="DM147" i="34"/>
  <c r="CN148" i="34"/>
  <c r="CN147" i="34"/>
  <c r="BJ148" i="34"/>
  <c r="BJ147" i="34"/>
  <c r="DH148" i="34"/>
  <c r="DH147" i="34"/>
  <c r="DK148" i="34"/>
  <c r="DK147" i="34"/>
  <c r="DL148" i="34"/>
  <c r="DL147" i="34"/>
  <c r="CB148" i="34"/>
  <c r="CB147" i="34"/>
  <c r="DI148" i="34"/>
  <c r="DI147" i="34"/>
  <c r="DV148" i="34"/>
  <c r="DV147" i="34"/>
  <c r="DO148" i="34"/>
  <c r="DO147" i="34"/>
  <c r="DW148" i="34"/>
  <c r="DW147" i="34"/>
  <c r="CL148" i="34"/>
  <c r="CL147" i="34"/>
  <c r="DR148" i="34"/>
  <c r="DR147" i="34"/>
  <c r="BR148" i="34"/>
  <c r="BR147" i="34"/>
  <c r="DX148" i="34"/>
  <c r="DX147" i="34"/>
  <c r="CE148" i="34"/>
  <c r="CE147" i="34"/>
  <c r="CX148" i="34"/>
  <c r="CX147" i="34"/>
  <c r="BB148" i="34"/>
  <c r="BB147" i="34"/>
  <c r="AZ146" i="34"/>
  <c r="BS146" i="34"/>
  <c r="CQ146" i="34"/>
  <c r="BI146" i="34"/>
  <c r="AX146" i="34"/>
  <c r="BP146" i="34"/>
  <c r="CJ146" i="34"/>
  <c r="CM146" i="34"/>
  <c r="BF146" i="34"/>
  <c r="CI146" i="34"/>
  <c r="CG146" i="34"/>
  <c r="BQ146" i="34"/>
  <c r="CD146" i="34"/>
  <c r="BL146" i="34"/>
  <c r="BE146" i="34"/>
  <c r="BC146" i="34"/>
  <c r="CK146" i="34"/>
  <c r="CV146" i="34"/>
  <c r="CP146" i="34"/>
  <c r="BM146" i="34"/>
  <c r="AV146" i="34"/>
  <c r="AW146" i="34"/>
  <c r="AY146" i="34"/>
  <c r="H64" i="7"/>
  <c r="I64" i="7"/>
  <c r="N64" i="7"/>
  <c r="O64" i="7"/>
  <c r="P64" i="7"/>
  <c r="G64" i="7"/>
  <c r="CS147" i="34" l="1"/>
  <c r="CS163" i="34" s="1"/>
  <c r="BD148" i="34"/>
  <c r="BD163" i="34" s="1"/>
  <c r="CF147" i="34"/>
  <c r="CF163" i="34" s="1"/>
  <c r="AX148" i="34"/>
  <c r="AX147" i="34"/>
  <c r="AW147" i="34"/>
  <c r="AW148" i="34"/>
  <c r="BQ148" i="34"/>
  <c r="BQ147" i="34"/>
  <c r="BP148" i="34"/>
  <c r="BP147" i="34"/>
  <c r="AV148" i="34"/>
  <c r="AV147" i="34"/>
  <c r="CQ148" i="34"/>
  <c r="CQ147" i="34"/>
  <c r="BM148" i="34"/>
  <c r="BM147" i="34"/>
  <c r="CP148" i="34"/>
  <c r="CP147" i="34"/>
  <c r="CI148" i="34"/>
  <c r="CI147" i="34"/>
  <c r="BS148" i="34"/>
  <c r="BS147" i="34"/>
  <c r="BL148" i="34"/>
  <c r="BL147" i="34"/>
  <c r="CD148" i="34"/>
  <c r="CD147" i="34"/>
  <c r="CV148" i="34"/>
  <c r="CV147" i="34"/>
  <c r="CK148" i="34"/>
  <c r="CK147" i="34"/>
  <c r="BF148" i="34"/>
  <c r="BF147" i="34"/>
  <c r="AZ148" i="34"/>
  <c r="AZ147" i="34"/>
  <c r="BI148" i="34"/>
  <c r="BI147" i="34"/>
  <c r="CG148" i="34"/>
  <c r="CG147" i="34"/>
  <c r="CM148" i="34"/>
  <c r="CM147" i="34"/>
  <c r="BC148" i="34"/>
  <c r="BC147" i="34"/>
  <c r="AY148" i="34"/>
  <c r="AY147" i="34"/>
  <c r="BE148" i="34"/>
  <c r="BE147" i="34"/>
  <c r="CJ148" i="34"/>
  <c r="CJ147" i="34"/>
  <c r="DP163" i="34"/>
  <c r="DI163" i="34"/>
  <c r="BR163" i="34"/>
  <c r="DG163" i="34"/>
  <c r="DO163" i="34"/>
  <c r="DW163" i="34"/>
  <c r="DL163" i="34"/>
  <c r="BH163" i="34"/>
  <c r="BO163" i="34"/>
  <c r="DH163" i="34"/>
  <c r="BB163" i="34"/>
  <c r="DX163" i="34"/>
  <c r="BJ163" i="34"/>
  <c r="BG163" i="34"/>
  <c r="DS163" i="34"/>
  <c r="CT163" i="34"/>
  <c r="CY163" i="34"/>
  <c r="CN163" i="34"/>
  <c r="CR163" i="34"/>
  <c r="CL163" i="34"/>
  <c r="EB163" i="34"/>
  <c r="EA163" i="34"/>
  <c r="CH163" i="34"/>
  <c r="CE163" i="34"/>
  <c r="DT163" i="34"/>
  <c r="DK163" i="34"/>
  <c r="BK163" i="34"/>
  <c r="CB163" i="34"/>
  <c r="CX163" i="34"/>
  <c r="CU163" i="34"/>
  <c r="BN163" i="34"/>
  <c r="DM163" i="34"/>
  <c r="DY163" i="34"/>
  <c r="DE163" i="34"/>
  <c r="DU163" i="34"/>
  <c r="CW163" i="34"/>
  <c r="DN163" i="34"/>
  <c r="DF163" i="34"/>
  <c r="DZ163" i="34"/>
  <c r="DQ163" i="34"/>
  <c r="CC163" i="34"/>
  <c r="CO163" i="34"/>
  <c r="DV163" i="34"/>
  <c r="DR163" i="34"/>
  <c r="BA163" i="34"/>
  <c r="DJ163" i="34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CJ163" i="34" l="1"/>
  <c r="CM163" i="34"/>
  <c r="BF163" i="34"/>
  <c r="BL163" i="34"/>
  <c r="BM163" i="34"/>
  <c r="BS163" i="34"/>
  <c r="AW163" i="34"/>
  <c r="BQ163" i="34"/>
  <c r="BE163" i="34"/>
  <c r="CG163" i="34"/>
  <c r="CK163" i="34"/>
  <c r="AY163" i="34"/>
  <c r="BI163" i="34"/>
  <c r="CI163" i="34"/>
  <c r="AV163" i="34"/>
  <c r="CQ163" i="34"/>
  <c r="CV163" i="34"/>
  <c r="AX163" i="34"/>
  <c r="BC163" i="34"/>
  <c r="AZ163" i="34"/>
  <c r="CD163" i="34"/>
  <c r="CP163" i="34"/>
  <c r="BP163" i="34"/>
  <c r="G111" i="34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D250" i="34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49" i="34" l="1"/>
  <c r="D248" i="34"/>
  <c r="G157" i="26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D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D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D166" i="34" s="1"/>
  <c r="AA220" i="24"/>
  <c r="AA220" i="26"/>
  <c r="AA219" i="26"/>
  <c r="AA159" i="26"/>
  <c r="AA146" i="26"/>
  <c r="AA147" i="26" s="1"/>
  <c r="AA159" i="24"/>
  <c r="C165" i="34" s="1"/>
  <c r="D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3" l="1"/>
  <c r="AD20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3" l="1"/>
  <c r="C21" i="33" s="1"/>
  <c r="AF20" i="33"/>
  <c r="D21" i="33" s="1"/>
  <c r="C156" i="34" s="1"/>
  <c r="D156" i="34" s="1"/>
  <c r="T18" i="33"/>
  <c r="S18" i="33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B70" i="31" l="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9" i="34" s="1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C70" i="34" l="1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C84" i="34" l="1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3" l="1"/>
  <c r="C283" i="34"/>
  <c r="D259" i="34"/>
  <c r="D283" i="34" s="1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AH129" i="33" l="1"/>
  <c r="AH131" i="33" s="1"/>
  <c r="M10" i="33"/>
  <c r="C137" i="34"/>
  <c r="D137" i="34" s="1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D138" i="34" s="1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AH147" i="33" l="1"/>
  <c r="V126" i="33" s="1"/>
  <c r="C149" i="34"/>
  <c r="D149" i="34" s="1"/>
  <c r="T134" i="33"/>
  <c r="K112" i="33" s="1"/>
  <c r="K6" i="33"/>
  <c r="J6" i="33"/>
  <c r="C261" i="34"/>
  <c r="D261" i="34" s="1"/>
  <c r="D281" i="34" s="1"/>
  <c r="B103" i="32"/>
  <c r="B118" i="32" s="1"/>
  <c r="K11" i="33"/>
  <c r="AF132" i="33"/>
  <c r="AF134" i="33" s="1"/>
  <c r="AF135" i="33"/>
  <c r="AF137" i="33" s="1"/>
  <c r="K12" i="33"/>
  <c r="C148" i="34"/>
  <c r="D148" i="34" s="1"/>
  <c r="J5" i="33"/>
  <c r="K5" i="33"/>
  <c r="D99" i="32"/>
  <c r="C281" i="34"/>
  <c r="B49" i="15"/>
  <c r="Y49" i="33" s="1"/>
  <c r="AC49" i="33" s="1"/>
  <c r="AF147" i="33" l="1"/>
  <c r="T126" i="33" s="1"/>
  <c r="C197" i="34"/>
  <c r="D197" i="34" s="1"/>
  <c r="C284" i="34"/>
  <c r="D284" i="34"/>
  <c r="C195" i="34"/>
  <c r="D195" i="34" s="1"/>
  <c r="D118" i="32"/>
  <c r="D103" i="32"/>
  <c r="B106" i="32"/>
  <c r="J112" i="33"/>
  <c r="T13" i="7"/>
  <c r="T14" i="7"/>
  <c r="T23" i="7"/>
  <c r="T25" i="7"/>
  <c r="T26" i="7"/>
  <c r="T27" i="7"/>
  <c r="T28" i="7"/>
  <c r="T34" i="7"/>
  <c r="T35" i="7"/>
  <c r="R3" i="7"/>
  <c r="R24" i="7"/>
  <c r="R29" i="7"/>
  <c r="R30" i="7"/>
  <c r="R31" i="7"/>
  <c r="R32" i="7"/>
  <c r="R33" i="7"/>
  <c r="R36" i="7"/>
  <c r="R37" i="7"/>
  <c r="R2" i="7"/>
  <c r="BA3" i="31" s="1"/>
  <c r="Q3" i="7"/>
  <c r="Q24" i="7"/>
  <c r="Q29" i="7"/>
  <c r="Q30" i="7"/>
  <c r="Q31" i="7"/>
  <c r="Q32" i="7"/>
  <c r="Q33" i="7"/>
  <c r="Q36" i="7"/>
  <c r="Q37" i="7"/>
  <c r="J33" i="7" l="1"/>
  <c r="K33" i="7" s="1"/>
  <c r="M33" i="7"/>
  <c r="M23" i="7" l="1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S21" i="7"/>
  <c r="BB22" i="31" s="1"/>
  <c r="S20" i="7"/>
  <c r="S15" i="7"/>
  <c r="S10" i="7"/>
  <c r="S9" i="7"/>
  <c r="S8" i="7"/>
  <c r="S7" i="7"/>
  <c r="S4" i="7"/>
  <c r="BB5" i="31" s="1"/>
  <c r="BH5" i="31" s="1"/>
  <c r="U13" i="7" l="1"/>
  <c r="S13" i="7"/>
  <c r="U14" i="7"/>
  <c r="S14" i="7"/>
  <c r="U8" i="7"/>
  <c r="T8" i="7"/>
  <c r="U9" i="7"/>
  <c r="T9" i="7"/>
  <c r="U21" i="7"/>
  <c r="T21" i="7"/>
  <c r="BC22" i="31" s="1"/>
  <c r="U20" i="7"/>
  <c r="T20" i="7"/>
  <c r="J64" i="7"/>
  <c r="U10" i="7"/>
  <c r="T10" i="7"/>
  <c r="U7" i="7"/>
  <c r="T7" i="7"/>
  <c r="U15" i="7"/>
  <c r="T15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BA22" i="31" s="1"/>
  <c r="T33" i="7"/>
  <c r="T4" i="7"/>
  <c r="BC5" i="31" s="1"/>
  <c r="K28" i="7"/>
  <c r="L35" i="7"/>
  <c r="L30" i="7"/>
  <c r="L29" i="7"/>
  <c r="L31" i="7"/>
  <c r="L32" i="7"/>
  <c r="S17" i="7"/>
  <c r="L25" i="7"/>
  <c r="L27" i="7"/>
  <c r="L34" i="7"/>
  <c r="S18" i="7"/>
  <c r="S22" i="7"/>
  <c r="BB23" i="31" s="1"/>
  <c r="L26" i="7"/>
  <c r="S11" i="7"/>
  <c r="S12" i="7"/>
  <c r="L37" i="7"/>
  <c r="K2" i="7"/>
  <c r="S16" i="7"/>
  <c r="S19" i="7"/>
  <c r="K64" i="7" l="1"/>
  <c r="L2" i="7"/>
  <c r="S2" i="7" s="1"/>
  <c r="BB3" i="31" s="1"/>
  <c r="BH3" i="31" s="1"/>
  <c r="BI31" i="31"/>
  <c r="AP5" i="31" s="1"/>
  <c r="U29" i="7"/>
  <c r="S29" i="7"/>
  <c r="U36" i="7"/>
  <c r="S36" i="7"/>
  <c r="U43" i="7"/>
  <c r="S43" i="7"/>
  <c r="U63" i="7"/>
  <c r="S63" i="7"/>
  <c r="U61" i="7"/>
  <c r="S61" i="7"/>
  <c r="U34" i="7"/>
  <c r="S34" i="7"/>
  <c r="U30" i="7"/>
  <c r="S30" i="7"/>
  <c r="U33" i="7"/>
  <c r="S33" i="7"/>
  <c r="U59" i="7"/>
  <c r="S59" i="7"/>
  <c r="U52" i="7"/>
  <c r="S52" i="7"/>
  <c r="U45" i="7"/>
  <c r="S45" i="7"/>
  <c r="U35" i="7"/>
  <c r="S35" i="7"/>
  <c r="U54" i="7"/>
  <c r="S54" i="7"/>
  <c r="U53" i="7"/>
  <c r="S53" i="7"/>
  <c r="U50" i="7"/>
  <c r="S50" i="7"/>
  <c r="U58" i="7"/>
  <c r="S58" i="7"/>
  <c r="U37" i="7"/>
  <c r="S37" i="7"/>
  <c r="U24" i="7"/>
  <c r="S24" i="7"/>
  <c r="U48" i="7"/>
  <c r="S48" i="7"/>
  <c r="U57" i="7"/>
  <c r="S57" i="7"/>
  <c r="U47" i="7"/>
  <c r="S47" i="7"/>
  <c r="U62" i="7"/>
  <c r="S62" i="7"/>
  <c r="U27" i="7"/>
  <c r="S27" i="7"/>
  <c r="U25" i="7"/>
  <c r="S25" i="7"/>
  <c r="U51" i="7"/>
  <c r="S51" i="7"/>
  <c r="U39" i="7"/>
  <c r="S39" i="7"/>
  <c r="U49" i="7"/>
  <c r="S49" i="7"/>
  <c r="U38" i="7"/>
  <c r="S38" i="7"/>
  <c r="U42" i="7"/>
  <c r="S42" i="7"/>
  <c r="U46" i="7"/>
  <c r="S46" i="7"/>
  <c r="U26" i="7"/>
  <c r="S26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23" i="7"/>
  <c r="S23" i="7"/>
  <c r="U3" i="7"/>
  <c r="S3" i="7"/>
  <c r="U5" i="7"/>
  <c r="R5" i="7"/>
  <c r="Q5" i="7"/>
  <c r="U4" i="7"/>
  <c r="Q4" i="7"/>
  <c r="R4" i="7"/>
  <c r="U17" i="7"/>
  <c r="T17" i="7"/>
  <c r="U19" i="7"/>
  <c r="T19" i="7"/>
  <c r="U22" i="7"/>
  <c r="T22" i="7"/>
  <c r="BC23" i="31" s="1"/>
  <c r="U6" i="7"/>
  <c r="R6" i="7"/>
  <c r="Q6" i="7"/>
  <c r="U12" i="7"/>
  <c r="T12" i="7"/>
  <c r="U16" i="7"/>
  <c r="T16" i="7"/>
  <c r="U11" i="7"/>
  <c r="T11" i="7"/>
  <c r="U18" i="7"/>
  <c r="T18" i="7"/>
  <c r="Q26" i="7"/>
  <c r="R26" i="7"/>
  <c r="T5" i="7"/>
  <c r="Q19" i="7"/>
  <c r="R19" i="7"/>
  <c r="Q22" i="7"/>
  <c r="R22" i="7"/>
  <c r="BA23" i="31" s="1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BC7" i="31" s="1"/>
  <c r="Q34" i="7"/>
  <c r="R34" i="7"/>
  <c r="Q17" i="7"/>
  <c r="R17" i="7"/>
  <c r="T29" i="7"/>
  <c r="L28" i="7"/>
  <c r="BH31" i="31" l="1"/>
  <c r="AP6" i="31" s="1"/>
  <c r="AD22" i="31" s="1"/>
  <c r="AF22" i="31" s="1"/>
  <c r="U28" i="7"/>
  <c r="S28" i="7"/>
  <c r="R64" i="7"/>
  <c r="Z18" i="7" s="1"/>
  <c r="U2" i="7"/>
  <c r="U64" i="7" s="1"/>
  <c r="S64" i="7"/>
  <c r="Z17" i="7" s="1"/>
  <c r="L64" i="7"/>
  <c r="T2" i="7"/>
  <c r="Q64" i="7"/>
  <c r="R28" i="7"/>
  <c r="Q28" i="7"/>
  <c r="AP4" i="31" l="1"/>
  <c r="T64" i="7"/>
  <c r="BC3" i="31"/>
  <c r="Z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AD20" i="31" l="1"/>
  <c r="AF20" i="31" s="1"/>
  <c r="AK21" i="31" s="1"/>
  <c r="AK25" i="31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B83" i="32" l="1"/>
  <c r="C183" i="34"/>
  <c r="T234" i="33"/>
  <c r="AK26" i="31"/>
  <c r="C184" i="34" s="1"/>
  <c r="D177" i="18"/>
  <c r="D164" i="18"/>
  <c r="E177" i="18"/>
  <c r="E164" i="18"/>
  <c r="AW37" i="23"/>
  <c r="AW39" i="23"/>
  <c r="AX37" i="23"/>
  <c r="AX39" i="23"/>
  <c r="AT37" i="23"/>
  <c r="AT38" i="23"/>
  <c r="AV37" i="23"/>
  <c r="AV39" i="23"/>
  <c r="AU37" i="23"/>
  <c r="AU39" i="23"/>
  <c r="C282" i="34"/>
  <c r="C287" i="34" s="1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X166" i="18"/>
  <c r="Y192" i="18"/>
  <c r="Y198" i="18" s="1"/>
  <c r="Y217" i="18" s="1"/>
  <c r="AD7" i="22" s="1"/>
  <c r="BP17" i="23" s="1"/>
  <c r="Y166" i="18"/>
  <c r="J163" i="18"/>
  <c r="J176" i="18"/>
  <c r="D163" i="18"/>
  <c r="D176" i="18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E185" i="18" l="1"/>
  <c r="E216" i="18" s="1"/>
  <c r="J6" i="22" s="1"/>
  <c r="AV16" i="23" s="1"/>
  <c r="D185" i="18"/>
  <c r="D216" i="18" s="1"/>
  <c r="I6" i="22" s="1"/>
  <c r="AU16" i="23" s="1"/>
  <c r="C185" i="34"/>
  <c r="D184" i="34"/>
  <c r="T272" i="33"/>
  <c r="X272" i="33" s="1"/>
  <c r="J142" i="33" s="1"/>
  <c r="C220" i="34" s="1"/>
  <c r="X234" i="33"/>
  <c r="F84" i="32"/>
  <c r="F83" i="32"/>
  <c r="D172" i="18"/>
  <c r="D215" i="18" s="1"/>
  <c r="E85" i="23"/>
  <c r="B177" i="18"/>
  <c r="B164" i="18"/>
  <c r="AV29" i="23"/>
  <c r="AV31" i="23"/>
  <c r="AU29" i="23"/>
  <c r="AU31" i="23"/>
  <c r="BP37" i="23"/>
  <c r="BP38" i="23"/>
  <c r="BO37" i="23"/>
  <c r="BO38" i="23"/>
  <c r="BR39" i="23"/>
  <c r="H93" i="23" s="1"/>
  <c r="H95" i="23" s="1"/>
  <c r="G154" i="34"/>
  <c r="C144" i="34" s="1"/>
  <c r="D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F185" i="18"/>
  <c r="F216" i="18" s="1"/>
  <c r="K6" i="22" s="1"/>
  <c r="AW16" i="23" s="1"/>
  <c r="C172" i="18"/>
  <c r="C215" i="18" s="1"/>
  <c r="H5" i="22" s="1"/>
  <c r="AT15" i="23" s="1"/>
  <c r="T185" i="18"/>
  <c r="T216" i="18" s="1"/>
  <c r="Y6" i="22" s="1"/>
  <c r="BK16" i="23" s="1"/>
  <c r="BK29" i="23" s="1"/>
  <c r="C185" i="18"/>
  <c r="C216" i="18" s="1"/>
  <c r="H6" i="22" s="1"/>
  <c r="AT16" i="23" s="1"/>
  <c r="I185" i="18"/>
  <c r="I216" i="18" s="1"/>
  <c r="N6" i="22" s="1"/>
  <c r="AZ16" i="23" s="1"/>
  <c r="AZ27" i="23" s="1"/>
  <c r="G172" i="18"/>
  <c r="G215" i="18" s="1"/>
  <c r="L5" i="22" s="1"/>
  <c r="AX15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Y162" i="18"/>
  <c r="Y172" i="18" s="1"/>
  <c r="Y215" i="18" s="1"/>
  <c r="AD5" i="22" s="1"/>
  <c r="BP15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B167" i="33" l="1"/>
  <c r="J167" i="33" s="1"/>
  <c r="C235" i="34" s="1"/>
  <c r="C236" i="34" s="1"/>
  <c r="C307" i="34"/>
  <c r="X237" i="33"/>
  <c r="B115" i="32"/>
  <c r="B126" i="32" s="1"/>
  <c r="C192" i="34"/>
  <c r="D185" i="34"/>
  <c r="D183" i="34" s="1"/>
  <c r="AS37" i="23"/>
  <c r="BR37" i="23" s="1"/>
  <c r="F93" i="23" s="1"/>
  <c r="F95" i="23" s="1"/>
  <c r="AS38" i="23"/>
  <c r="BR38" i="23" s="1"/>
  <c r="G93" i="23" s="1"/>
  <c r="G95" i="23" s="1"/>
  <c r="BO29" i="23"/>
  <c r="BO30" i="23"/>
  <c r="AW29" i="23"/>
  <c r="AW31" i="23"/>
  <c r="BO21" i="23"/>
  <c r="BO22" i="23"/>
  <c r="AW21" i="23"/>
  <c r="AW23" i="23"/>
  <c r="BP29" i="23"/>
  <c r="BP30" i="23"/>
  <c r="AX21" i="23"/>
  <c r="AX23" i="23"/>
  <c r="AX29" i="23"/>
  <c r="AX31" i="23"/>
  <c r="BP21" i="23"/>
  <c r="BP22" i="23"/>
  <c r="AT29" i="23"/>
  <c r="AT30" i="23"/>
  <c r="AT21" i="23"/>
  <c r="AT22" i="23"/>
  <c r="D119" i="32"/>
  <c r="B122" i="32"/>
  <c r="G153" i="34"/>
  <c r="C143" i="34" s="1"/>
  <c r="D143" i="34" s="1"/>
  <c r="L13" i="33"/>
  <c r="AG138" i="33"/>
  <c r="AG140" i="33" s="1"/>
  <c r="J13" i="33"/>
  <c r="C142" i="34"/>
  <c r="D142" i="34" s="1"/>
  <c r="U8" i="22"/>
  <c r="BG5" i="23" s="1"/>
  <c r="BG8" i="23" s="1"/>
  <c r="BG15" i="23"/>
  <c r="BG20" i="23" s="1"/>
  <c r="I8" i="22"/>
  <c r="AU5" i="23" s="1"/>
  <c r="AU15" i="23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15" i="23"/>
  <c r="BI8" i="23"/>
  <c r="K8" i="22"/>
  <c r="AW5" i="23" s="1"/>
  <c r="AC8" i="22"/>
  <c r="BO5" i="23" s="1"/>
  <c r="Z8" i="22"/>
  <c r="BL5" i="23" s="1"/>
  <c r="BL9" i="23" s="1"/>
  <c r="H8" i="22"/>
  <c r="AT5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X8" i="22"/>
  <c r="BJ5" i="23" s="1"/>
  <c r="L8" i="22"/>
  <c r="AX5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J170" i="33" l="1"/>
  <c r="B128" i="32"/>
  <c r="B130" i="32" s="1"/>
  <c r="C276" i="34"/>
  <c r="C293" i="34" s="1"/>
  <c r="AJ216" i="34"/>
  <c r="AN216" i="34" s="1"/>
  <c r="D220" i="34" s="1"/>
  <c r="AK225" i="34"/>
  <c r="AO225" i="34" s="1"/>
  <c r="AO228" i="34" s="1"/>
  <c r="AQ228" i="34" s="1"/>
  <c r="AR228" i="34" s="1"/>
  <c r="AS228" i="34" s="1"/>
  <c r="AT228" i="34" s="1"/>
  <c r="AW228" i="34" s="1"/>
  <c r="D240" i="34" s="1"/>
  <c r="D192" i="34"/>
  <c r="C243" i="34"/>
  <c r="Z237" i="33"/>
  <c r="AA237" i="33" s="1"/>
  <c r="BR31" i="23"/>
  <c r="H83" i="23" s="1"/>
  <c r="H85" i="23" s="1"/>
  <c r="AX9" i="23"/>
  <c r="AX11" i="23"/>
  <c r="AV9" i="23"/>
  <c r="AV11" i="23"/>
  <c r="BP9" i="23"/>
  <c r="BP10" i="23"/>
  <c r="BO9" i="23"/>
  <c r="BO10" i="23"/>
  <c r="AT9" i="23"/>
  <c r="AT10" i="23"/>
  <c r="AW9" i="23"/>
  <c r="AW11" i="23"/>
  <c r="AU21" i="23"/>
  <c r="AU23" i="23"/>
  <c r="AV21" i="23"/>
  <c r="AV23" i="23"/>
  <c r="AU9" i="23"/>
  <c r="AU11" i="23"/>
  <c r="C4" i="22"/>
  <c r="C7" i="22" s="1"/>
  <c r="K25" i="23" s="1"/>
  <c r="C172" i="34" s="1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A172" i="18"/>
  <c r="D243" i="34" l="1"/>
  <c r="C290" i="34"/>
  <c r="C244" i="34"/>
  <c r="AB237" i="33"/>
  <c r="AC237" i="33" s="1"/>
  <c r="AF237" i="33" s="1"/>
  <c r="B178" i="33" s="1"/>
  <c r="C240" i="34" s="1"/>
  <c r="D235" i="34"/>
  <c r="D236" i="34" s="1"/>
  <c r="D276" i="34"/>
  <c r="AS29" i="23"/>
  <c r="BR29" i="23" s="1"/>
  <c r="F83" i="23" s="1"/>
  <c r="F85" i="23" s="1"/>
  <c r="AS30" i="23"/>
  <c r="BR30" i="23" s="1"/>
  <c r="G83" i="23" s="1"/>
  <c r="G85" i="23" s="1"/>
  <c r="AS21" i="23"/>
  <c r="BR21" i="23" s="1"/>
  <c r="F73" i="23" s="1"/>
  <c r="F75" i="23" s="1"/>
  <c r="AS22" i="23"/>
  <c r="BR22" i="23" s="1"/>
  <c r="G73" i="23" s="1"/>
  <c r="G75" i="23" s="1"/>
  <c r="BR23" i="23"/>
  <c r="H73" i="23" s="1"/>
  <c r="H75" i="23" s="1"/>
  <c r="BR11" i="23"/>
  <c r="H25" i="23" s="1"/>
  <c r="H27" i="23" s="1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D145" i="34" s="1"/>
  <c r="AG132" i="33"/>
  <c r="AG134" i="33" s="1"/>
  <c r="AG147" i="33" s="1"/>
  <c r="U126" i="33" s="1"/>
  <c r="L11" i="33"/>
  <c r="C199" i="34" s="1"/>
  <c r="D199" i="34" s="1"/>
  <c r="J11" i="33"/>
  <c r="D172" i="34"/>
  <c r="C175" i="34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A219" i="18"/>
  <c r="C49" i="15"/>
  <c r="Z47" i="33" s="1"/>
  <c r="AC47" i="33" s="1"/>
  <c r="Y53" i="33" s="1"/>
  <c r="Z36" i="33" s="1"/>
  <c r="AK54" i="24"/>
  <c r="CD89" i="33" s="1"/>
  <c r="E82" i="33" s="1"/>
  <c r="BK5" i="23"/>
  <c r="BK9" i="23" s="1"/>
  <c r="D290" i="34" l="1"/>
  <c r="D292" i="34" s="1"/>
  <c r="D293" i="34"/>
  <c r="D244" i="34"/>
  <c r="C292" i="34"/>
  <c r="D175" i="34"/>
  <c r="AJ39" i="33"/>
  <c r="AC36" i="33"/>
  <c r="AC39" i="33" s="1"/>
  <c r="AD39" i="33" s="1"/>
  <c r="AE39" i="33" s="1"/>
  <c r="AS9" i="23"/>
  <c r="BR9" i="23" s="1"/>
  <c r="F25" i="23" s="1"/>
  <c r="AS10" i="23"/>
  <c r="BR10" i="23" s="1"/>
  <c r="G25" i="23" s="1"/>
  <c r="G27" i="23" s="1"/>
  <c r="L82" i="33"/>
  <c r="C179" i="34"/>
  <c r="D155" i="34"/>
  <c r="D212" i="34"/>
  <c r="C152" i="34"/>
  <c r="D152" i="34" s="1"/>
  <c r="J20" i="33"/>
  <c r="K75" i="23"/>
  <c r="B118" i="33"/>
  <c r="C30" i="33"/>
  <c r="AF8" i="22"/>
  <c r="AF5" i="22" s="1"/>
  <c r="G14" i="22"/>
  <c r="C11" i="22" s="1"/>
  <c r="F13" i="23" s="1"/>
  <c r="K13" i="23" s="1"/>
  <c r="D294" i="34" l="1"/>
  <c r="C294" i="34"/>
  <c r="AC38" i="33"/>
  <c r="AD38" i="33" s="1"/>
  <c r="AE38" i="33" s="1"/>
  <c r="AE41" i="33" s="1"/>
  <c r="Y205" i="34"/>
  <c r="C176" i="34"/>
  <c r="J118" i="33"/>
  <c r="C218" i="34" s="1"/>
  <c r="J30" i="33"/>
  <c r="C177" i="34"/>
  <c r="C160" i="34"/>
  <c r="D179" i="34"/>
  <c r="AD18" i="33"/>
  <c r="R16" i="33"/>
  <c r="F27" i="23"/>
  <c r="C170" i="34"/>
  <c r="Y207" i="34"/>
  <c r="Z207" i="34" s="1"/>
  <c r="Y208" i="34"/>
  <c r="Z208" i="34" s="1"/>
  <c r="C158" i="34"/>
  <c r="D158" i="34" s="1"/>
  <c r="T111" i="33"/>
  <c r="L116" i="33"/>
  <c r="C214" i="34" s="1"/>
  <c r="J82" i="33"/>
  <c r="E294" i="34" l="1"/>
  <c r="D177" i="34"/>
  <c r="D176" i="34"/>
  <c r="D160" i="34"/>
  <c r="D218" i="34"/>
  <c r="AD41" i="33"/>
  <c r="J45" i="33" s="1"/>
  <c r="C209" i="34" s="1"/>
  <c r="J145" i="33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211" i="34" l="1"/>
  <c r="C174" i="34"/>
  <c r="D173" i="34"/>
  <c r="J19" i="33"/>
  <c r="C151" i="34"/>
  <c r="C221" i="34"/>
  <c r="D216" i="34"/>
  <c r="D221" i="34" s="1"/>
  <c r="C154" i="34"/>
  <c r="D154" i="34" s="1"/>
  <c r="C180" i="34"/>
  <c r="D174" i="34" l="1"/>
  <c r="C157" i="34"/>
  <c r="D157" i="34" s="1"/>
  <c r="D151" i="34"/>
  <c r="J48" i="33"/>
  <c r="C194" i="34"/>
  <c r="D180" i="34"/>
  <c r="D181" i="34" s="1"/>
  <c r="C181" i="34"/>
  <c r="B174" i="33" l="1"/>
  <c r="B175" i="33" s="1"/>
  <c r="G44" i="33"/>
  <c r="G45" i="33" s="1"/>
  <c r="D194" i="34"/>
  <c r="D237" i="34" s="1"/>
  <c r="C237" i="34"/>
  <c r="B180" i="33" l="1"/>
  <c r="B181" i="33" s="1"/>
  <c r="C241" i="34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<sst xmlns="http://schemas.openxmlformats.org/spreadsheetml/2006/main" count="3024" uniqueCount="1479">
  <si>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</si>
  <si>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</si>
  <si>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</si>
  <si>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</si>
  <si>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</si>
  <si>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</si>
  <si>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</si>
  <si>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</si>
  <si>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</si>
  <si>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</si>
  <si>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</si>
  <si>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</si>
  <si>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</si>
  <si>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</si>
  <si>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</si>
  <si>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</si>
  <si>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</si>
  <si>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</si>
  <si>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</si>
  <si>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</si>
  <si>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</si>
  <si>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</si>
  <si>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</si>
  <si>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</si>
  <si>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</si>
  <si>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</si>
  <si>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</si>
  <si>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</si>
  <si>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</si>
  <si>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</si>
  <si>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</si>
  <si>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</si>
  <si>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</si>
  <si>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</si>
  <si>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</si>
  <si>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</si>
  <si>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</si>
  <si>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</si>
  <si>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</si>
  <si>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</si>
  <si>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</si>
  <si>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</si>
  <si>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</si>
  <si>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</si>
  <si>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</si>
  <si>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</si>
  <si>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</si>
  <si>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</si>
  <si>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</si>
  <si>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</si>
  <si>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</si>
  <si>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</si>
  <si>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</si>
  <si>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</si>
  <si>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</si>
  <si>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</si>
  <si>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</si>
  <si>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</si>
  <si>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</si>
  <si>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</si>
  <si>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</si>
  <si>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</si>
  <si>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</si>
  <si>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</si>
  <si>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</si>
  <si>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</si>
  <si>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</si>
  <si>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</si>
  <si>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</si>
  <si>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</si>
  <si>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</si>
  <si>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</si>
  <si>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</si>
  <si>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</si>
  <si>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</si>
  <si>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</si>
  <si>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</si>
  <si>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</si>
  <si>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</si>
  <si>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</si>
  <si>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</si>
  <si>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</si>
  <si>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</si>
  <si>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</si>
  <si>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</si>
  <si>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</si>
  <si>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</si>
  <si>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</si>
  <si>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</si>
  <si>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</si>
  <si>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</si>
  <si>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</si>
  <si>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</si>
  <si>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</si>
  <si>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</si>
  <si>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</si>
  <si>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</si>
  <si>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</si>
  <si>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</si>
  <si>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</si>
  <si>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</si>
  <si>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</si>
  <si>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</si>
  <si>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</si>
  <si>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</si>
  <si>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</si>
  <si>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</si>
  <si>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</si>
  <si>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</si>
  <si>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</si>
  <si>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</si>
  <si>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</si>
  <si>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</si>
  <si>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</si>
  <si>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</si>
  <si>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</si>
  <si>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</si>
  <si>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</si>
  <si>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</si>
  <si>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</si>
  <si>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</si>
  <si>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</si>
  <si>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</si>
  <si>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</si>
  <si>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</si>
  <si>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</si>
  <si>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</si>
  <si>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</si>
  <si>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</si>
  <si>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</si>
  <si>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</si>
  <si>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</si>
  <si>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</si>
  <si>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</si>
  <si>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</si>
  <si>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</si>
  <si>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</si>
  <si>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</si>
  <si>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</si>
  <si>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</si>
  <si>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</si>
  <si>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</si>
  <si>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</si>
  <si>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</si>
  <si>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</si>
  <si>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</si>
  <si>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</si>
  <si>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</si>
  <si>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</si>
  <si>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</si>
  <si>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</si>
  <si>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</si>
  <si>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</si>
  <si>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</si>
  <si>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</si>
  <si>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</si>
  <si>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</si>
  <si>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</si>
  <si>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</si>
  <si>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</si>
  <si>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</si>
  <si>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</si>
  <si>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</si>
  <si>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</si>
  <si>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</si>
  <si>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</si>
  <si>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</si>
  <si>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</si>
  <si>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</si>
  <si>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</si>
  <si>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</si>
  <si>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</si>
  <si>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</si>
  <si>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</si>
  <si>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</si>
  <si>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</si>
  <si>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</si>
  <si>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</si>
  <si>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</si>
  <si>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</si>
  <si>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</si>
  <si>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</si>
  <si>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</si>
  <si>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</si>
  <si>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</si>
  <si>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</si>
  <si>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</si>
  <si>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</si>
  <si>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</si>
  <si>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</si>
  <si>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</si>
  <si>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</si>
  <si>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</si>
  <si>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</si>
  <si>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</si>
  <si>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</si>
  <si>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</si>
  <si>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</si>
  <si>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</si>
  <si>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</si>
  <si>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</si>
  <si>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</si>
  <si>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</si>
  <si>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</si>
  <si>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</si>
  <si>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</si>
  <si>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</si>
  <si>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</si>
  <si>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</si>
  <si>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</si>
  <si>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</si>
  <si>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</si>
  <si>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</si>
  <si>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</si>
  <si>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</si>
  <si>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</si>
  <si>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</si>
  <si>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</si>
  <si>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</si>
  <si>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</si>
  <si>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</si>
  <si>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</si>
  <si>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</si>
  <si>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</si>
  <si>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</si>
  <si>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</si>
  <si>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</si>
  <si>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</si>
  <si>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</si>
  <si>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</si>
  <si>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</si>
  <si>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</si>
  <si>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</si>
  <si>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</si>
  <si>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</si>
  <si>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</si>
  <si>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</si>
  <si>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</si>
  <si>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</si>
  <si>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</si>
  <si>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</si>
  <si>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</si>
  <si>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</si>
  <si>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</si>
  <si>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</si>
  <si>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</si>
  <si>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</si>
  <si>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</si>
  <si>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</si>
  <si>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</si>
  <si>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</si>
  <si>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</si>
  <si>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</si>
  <si>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</si>
  <si>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</si>
  <si>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</si>
  <si>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</si>
  <si>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</si>
  <si>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</si>
  <si>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</si>
  <si>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</si>
  <si>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</si>
  <si>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</si>
  <si>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</si>
  <si>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</si>
  <si>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</si>
  <si>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</si>
  <si>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</si>
  <si>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</si>
  <si>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</si>
  <si>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</si>
  <si>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</si>
  <si>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</si>
  <si>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</si>
  <si>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</si>
  <si>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</si>
  <si>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</si>
  <si>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</si>
  <si>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</si>
  <si>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</si>
  <si>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</si>
  <si>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</si>
  <si>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</si>
  <si>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</si>
  <si>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</si>
  <si>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</si>
  <si>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</si>
  <si>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</si>
  <si>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</si>
  <si>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</si>
  <si>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</si>
  <si>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</si>
  <si>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</si>
  <si>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</si>
  <si>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</si>
  <si>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</si>
  <si>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</si>
  <si>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</si>
  <si>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</si>
  <si>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</si>
  <si>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</si>
  <si>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</si>
  <si>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</si>
  <si>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</si>
  <si>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</si>
  <si>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</si>
  <si>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</si>
  <si>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</si>
  <si>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</si>
  <si>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</si>
  <si>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</si>
  <si>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</si>
  <si>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</si>
  <si>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</si>
  <si>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</si>
  <si>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</si>
  <si>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</si>
  <si>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</si>
  <si>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</si>
  <si>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</si>
  <si>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</si>
  <si>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</si>
  <si>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</si>
  <si>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</si>
  <si>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</si>
  <si>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</si>
  <si>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</si>
  <si>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</si>
  <si>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</si>
  <si>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</si>
  <si>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</si>
  <si>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</si>
  <si>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</si>
  <si>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</si>
  <si>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</si>
  <si>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</si>
  <si>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</si>
  <si>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</si>
  <si>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</si>
  <si>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</si>
  <si>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</si>
  <si>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</si>
  <si>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</si>
  <si>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</si>
  <si>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</si>
  <si>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</si>
  <si>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</si>
  <si>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</si>
  <si>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</si>
  <si>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</si>
  <si>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</si>
  <si>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</si>
  <si>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</si>
  <si>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</si>
  <si>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</si>
  <si>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</si>
  <si>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</si>
  <si>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</si>
  <si>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</si>
  <si>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</si>
  <si>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</si>
  <si>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</si>
  <si>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</si>
  <si>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</si>
  <si>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</si>
  <si>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</si>
  <si>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</si>
  <si>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</si>
  <si>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</si>
  <si>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</si>
  <si>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</si>
  <si>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</si>
  <si>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</si>
  <si>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</si>
  <si>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</si>
  <si>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</si>
  <si>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</si>
  <si>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</si>
  <si>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</si>
  <si>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</si>
  <si>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</si>
  <si>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</si>
  <si>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</si>
  <si>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</si>
  <si>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</si>
  <si>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</si>
  <si>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</si>
  <si>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</si>
  <si>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</si>
  <si>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</si>
  <si>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</si>
  <si>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</si>
  <si>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</si>
  <si>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</si>
  <si>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</si>
  <si>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</si>
  <si>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</si>
  <si>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</si>
  <si>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</si>
  <si>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</si>
  <si>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</si>
  <si>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</si>
  <si>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</si>
  <si>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</si>
  <si>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</si>
  <si>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</si>
  <si>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</si>
  <si>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</si>
  <si>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</si>
  <si>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</si>
  <si>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</si>
  <si>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</si>
  <si>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</si>
  <si>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</si>
  <si>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</si>
  <si>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</si>
  <si>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</si>
  <si>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</si>
  <si>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</si>
  <si>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</si>
  <si>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</si>
  <si>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</si>
  <si>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</si>
  <si>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</si>
  <si>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</si>
  <si>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</si>
  <si>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</si>
  <si>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</si>
  <si>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</si>
  <si>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</si>
  <si>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</si>
  <si>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</si>
  <si>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</si>
  <si>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</si>
  <si>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</si>
  <si>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</si>
  <si>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</si>
  <si>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</si>
  <si>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</si>
  <si>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</si>
  <si>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</si>
  <si>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</si>
  <si>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</si>
  <si>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</si>
  <si>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</si>
  <si>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</si>
  <si>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</si>
  <si>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</si>
  <si>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</si>
  <si>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</si>
  <si>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</si>
  <si>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</si>
  <si>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</si>
  <si>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</si>
  <si>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</si>
  <si>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</si>
  <si>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</si>
  <si>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</si>
  <si>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</si>
  <si>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</si>
  <si>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</si>
  <si>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</si>
  <si>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</si>
  <si>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</si>
  <si>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</si>
  <si>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</si>
  <si>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</si>
  <si>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</si>
  <si>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</si>
  <si>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</si>
  <si>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</si>
  <si>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</si>
  <si>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</si>
  <si>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</si>
  <si>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</si>
  <si>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</si>
  <si>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</si>
  <si>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</si>
  <si>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</si>
  <si>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</si>
  <si>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</si>
  <si>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</si>
  <si>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</si>
  <si>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</si>
  <si>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</si>
  <si>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</si>
  <si>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</si>
  <si>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</si>
  <si>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</si>
  <si>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</si>
  <si>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</si>
  <si>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</si>
  <si>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</si>
  <si>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</si>
  <si>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</si>
  <si>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</si>
  <si>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</si>
  <si>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</si>
  <si>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</si>
  <si>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</si>
  <si>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</si>
  <si>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</si>
  <si>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</si>
  <si>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</si>
  <si>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</si>
  <si>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</si>
  <si>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</si>
  <si>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</si>
  <si>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</si>
  <si>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</si>
  <si>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</si>
  <si>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</si>
  <si>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</si>
  <si>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</si>
  <si>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</si>
  <si>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</si>
  <si>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</si>
  <si>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</si>
  <si>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</si>
  <si>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</si>
  <si>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</si>
  <si>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</si>
  <si>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</si>
  <si>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</si>
  <si>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</si>
  <si>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</si>
  <si>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</si>
  <si>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</si>
  <si>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</si>
  <si>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</si>
  <si>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</si>
  <si>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</si>
  <si>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</si>
  <si>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</si>
  <si>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</si>
  <si>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</si>
  <si>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</si>
  <si>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</si>
  <si>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</si>
  <si>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</si>
  <si>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</si>
  <si>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</si>
  <si>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</si>
  <si>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</si>
  <si>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</si>
  <si>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</si>
  <si>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</si>
  <si>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</si>
  <si>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</si>
  <si>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</si>
  <si>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</si>
  <si>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</si>
  <si>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</si>
  <si>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</si>
  <si>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</si>
  <si>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</si>
  <si>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</si>
  <si>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</si>
  <si>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</si>
  <si>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</si>
  <si>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</si>
  <si>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</si>
  <si>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</si>
  <si>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</si>
  <si>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</si>
  <si>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</si>
  <si>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</si>
  <si>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</si>
  <si>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</si>
  <si>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</si>
  <si>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</si>
  <si>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</si>
  <si>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</si>
  <si>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</si>
  <si>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</si>
  <si>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</si>
  <si>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</si>
  <si>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</si>
  <si>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</si>
  <si>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</si>
  <si>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</si>
  <si>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</si>
  <si>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</si>
  <si>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</si>
  <si>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</si>
  <si>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</si>
  <si>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</si>
  <si>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</si>
  <si>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</si>
  <si>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</si>
  <si>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</si>
  <si>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</si>
  <si>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</si>
  <si>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</si>
  <si>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</si>
  <si>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</si>
  <si>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</si>
  <si>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</si>
  <si>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</si>
  <si>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</si>
  <si>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</si>
  <si>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</si>
  <si>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</si>
  <si>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</si>
  <si>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</si>
  <si>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</si>
  <si>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</si>
  <si>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</si>
  <si>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</si>
  <si>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</si>
  <si>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</si>
  <si>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</si>
  <si>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</si>
  <si>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</si>
  <si>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</si>
  <si>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</si>
  <si>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</si>
  <si>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</si>
  <si>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</si>
  <si>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</si>
  <si>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</si>
  <si>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</si>
  <si>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</si>
  <si>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</si>
  <si>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</si>
  <si>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</si>
  <si>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</si>
  <si>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</si>
  <si>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</si>
  <si>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</si>
  <si>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</si>
  <si>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</si>
  <si>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</si>
  <si>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</si>
  <si>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</si>
  <si>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</si>
  <si>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</si>
  <si>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</si>
  <si>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</si>
  <si>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</si>
  <si>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</si>
  <si>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</si>
  <si>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</si>
  <si>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</si>
  <si>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</si>
  <si>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</si>
  <si>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</si>
  <si>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</si>
  <si>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</si>
  <si>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</si>
  <si>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</si>
  <si>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</si>
  <si>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</si>
  <si>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</si>
  <si>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</si>
  <si>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</si>
  <si>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</si>
  <si>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</si>
  <si>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</si>
  <si>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</si>
  <si>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</si>
  <si>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</si>
  <si>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</si>
  <si>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</si>
  <si>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</si>
  <si>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</si>
  <si>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</si>
  <si>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</si>
  <si>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</si>
  <si>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</si>
  <si>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</si>
  <si>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</si>
  <si>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</si>
  <si>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</si>
  <si>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</si>
  <si>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</si>
  <si>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</si>
  <si>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</si>
  <si>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</si>
  <si>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</si>
  <si>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</si>
  <si>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</si>
  <si>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</si>
  <si>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</si>
  <si>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</si>
  <si>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</si>
  <si>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</si>
  <si>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</si>
  <si>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</si>
  <si>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</si>
  <si>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</si>
  <si>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</si>
  <si>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</si>
  <si>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</si>
  <si>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</si>
  <si>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</si>
  <si>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</si>
  <si>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</si>
  <si>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</si>
  <si>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</si>
  <si>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</si>
  <si>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</si>
  <si>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</si>
  <si>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</si>
  <si>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</si>
  <si>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</si>
  <si>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</si>
  <si>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</si>
  <si>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</si>
  <si>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</si>
  <si>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</si>
  <si>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</si>
  <si>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</si>
  <si>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</si>
  <si>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</si>
  <si>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</si>
  <si>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</si>
  <si>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</si>
  <si>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</si>
  <si>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</si>
  <si>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</si>
  <si>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</si>
  <si>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</si>
  <si>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</si>
  <si>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</si>
  <si>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</si>
  <si>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</si>
  <si>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</si>
  <si>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</si>
  <si>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</si>
  <si>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</si>
  <si>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</si>
  <si>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</si>
  <si>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</si>
  <si>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</si>
  <si>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</si>
  <si>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</si>
  <si>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</si>
  <si>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</si>
  <si>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</si>
  <si>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</si>
  <si>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</si>
  <si>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</si>
  <si>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</si>
  <si>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</si>
  <si>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</si>
  <si>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</si>
  <si>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</si>
  <si>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</si>
  <si>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</si>
  <si>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</si>
  <si>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</si>
  <si>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</si>
  <si>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</si>
  <si>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</si>
  <si>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</si>
  <si>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</si>
  <si>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</si>
  <si>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</si>
  <si>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</si>
  <si>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</si>
  <si>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</si>
  <si>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</si>
  <si>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</si>
  <si>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</si>
  <si>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</si>
  <si>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</si>
  <si>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</si>
  <si>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</si>
  <si>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</si>
  <si>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</si>
  <si>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</si>
  <si>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</si>
  <si>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</si>
  <si>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</si>
  <si>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</si>
  <si>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</si>
  <si>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</si>
  <si>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</si>
  <si>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</si>
  <si>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</si>
  <si>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</si>
  <si>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</si>
  <si>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</si>
  <si>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</si>
  <si>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</si>
  <si>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</si>
  <si>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</si>
  <si>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</si>
  <si>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</si>
  <si>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</si>
  <si>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</si>
  <si>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</si>
  <si>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</si>
  <si>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</si>
  <si>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</si>
  <si>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</si>
  <si>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</si>
  <si>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</si>
  <si>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</si>
  <si>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</si>
  <si>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</si>
  <si>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</si>
  <si>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</si>
  <si>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</si>
  <si>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</si>
  <si>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</si>
  <si>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</si>
  <si>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</si>
  <si>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</si>
  <si>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</si>
  <si>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</si>
  <si>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</si>
  <si>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</si>
  <si>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</si>
  <si>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</si>
  <si>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</si>
  <si>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</si>
  <si>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</si>
  <si>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</si>
  <si>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</si>
  <si>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</si>
  <si>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</si>
  <si>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</si>
  <si>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</si>
  <si>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</si>
  <si>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</si>
  <si>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</si>
  <si>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</si>
  <si>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</si>
  <si>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</si>
  <si>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</si>
  <si>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</si>
  <si>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</si>
  <si>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</si>
  <si>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</si>
  <si>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</si>
  <si>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</si>
  <si>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</si>
  <si>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</si>
  <si>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</si>
  <si>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</si>
  <si>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</si>
  <si>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</si>
  <si>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</si>
  <si>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</si>
  <si>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</si>
  <si>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</si>
  <si>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</si>
  <si>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</si>
  <si>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</si>
  <si>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</si>
  <si>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</si>
  <si>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</si>
  <si>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</si>
  <si>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</si>
  <si>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</si>
  <si>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</si>
  <si>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</si>
  <si>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</si>
  <si>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</si>
  <si>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</si>
  <si>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</si>
  <si>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</si>
  <si>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</si>
  <si>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</si>
  <si>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</si>
  <si>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</si>
  <si>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</si>
  <si>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</si>
  <si>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</si>
  <si>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</si>
  <si>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</si>
  <si>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</si>
  <si>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</si>
  <si>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</si>
  <si>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</si>
  <si>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</si>
  <si>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</si>
  <si>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</si>
  <si>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</si>
  <si>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</si>
  <si>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</si>
  <si>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</si>
  <si>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</si>
  <si>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</si>
  <si>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</si>
  <si>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</si>
  <si>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</si>
  <si>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</si>
  <si>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</si>
  <si>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</si>
  <si>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</si>
  <si>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</si>
  <si>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</si>
  <si>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</si>
  <si>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</si>
  <si>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</si>
  <si>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</si>
  <si>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</si>
  <si>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</si>
  <si>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</si>
  <si>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</si>
  <si>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</si>
  <si>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</si>
  <si>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</si>
  <si>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</si>
  <si>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</si>
  <si>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</si>
  <si>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</si>
  <si>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</si>
  <si>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</si>
  <si>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</si>
  <si>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</si>
  <si>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</si>
  <si>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</si>
  <si>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</si>
  <si>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</si>
  <si>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</si>
  <si>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</si>
  <si>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</si>
  <si>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</si>
  <si>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</si>
  <si>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</si>
  <si>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</si>
  <si>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</si>
  <si>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</si>
  <si>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</si>
  <si>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</si>
  <si>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</si>
  <si>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</si>
  <si>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</si>
  <si>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</si>
  <si>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</si>
  <si>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</si>
  <si>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</si>
  <si>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</si>
  <si>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</si>
  <si>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</si>
  <si>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</si>
  <si>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</si>
  <si>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</si>
  <si>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</si>
  <si>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</si>
  <si>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</si>
  <si>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</si>
  <si>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</si>
  <si>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</si>
  <si>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</si>
  <si>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</si>
  <si>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</si>
  <si>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</si>
  <si>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</si>
  <si>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</si>
  <si>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</si>
  <si>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</si>
  <si>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</si>
  <si>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</si>
  <si>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</si>
  <si>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</si>
  <si>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</si>
  <si>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</si>
  <si>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</si>
  <si>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</si>
  <si>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</si>
  <si>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</si>
  <si>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</si>
  <si>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</si>
  <si>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</si>
  <si>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</si>
  <si>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</si>
  <si>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</si>
  <si>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</si>
  <si>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</si>
  <si>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</si>
  <si>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</si>
  <si>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</si>
  <si>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</si>
  <si>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</si>
  <si>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</si>
  <si>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</si>
  <si>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</si>
  <si>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</si>
  <si>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</si>
  <si>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</si>
  <si>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</si>
  <si>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</si>
  <si>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</si>
  <si>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</si>
  <si>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</si>
  <si>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</si>
  <si>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</si>
  <si>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</si>
  <si>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</si>
  <si>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</si>
  <si>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</si>
  <si>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</si>
  <si>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</si>
  <si>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</si>
  <si>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</si>
  <si>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</si>
  <si>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</si>
  <si>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</si>
  <si>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</si>
  <si>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</si>
  <si>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</si>
  <si>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</si>
  <si>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</si>
  <si>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</si>
  <si>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</si>
  <si>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</si>
  <si>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</si>
  <si>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</si>
  <si>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</si>
  <si>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</si>
  <si>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</si>
  <si>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</si>
  <si>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</si>
  <si>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</si>
  <si>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</si>
  <si>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</si>
  <si>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</si>
  <si>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</si>
  <si>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</si>
  <si>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</si>
  <si>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</si>
  <si>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</si>
  <si>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</si>
  <si>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</si>
  <si>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</si>
  <si>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</si>
  <si>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</si>
  <si>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</si>
  <si>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</si>
  <si>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</si>
  <si>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</si>
  <si>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</si>
  <si>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</si>
  <si>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</si>
  <si>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</si>
  <si>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</si>
  <si>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</si>
  <si>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</si>
  <si>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</si>
  <si>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</si>
  <si>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</si>
  <si>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</si>
  <si>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</si>
  <si>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</si>
  <si>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</si>
  <si>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</si>
  <si>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</si>
  <si>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</si>
  <si>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</si>
  <si>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</si>
  <si>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</si>
  <si>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</si>
  <si>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</si>
  <si>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</si>
  <si>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</si>
  <si>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</si>
  <si>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</si>
  <si>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</si>
  <si>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</si>
  <si>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</si>
  <si>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</si>
  <si>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</si>
  <si>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</si>
  <si>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</si>
  <si>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</si>
  <si>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</si>
  <si>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</si>
  <si>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</si>
  <si>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</si>
  <si>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</si>
  <si>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</si>
  <si>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</si>
  <si>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</si>
  <si>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</si>
  <si>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</si>
  <si>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</si>
  <si>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</si>
  <si>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</si>
  <si>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</si>
  <si>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</si>
  <si>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</si>
  <si>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</si>
  <si>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</si>
  <si>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</si>
  <si>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</si>
  <si>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</si>
  <si>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</si>
  <si>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</si>
  <si>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</si>
  <si>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</si>
  <si>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</si>
  <si>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</si>
  <si>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</si>
  <si>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</si>
  <si>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</si>
  <si>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</si>
  <si>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</si>
  <si>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</si>
  <si>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</si>
  <si>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</si>
  <si>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</si>
  <si>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</si>
  <si>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</si>
  <si>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</si>
  <si>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</si>
  <si>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</si>
  <si>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</si>
  <si>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</si>
  <si>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</si>
  <si>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</si>
  <si>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</si>
  <si>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</si>
  <si>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</si>
  <si>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</si>
  <si>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</si>
  <si>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</si>
  <si>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</si>
  <si>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</si>
  <si>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</si>
  <si>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</si>
  <si>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</si>
  <si>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</si>
  <si>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</si>
  <si>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</si>
  <si>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</si>
  <si>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</si>
  <si>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</si>
  <si>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</si>
  <si>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</si>
  <si>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</si>
  <si>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</si>
  <si>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</si>
  <si>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</si>
  <si>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</si>
  <si>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</si>
  <si>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</si>
  <si>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</si>
  <si>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</si>
  <si>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</si>
  <si>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</si>
  <si>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</si>
  <si>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</si>
  <si>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</si>
  <si>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</si>
  <si>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</si>
  <si>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</si>
  <si>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</si>
  <si>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</si>
  <si>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</si>
  <si>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</si>
  <si>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</si>
  <si>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</si>
  <si>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</si>
  <si>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</si>
  <si>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</si>
  <si>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</si>
  <si>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</si>
  <si>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</si>
  <si>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</si>
  <si>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</si>
  <si>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</si>
  <si>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</si>
  <si>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</si>
  <si>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</si>
  <si>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</si>
  <si>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</si>
  <si>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</si>
  <si>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</si>
  <si>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</si>
  <si>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</si>
  <si>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</si>
  <si>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</si>
  <si>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</si>
  <si>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</si>
  <si>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</si>
  <si>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</si>
  <si>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</si>
  <si>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</si>
  <si>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</si>
  <si>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</si>
  <si>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</si>
  <si>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</si>
  <si>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</si>
  <si>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</si>
  <si>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</si>
  <si>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</si>
  <si>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</si>
  <si>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</si>
  <si>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</si>
  <si>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</si>
  <si>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</si>
  <si>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</si>
  <si>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</si>
  <si>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</si>
  <si>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</si>
  <si>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</si>
  <si>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</si>
  <si>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</si>
  <si>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</si>
  <si>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</si>
  <si>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</si>
  <si>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</si>
  <si>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</si>
  <si>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</si>
  <si>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</si>
  <si>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</si>
  <si>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</si>
  <si>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</si>
  <si>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</si>
  <si>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</si>
  <si>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</si>
  <si>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</si>
  <si>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</si>
  <si>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</si>
  <si>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</si>
  <si>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</si>
  <si>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</si>
  <si>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</si>
  <si>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</si>
  <si>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</si>
  <si>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</si>
  <si>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</si>
  <si>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</si>
  <si>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</si>
  <si>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</si>
  <si>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</si>
  <si>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</si>
  <si>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</si>
  <si>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</si>
  <si>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</si>
  <si>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</si>
  <si>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</si>
  <si>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</si>
  <si>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</si>
  <si>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</si>
  <si>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</si>
  <si>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</si>
  <si>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</si>
  <si>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</si>
  <si>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</si>
  <si>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</si>
  <si>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</si>
  <si>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</si>
  <si>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</si>
  <si>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</si>
  <si>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</si>
  <si>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</si>
  <si>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</si>
  <si>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</si>
  <si>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</si>
  <si>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</si>
  <si>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</si>
  <si>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</si>
  <si>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</si>
  <si>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</si>
  <si>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</si>
  <si>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</si>
  <si>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</si>
  <si>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</si>
  <si>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</si>
  <si>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</si>
  <si>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</si>
  <si>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</si>
  <si>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</si>
  <si>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</si>
  <si>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</si>
  <si>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</si>
  <si>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</si>
  <si>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</si>
  <si>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</si>
  <si>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</si>
  <si>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</si>
  <si>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</si>
  <si>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</si>
  <si>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</si>
  <si>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</si>
  <si>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</si>
  <si>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</si>
  <si>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</si>
  <si>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</si>
  <si>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</si>
  <si>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</si>
  <si>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</si>
  <si>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</si>
  <si>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</si>
  <si>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</si>
  <si>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</si>
  <si>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</si>
  <si>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</si>
  <si>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</si>
  <si>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</si>
  <si>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</si>
  <si>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</si>
  <si>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</si>
  <si>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</si>
  <si>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</si>
  <si>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</si>
  <si>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</si>
  <si>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</si>
  <si>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</si>
  <si>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</si>
  <si>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</si>
  <si>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</si>
  <si>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</si>
  <si>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</si>
  <si>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</si>
  <si>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</si>
  <si>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</si>
  <si>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</si>
  <si>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</si>
  <si>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</si>
  <si>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</si>
  <si>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</si>
  <si>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</si>
  <si>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</si>
  <si>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</si>
  <si>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</si>
  <si>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</si>
  <si>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</si>
  <si>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</si>
  <si>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</si>
  <si>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</si>
  <si>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</si>
  <si>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</si>
  <si>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</si>
  <si>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</si>
  <si>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</si>
  <si>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</si>
  <si>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</si>
  <si>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</si>
  <si>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</si>
  <si>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</si>
  <si>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</si>
  <si>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</si>
  <si>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</si>
  <si>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</si>
  <si>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</si>
  <si>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</si>
  <si>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</si>
  <si>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</si>
  <si>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</si>
  <si>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</si>
  <si>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</si>
  <si>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</si>
  <si>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</si>
  <si>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</si>
  <si>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</si>
  <si>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</si>
  <si>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</si>
  <si>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</si>
  <si>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</si>
  <si>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</si>
  <si>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</si>
  <si>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</si>
  <si>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</si>
  <si>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</si>
  <si>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</si>
  <si>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</si>
  <si>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</si>
  <si>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</si>
  <si>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</si>
  <si>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</si>
  <si>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</si>
  <si>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</si>
  <si>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</si>
  <si>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</si>
  <si>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</si>
  <si>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</si>
  <si>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</si>
  <si>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</si>
  <si>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</si>
  <si>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</si>
  <si>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</si>
  <si>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</si>
  <si>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</si>
  <si>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</si>
  <si>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</si>
  <si>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</si>
  <si>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</si>
  <si>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</si>
  <si>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</si>
  <si>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</si>
  <si>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</si>
  <si>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</si>
  <si>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</si>
  <si>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</si>
  <si>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</si>
  <si>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</si>
  <si>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</si>
  <si>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</si>
  <si>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</si>
  <si>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</si>
  <si>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</si>
  <si>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</si>
  <si>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</si>
  <si>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</si>
  <si>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</si>
  <si>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</si>
  <si>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</si>
  <si>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</si>
  <si>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</si>
  <si>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</si>
  <si>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</si>
  <si>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</si>
  <si>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</si>
  <si>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</si>
  <si>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</si>
  <si>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</si>
  <si>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</si>
  <si>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</si>
  <si>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</si>
  <si>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</si>
  <si>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</si>
  <si>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</si>
  <si>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</si>
  <si>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</si>
  <si>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</si>
  <si>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</si>
  <si>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</si>
  <si>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</si>
  <si>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</si>
  <si>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</si>
  <si>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</si>
  <si>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</si>
  <si>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</si>
  <si>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</si>
  <si>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</si>
  <si>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</si>
  <si>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</si>
  <si>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</si>
  <si>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</si>
  <si>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</si>
  <si>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</si>
  <si>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</si>
  <si>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Étiquettes de lignes</t>
  </si>
  <si>
    <t>(vide)</t>
  </si>
  <si>
    <t>Total général</t>
  </si>
  <si>
    <t>Somme de surface</t>
  </si>
  <si>
    <t>Étiquettes de colonnes</t>
  </si>
  <si>
    <t>Total Somme de surface</t>
  </si>
  <si>
    <t>Total Nombre de Numéro
Parcelle</t>
  </si>
  <si>
    <t>Nombre de Numéro
Parcelle</t>
  </si>
  <si>
    <t>Ha</t>
  </si>
  <si>
    <t>NB PARCELLE</t>
  </si>
  <si>
    <t>objectif</t>
  </si>
  <si>
    <t>landes pas utilisées</t>
  </si>
  <si>
    <t>landes litières</t>
  </si>
  <si>
    <t>SURFACES NON UTILISEES (PF)</t>
  </si>
  <si>
    <t>SURFACES NON UTILISEES (PE)</t>
  </si>
  <si>
    <t>SURFACES NON UTILISEES (Landes et Bois)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</si>
  <si>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</si>
  <si>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</si>
  <si>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</si>
  <si>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</si>
  <si>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</si>
  <si>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</si>
  <si>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</si>
  <si>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</si>
  <si>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</si>
  <si>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</si>
  <si>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demande herbe pâturée OL ferme</t>
  </si>
  <si>
    <t>demande herbe pâturée BV ferme</t>
  </si>
  <si>
    <t>demande herbe pâturée BL ferme</t>
  </si>
  <si>
    <t>stock maïs ensilage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</si>
  <si>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</si>
  <si>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</si>
  <si>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</si>
  <si>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</si>
  <si>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</si>
  <si>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</si>
  <si>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</si>
  <si>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</si>
  <si>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</si>
  <si>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Z1_OL_A3_s1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</si>
</sst>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20" fillId="2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3" fontId="0" fillId="0" borderId="0" xfId="0" applyNumberFormat="1" applyFill="1"/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/>
    </xf>
    <xf numFmtId="0" fontId="0" fillId="14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6.473310532405" createdVersion="6" refreshedVersion="6" minRefreshableVersion="3" recordCount="63">
  <cacheSource type="worksheet">
    <worksheetSource ref="A1:U64" sheet="Parcellaire"/>
  </cacheSource>
  <cacheFields count="21">
    <cacheField name="Numéro_x000a_Parcelle" numFmtId="0">
      <sharedItems containsMixedTypes="1" containsNumber="1" containsInteger="1" minValue="1" maxValue="6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58" maxValue="253" count="5">
        <n v="239"/>
        <n v="245"/>
        <m/>
        <n v="58"/>
        <n v="253"/>
      </sharedItems>
    </cacheField>
    <cacheField name="surface" numFmtId="0">
      <sharedItems containsString="0" containsBlank="1" containsNumber="1" minValue="0.26" maxValue="18.62"/>
    </cacheField>
    <cacheField name="forme" numFmtId="0">
      <sharedItems containsString="0" containsBlank="1" containsNumber="1" containsInteger="1" minValue="2" maxValue="27"/>
    </cacheField>
    <cacheField name="dénivelé" numFmtId="0">
      <sharedItems containsString="0" containsBlank="1" containsNumber="1" minValue="0" maxValue="6.5"/>
    </cacheField>
    <cacheField name="surface _x000a_corrigée forme" numFmtId="0">
      <sharedItems containsMixedTypes="1" containsNumber="1" minValue="0.27" maxValue="20.274999999999999"/>
    </cacheField>
    <cacheField name="surface _x000a_corrigée dénivé + forme" numFmtId="0">
      <sharedItems containsMixedTypes="1" containsNumber="1" minValue="0.28600000000000003" maxValue="22.974000000000004"/>
    </cacheField>
    <cacheField name="petit côté _x000a_(m)" numFmtId="0">
      <sharedItems containsMixedTypes="1" containsNumber="1" minValue="37.815340802378074" maxValue="927.20420630508852"/>
    </cacheField>
    <cacheField name="nb côté max" numFmtId="0">
      <sharedItems containsSemiMixedTypes="0" containsString="0" containsNumber="1" containsInteger="1" minValue="6" maxValue="60"/>
    </cacheField>
    <cacheField name="nombre côtés" numFmtId="0">
      <sharedItems containsString="0" containsBlank="1" containsNumber="1" containsInteger="1" minValue="0" maxValue="6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emiMixedTypes="0" containsString="0" containsNumber="1" containsInteger="1" minValue="0" maxValue="31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181.12150617748296" maxValue="4103.4999833454294"/>
    </cacheField>
    <cacheField name="dont partage voisin (m)" numFmtId="0">
      <sharedItems containsSemiMixedTypes="0" containsString="0" containsNumber="1" minValue="0" maxValue="2720.4530215488803"/>
    </cacheField>
    <cacheField name="Total linéaire (m)" numFmtId="0">
      <sharedItems containsMixedTypes="1" containsNumber="1" minValue="226.89204481426844" maxValue="5563.2252378305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424097453702" createdVersion="6" refreshedVersion="6" minRefreshableVersion="3" recordCount="19">
  <cacheSource type="worksheet">
    <worksheetSource ref="A1:I20" sheet="Parcellaire"/>
  </cacheSource>
  <cacheFields count="9">
    <cacheField name="Numéro_x000a_Parcelle" numFmtId="0">
      <sharedItems containsSemiMixedTypes="0" containsString="0" containsNumber="1" containsInteger="1" minValue="1" maxValue="19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245" maxValue="266" count="5">
        <n v="264"/>
        <m/>
        <n v="266"/>
        <n v="265"/>
        <n v="245"/>
      </sharedItems>
    </cacheField>
    <cacheField name="surface" numFmtId="0">
      <sharedItems containsString="0" containsBlank="1" containsNumber="1" minValue="0.26" maxValue="8.8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2.473272337964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Blank="1" containsMixedTypes="1" containsNumber="1" containsInteger="1" minValue="245" maxValue="289" count="9">
        <n v="264"/>
        <n v="265"/>
        <n v="266"/>
        <n v="289"/>
        <n v="276"/>
        <m/>
        <n v="245"/>
        <s v="landes pas utilisées"/>
        <s v="landes litières"/>
      </sharedItems>
    </cacheField>
    <cacheField name="surface" numFmtId="0">
      <sharedItems containsString="0" containsBlank="1" containsNumber="1" minValue="0.26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x v="0"/>
    <n v="2"/>
    <x v="0"/>
    <n v="8.5"/>
    <n v="3"/>
    <n v="0.5"/>
    <n v="9.3500000000000014"/>
    <n v="10.285000000000002"/>
    <n v="226.7708094089713"/>
    <n v="6"/>
    <n v="6"/>
    <m/>
    <n v="2"/>
    <n v="0"/>
    <n v="0"/>
    <n v="1133.8540470448565"/>
    <n v="453.54161881794261"/>
    <n v="1360.6248564538278"/>
  </r>
  <r>
    <n v="2"/>
    <n v="1"/>
    <n v="2"/>
    <x v="0"/>
    <n v="2"/>
    <x v="1"/>
    <n v="1"/>
    <n v="3"/>
    <n v="1"/>
    <n v="1.1000000000000001"/>
    <n v="1.32"/>
    <n v="81.240384046359594"/>
    <n v="6"/>
    <n v="6"/>
    <m/>
    <n v="2"/>
    <n v="0"/>
    <n v="0"/>
    <n v="406.201920231798"/>
    <n v="162.48076809271919"/>
    <n v="487.44230427815756"/>
  </r>
  <r>
    <n v="3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4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5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6"/>
    <m/>
    <m/>
    <x v="1"/>
    <m/>
    <x v="2"/>
    <m/>
    <m/>
    <m/>
    <s v=""/>
    <e v="#VALUE!"/>
    <e v="#VALUE!"/>
    <n v="6"/>
    <n v="6"/>
    <m/>
    <n v="1"/>
    <n v="0"/>
    <n v="0"/>
    <e v="#VALUE!"/>
    <n v="0"/>
    <e v="#VALUE!"/>
  </r>
  <r>
    <n v="7"/>
    <n v="1"/>
    <n v="2"/>
    <x v="0"/>
    <n v="3"/>
    <x v="3"/>
    <n v="1"/>
    <n v="2"/>
    <n v="1"/>
    <n v="1"/>
    <n v="1.2"/>
    <n v="77.459666924148337"/>
    <n v="6"/>
    <n v="6"/>
    <m/>
    <n v="2"/>
    <n v="0"/>
    <n v="0"/>
    <n v="387.29833462074168"/>
    <n v="154.91933384829667"/>
    <n v="464.75800154489002"/>
  </r>
  <r>
    <n v="8"/>
    <n v="1"/>
    <n v="2"/>
    <x v="0"/>
    <n v="2"/>
    <x v="4"/>
    <n v="2.2999999999999998"/>
    <n v="3"/>
    <n v="1"/>
    <n v="2.5299999999999998"/>
    <n v="3.0359999999999996"/>
    <n v="123.2071426500915"/>
    <n v="6"/>
    <n v="6"/>
    <m/>
    <n v="6"/>
    <n v="0"/>
    <n v="0"/>
    <n v="369.62142795027449"/>
    <n v="739.24285590054899"/>
    <n v="739.24285590054899"/>
  </r>
  <r>
    <n v="9"/>
    <n v="1"/>
    <n v="2"/>
    <x v="0"/>
    <n v="2"/>
    <x v="4"/>
    <n v="0.26"/>
    <n v="3"/>
    <n v="0"/>
    <n v="0.28600000000000003"/>
    <n v="0.28600000000000003"/>
    <n v="37.815340802378074"/>
    <n v="6"/>
    <n v="6"/>
    <m/>
    <n v="0"/>
    <n v="0"/>
    <n v="0"/>
    <n v="226.89204481426844"/>
    <n v="0"/>
    <n v="226.89204481426844"/>
  </r>
  <r>
    <n v="10"/>
    <m/>
    <m/>
    <x v="1"/>
    <m/>
    <x v="2"/>
    <m/>
    <m/>
    <m/>
    <s v=""/>
    <e v="#VALUE!"/>
    <e v="#VALUE!"/>
    <n v="6"/>
    <n v="6"/>
    <m/>
    <n v="3"/>
    <n v="0"/>
    <n v="0"/>
    <e v="#VALUE!"/>
    <n v="0"/>
    <e v="#VALUE!"/>
  </r>
  <r>
    <n v="11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2"/>
    <m/>
    <m/>
    <x v="1"/>
    <m/>
    <x v="2"/>
    <m/>
    <m/>
    <m/>
    <s v=""/>
    <e v="#VALUE!"/>
    <e v="#VALUE!"/>
    <n v="6"/>
    <n v="6"/>
    <m/>
    <n v="6"/>
    <n v="0"/>
    <n v="0"/>
    <e v="#VALUE!"/>
    <n v="0"/>
    <e v="#VALUE!"/>
  </r>
  <r>
    <n v="13"/>
    <n v="1"/>
    <n v="0"/>
    <x v="2"/>
    <n v="2"/>
    <x v="1"/>
    <n v="0.8"/>
    <n v="2"/>
    <n v="0.5"/>
    <n v="0.8"/>
    <n v="0.88000000000000012"/>
    <n v="66.332495807108003"/>
    <n v="6"/>
    <n v="6"/>
    <m/>
    <n v="3"/>
    <n v="0"/>
    <n v="0"/>
    <n v="298.49623113198606"/>
    <n v="0"/>
    <n v="397.99497484264805"/>
  </r>
  <r>
    <n v="14"/>
    <n v="1"/>
    <n v="2"/>
    <x v="0"/>
    <n v="2"/>
    <x v="1"/>
    <n v="2.85"/>
    <n v="3"/>
    <n v="1"/>
    <n v="3.1350000000000002"/>
    <n v="3.762"/>
    <n v="137.14955340794953"/>
    <n v="6"/>
    <n v="6"/>
    <m/>
    <n v="3"/>
    <n v="0"/>
    <n v="0"/>
    <n v="617.17299033577297"/>
    <n v="411.44866022384861"/>
    <n v="822.89732044769721"/>
  </r>
  <r>
    <n v="15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6"/>
    <n v="1"/>
    <n v="2"/>
    <x v="2"/>
    <n v="2"/>
    <x v="1"/>
    <n v="0.7"/>
    <n v="3"/>
    <n v="0.5"/>
    <n v="0.77"/>
    <n v="0.84700000000000009"/>
    <n v="65.076877614095778"/>
    <n v="6"/>
    <n v="6"/>
    <m/>
    <n v="6"/>
    <n v="0"/>
    <n v="0"/>
    <n v="195.23063284228732"/>
    <n v="390.46126568457464"/>
    <n v="390.46126568457464"/>
  </r>
  <r>
    <n v="17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18"/>
    <n v="1"/>
    <n v="2"/>
    <x v="2"/>
    <n v="2"/>
    <x v="0"/>
    <n v="0.27"/>
    <n v="2"/>
    <n v="1"/>
    <n v="0.27"/>
    <n v="0.32400000000000001"/>
    <n v="40.249223594996209"/>
    <n v="6"/>
    <n v="6"/>
    <m/>
    <n v="3"/>
    <n v="0"/>
    <n v="0"/>
    <n v="181.12150617748296"/>
    <n v="120.74767078498863"/>
    <n v="241.49534156997726"/>
  </r>
  <r>
    <n v="19"/>
    <n v="1"/>
    <n v="2"/>
    <x v="0"/>
    <n v="2"/>
    <x v="4"/>
    <n v="0.94"/>
    <n v="3"/>
    <n v="0"/>
    <n v="1.034"/>
    <n v="1.034"/>
    <n v="71.902712048990182"/>
    <n v="6"/>
    <n v="6"/>
    <m/>
    <n v="4"/>
    <n v="0"/>
    <n v="0"/>
    <n v="287.61084819596078"/>
    <n v="287.61084819596073"/>
    <n v="431.41627229394112"/>
  </r>
  <r>
    <n v="20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21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2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s v="TOTAL"/>
    <m/>
    <m/>
    <x v="1"/>
    <m/>
    <x v="2"/>
    <n v="18.62"/>
    <n v="27"/>
    <n v="6.5"/>
    <n v="20.274999999999999"/>
    <n v="22.974000000000004"/>
    <n v="927.20420630508852"/>
    <n v="60"/>
    <n v="60"/>
    <n v="0"/>
    <n v="31"/>
    <n v="0"/>
    <n v="0"/>
    <n v="4103.4999833454294"/>
    <n v="2720.4530215488803"/>
    <n v="5563.22523783053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">
  <r>
    <n v="1"/>
    <n v="1"/>
    <n v="2"/>
    <x v="0"/>
    <n v="2"/>
    <x v="0"/>
    <n v="8.85"/>
    <n v="3"/>
    <n v="0.5"/>
  </r>
  <r>
    <n v="2"/>
    <n v="1"/>
    <n v="2"/>
    <x v="0"/>
    <n v="2"/>
    <x v="0"/>
    <n v="1"/>
    <n v="3"/>
    <n v="1"/>
  </r>
  <r>
    <n v="3"/>
    <m/>
    <m/>
    <x v="1"/>
    <m/>
    <x v="1"/>
    <m/>
    <m/>
    <m/>
  </r>
  <r>
    <n v="4"/>
    <m/>
    <m/>
    <x v="1"/>
    <m/>
    <x v="1"/>
    <m/>
    <m/>
    <m/>
  </r>
  <r>
    <n v="5"/>
    <m/>
    <m/>
    <x v="1"/>
    <m/>
    <x v="1"/>
    <m/>
    <m/>
    <m/>
  </r>
  <r>
    <n v="6"/>
    <m/>
    <m/>
    <x v="1"/>
    <m/>
    <x v="1"/>
    <m/>
    <m/>
    <m/>
  </r>
  <r>
    <n v="7"/>
    <n v="1"/>
    <n v="2"/>
    <x v="0"/>
    <n v="3"/>
    <x v="2"/>
    <n v="1"/>
    <n v="2"/>
    <n v="1"/>
  </r>
  <r>
    <n v="8"/>
    <n v="1"/>
    <n v="2"/>
    <x v="0"/>
    <n v="2"/>
    <x v="3"/>
    <n v="2.2999999999999998"/>
    <n v="3"/>
    <n v="1"/>
  </r>
  <r>
    <n v="9"/>
    <n v="1"/>
    <n v="2"/>
    <x v="0"/>
    <n v="2"/>
    <x v="3"/>
    <n v="0.26"/>
    <n v="3"/>
    <n v="0"/>
  </r>
  <r>
    <n v="10"/>
    <m/>
    <m/>
    <x v="1"/>
    <m/>
    <x v="1"/>
    <m/>
    <m/>
    <m/>
  </r>
  <r>
    <n v="11"/>
    <m/>
    <m/>
    <x v="1"/>
    <m/>
    <x v="1"/>
    <m/>
    <m/>
    <m/>
  </r>
  <r>
    <n v="12"/>
    <m/>
    <m/>
    <x v="1"/>
    <m/>
    <x v="1"/>
    <m/>
    <m/>
    <m/>
  </r>
  <r>
    <n v="13"/>
    <n v="1"/>
    <n v="0"/>
    <x v="2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1"/>
    <m/>
    <m/>
    <m/>
  </r>
  <r>
    <n v="16"/>
    <n v="1"/>
    <n v="2"/>
    <x v="2"/>
    <n v="2"/>
    <x v="4"/>
    <n v="0.7"/>
    <n v="3"/>
    <n v="0.5"/>
  </r>
  <r>
    <n v="17"/>
    <n v="1"/>
    <n v="2"/>
    <x v="2"/>
    <n v="2"/>
    <x v="4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3"/>
    <n v="0.94"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n v="2"/>
    <x v="0"/>
    <n v="2.85"/>
    <n v="3"/>
    <n v="1"/>
  </r>
  <r>
    <n v="2"/>
    <n v="1"/>
    <n v="2"/>
    <x v="0"/>
    <n v="2"/>
    <x v="1"/>
    <n v="1"/>
    <n v="3"/>
    <n v="1"/>
  </r>
  <r>
    <n v="3"/>
    <n v="1"/>
    <m/>
    <x v="0"/>
    <m/>
    <x v="2"/>
    <n v="1.5"/>
    <n v="3"/>
    <n v="0.5"/>
  </r>
  <r>
    <n v="4"/>
    <n v="1"/>
    <m/>
    <x v="0"/>
    <m/>
    <x v="3"/>
    <n v="3"/>
    <n v="3"/>
    <n v="0.5"/>
  </r>
  <r>
    <n v="5"/>
    <n v="1"/>
    <m/>
    <x v="0"/>
    <m/>
    <x v="4"/>
    <n v="2.2000000000000002"/>
    <n v="3"/>
    <n v="1"/>
  </r>
  <r>
    <n v="6"/>
    <m/>
    <m/>
    <x v="1"/>
    <m/>
    <x v="5"/>
    <m/>
    <m/>
    <m/>
  </r>
  <r>
    <n v="7"/>
    <n v="1"/>
    <n v="2"/>
    <x v="0"/>
    <n v="3"/>
    <x v="2"/>
    <n v="1"/>
    <n v="2"/>
    <n v="1"/>
  </r>
  <r>
    <n v="8"/>
    <n v="1"/>
    <n v="2"/>
    <x v="0"/>
    <n v="2"/>
    <x v="1"/>
    <n v="1.8"/>
    <n v="3"/>
    <n v="1"/>
  </r>
  <r>
    <n v="9"/>
    <n v="1"/>
    <n v="2"/>
    <x v="0"/>
    <n v="2"/>
    <x v="1"/>
    <n v="0.26"/>
    <n v="3"/>
    <n v="0"/>
  </r>
  <r>
    <n v="10"/>
    <m/>
    <m/>
    <x v="1"/>
    <m/>
    <x v="5"/>
    <m/>
    <m/>
    <m/>
  </r>
  <r>
    <n v="11"/>
    <m/>
    <m/>
    <x v="1"/>
    <m/>
    <x v="5"/>
    <m/>
    <m/>
    <m/>
  </r>
  <r>
    <n v="12"/>
    <m/>
    <m/>
    <x v="1"/>
    <m/>
    <x v="5"/>
    <m/>
    <m/>
    <m/>
  </r>
  <r>
    <n v="13"/>
    <n v="1"/>
    <n v="0"/>
    <x v="0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5"/>
    <m/>
    <m/>
    <m/>
  </r>
  <r>
    <n v="16"/>
    <n v="1"/>
    <n v="2"/>
    <x v="2"/>
    <n v="2"/>
    <x v="6"/>
    <n v="0.5"/>
    <n v="3"/>
    <n v="0.5"/>
  </r>
  <r>
    <n v="17"/>
    <n v="1"/>
    <n v="2"/>
    <x v="2"/>
    <n v="2"/>
    <x v="6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1"/>
    <n v="0.94"/>
    <n v="3"/>
    <n v="0"/>
  </r>
  <r>
    <n v="20"/>
    <n v="1"/>
    <n v="0"/>
    <x v="2"/>
    <m/>
    <x v="7"/>
    <n v="6"/>
    <n v="2"/>
    <n v="1"/>
  </r>
  <r>
    <n v="21"/>
    <n v="1"/>
    <n v="0"/>
    <x v="2"/>
    <m/>
    <x v="8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1" cacheId="1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3" firstDataCol="1"/>
  <pivotFields count="21"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3"/>
        <item x="0"/>
        <item x="1"/>
        <item x="4"/>
        <item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3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omme de surface" fld="6" baseField="5" baseItem="0"/>
    <dataField name="Nombre de Numéro_x000a_Parcel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8" cacheId="1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30:K41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0"/>
        <item x="1"/>
        <item x="2"/>
        <item x="8"/>
        <item x="7"/>
        <item x="5"/>
        <item x="4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4" cacheId="1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17:K24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4"/>
        <item x="0"/>
        <item x="2"/>
        <item x="1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12" sqref="N1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34.173000000000002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104.61017568860001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2.510226198666667</v>
      </c>
      <c r="H5" s="143">
        <f>CdTrp1!C215+CdTrp2!C215+CdTrp3!C215+CdTrp4!C215</f>
        <v>2.4561245026666669</v>
      </c>
      <c r="I5" s="143">
        <f>CdTrp1!D215+CdTrp2!D215+CdTrp3!D215+CdTrp4!D215</f>
        <v>2.8478868133333339</v>
      </c>
      <c r="J5" s="143">
        <f>CdTrp1!E215+CdTrp2!E215+CdTrp3!E215+CdTrp4!E215</f>
        <v>2.6471585653333345</v>
      </c>
      <c r="K5" s="143">
        <f>CdTrp1!F215+CdTrp2!F215+CdTrp3!F215+CdTrp4!F215</f>
        <v>2.8901316533333339</v>
      </c>
      <c r="L5" s="143">
        <f>CdTrp1!G215+CdTrp2!G215+CdTrp3!G215+CdTrp4!G215</f>
        <v>2.856205935333334</v>
      </c>
      <c r="M5" s="143">
        <f>CdTrp1!H215+CdTrp2!H215+CdTrp3!H215+CdTrp4!H215</f>
        <v>4.9050378400000012</v>
      </c>
      <c r="N5" s="143">
        <f>CdTrp1!I215+CdTrp2!I215+CdTrp3!I215+CdTrp4!I215</f>
        <v>4.9307819200000003</v>
      </c>
      <c r="O5" s="143">
        <f>CdTrp1!J215+CdTrp2!J215+CdTrp3!J215+CdTrp4!J215</f>
        <v>6.6767186613333349</v>
      </c>
      <c r="P5" s="143">
        <f>CdTrp1!K215+CdTrp2!K215+CdTrp3!K215+CdTrp4!K215</f>
        <v>6.6549849333333349</v>
      </c>
      <c r="Q5" s="143">
        <f>CdTrp1!L215+CdTrp2!L215+CdTrp3!L215+CdTrp4!L215</f>
        <v>2.8498905600000004</v>
      </c>
      <c r="R5" s="143">
        <f>CdTrp1!M215+CdTrp2!M215+CdTrp3!M215+CdTrp4!M215</f>
        <v>4.749817600000001</v>
      </c>
      <c r="S5" s="143">
        <f>CdTrp1!N215+CdTrp2!N215+CdTrp3!N215+CdTrp4!N215</f>
        <v>4.9081448533333338</v>
      </c>
      <c r="T5" s="143">
        <f>CdTrp1!O215+CdTrp2!O215+CdTrp3!O215+CdTrp4!O215</f>
        <v>4.9081448533333338</v>
      </c>
      <c r="U5" s="143">
        <f>CdTrp1!P215+CdTrp2!P215+CdTrp3!P215+CdTrp4!P215</f>
        <v>6.7442128533333339</v>
      </c>
      <c r="V5" s="143">
        <f>CdTrp1!Q215+CdTrp2!Q215+CdTrp3!Q215+CdTrp4!Q215</f>
        <v>5.2717693973333333</v>
      </c>
      <c r="W5" s="143">
        <f>CdTrp1!R215+CdTrp2!R215+CdTrp3!R215+CdTrp4!R215</f>
        <v>5.5766940800000011</v>
      </c>
      <c r="X5" s="143">
        <f>CdTrp1!S215+CdTrp2!S215+CdTrp3!S215+CdTrp4!S215</f>
        <v>5.2960230400000015</v>
      </c>
      <c r="Y5" s="143">
        <f>CdTrp1!T215+CdTrp2!T215+CdTrp3!T215+CdTrp4!T215</f>
        <v>5.4725571413333345</v>
      </c>
      <c r="Z5" s="143">
        <f>CdTrp1!U215+CdTrp2!U215+CdTrp3!U215+CdTrp4!U215</f>
        <v>2.7287141366666674</v>
      </c>
      <c r="AA5" s="143">
        <f>CdTrp1!V215+CdTrp2!V215+CdTrp3!V215+CdTrp4!V215</f>
        <v>1.9114095000000004</v>
      </c>
      <c r="AB5" s="143">
        <f>CdTrp1!W215+CdTrp2!W215+CdTrp3!W215+CdTrp4!W215</f>
        <v>1.9114095000000004</v>
      </c>
      <c r="AC5" s="143">
        <f>CdTrp1!X215+CdTrp2!X215+CdTrp3!X215+CdTrp4!X215</f>
        <v>1.7585183586666671</v>
      </c>
      <c r="AD5" s="143">
        <f>CdTrp1!Y215+CdTrp2!Y215+CdTrp3!Y215+CdTrp4!Y215</f>
        <v>1.7585183586666671</v>
      </c>
      <c r="AE5" s="153"/>
      <c r="AF5" s="144">
        <f>AF8+AF9</f>
        <v>97.934536589333334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0.14400533333333335</v>
      </c>
      <c r="H6" s="143">
        <f>CdTrp1!C216+CdTrp2!C216+CdTrp3!C216+CdTrp4!C216</f>
        <v>0.14400533333333335</v>
      </c>
      <c r="I6" s="143">
        <f>CdTrp1!D216+CdTrp2!D216+CdTrp3!D216+CdTrp4!D216</f>
        <v>0.13006933333333334</v>
      </c>
      <c r="J6" s="143">
        <f>CdTrp1!E216+CdTrp2!E216+CdTrp3!E216+CdTrp4!E216</f>
        <v>0.13006933333333334</v>
      </c>
      <c r="K6" s="143">
        <f>CdTrp1!F216+CdTrp2!F216+CdTrp3!F216+CdTrp4!F216</f>
        <v>0.14400533333333335</v>
      </c>
      <c r="L6" s="143">
        <f>CdTrp1!G216+CdTrp2!G216+CdTrp3!G216+CdTrp4!G216</f>
        <v>0.14400533333333335</v>
      </c>
      <c r="M6" s="143">
        <f>CdTrp1!H216+CdTrp2!H216+CdTrp3!H216+CdTrp4!H216</f>
        <v>0.13936000000000001</v>
      </c>
      <c r="N6" s="143">
        <f>CdTrp1!I216+CdTrp2!I216+CdTrp3!I216+CdTrp4!I216</f>
        <v>0.13936000000000001</v>
      </c>
      <c r="O6" s="143">
        <f>CdTrp1!J216+CdTrp2!J216+CdTrp3!J216+CdTrp4!J216</f>
        <v>0.14400533333333335</v>
      </c>
      <c r="P6" s="143">
        <f>CdTrp1!K216+CdTrp2!K216+CdTrp3!K216+CdTrp4!K216</f>
        <v>0.14400533333333335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0.32227000000000006</v>
      </c>
      <c r="AB6" s="143">
        <f>CdTrp1!W216+CdTrp2!W216+CdTrp3!W216+CdTrp4!W216</f>
        <v>0.32227000000000006</v>
      </c>
      <c r="AC6" s="143">
        <f>CdTrp1!X216+CdTrp2!X216+CdTrp3!X216+CdTrp4!X216</f>
        <v>0.33301233333333335</v>
      </c>
      <c r="AD6" s="143">
        <f>CdTrp1!Y216+CdTrp2!Y216+CdTrp3!Y216+CdTrp4!Y216</f>
        <v>0.33301233333333335</v>
      </c>
      <c r="AE6" s="153"/>
      <c r="AF6" s="154"/>
    </row>
    <row r="7" spans="1:53" x14ac:dyDescent="0.25">
      <c r="B7" s="14" t="s">
        <v>295</v>
      </c>
      <c r="C7" s="144">
        <f>ROUNDUP(C4-C6-0.9*C5,1)</f>
        <v>104.69999999999999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2.6542315320000003</v>
      </c>
      <c r="H8" s="143">
        <f t="shared" ref="H8:AD8" si="0">SUM(H5:H7)</f>
        <v>2.6001298360000002</v>
      </c>
      <c r="I8" s="143">
        <f t="shared" si="0"/>
        <v>2.9779561466666671</v>
      </c>
      <c r="J8" s="143">
        <f t="shared" si="0"/>
        <v>2.7772278986666676</v>
      </c>
      <c r="K8" s="143">
        <f t="shared" si="0"/>
        <v>3.0341369866666672</v>
      </c>
      <c r="L8" s="143">
        <f t="shared" si="0"/>
        <v>3.0002112686666673</v>
      </c>
      <c r="M8" s="143">
        <f t="shared" si="0"/>
        <v>5.0443978400000011</v>
      </c>
      <c r="N8" s="143">
        <f t="shared" si="0"/>
        <v>5.0701419200000002</v>
      </c>
      <c r="O8" s="143">
        <f t="shared" si="0"/>
        <v>6.8207239946666682</v>
      </c>
      <c r="P8" s="143">
        <f t="shared" si="0"/>
        <v>6.7989902666666682</v>
      </c>
      <c r="Q8" s="143">
        <f t="shared" si="0"/>
        <v>2.8498905600000004</v>
      </c>
      <c r="R8" s="143">
        <f t="shared" si="0"/>
        <v>4.749817600000001</v>
      </c>
      <c r="S8" s="143">
        <f t="shared" si="0"/>
        <v>4.9081448533333338</v>
      </c>
      <c r="T8" s="143">
        <f t="shared" si="0"/>
        <v>4.9081448533333338</v>
      </c>
      <c r="U8" s="143">
        <f t="shared" si="0"/>
        <v>6.7442128533333339</v>
      </c>
      <c r="V8" s="143">
        <f t="shared" si="0"/>
        <v>5.2717693973333333</v>
      </c>
      <c r="W8" s="143">
        <f t="shared" si="0"/>
        <v>5.5766940800000011</v>
      </c>
      <c r="X8" s="143">
        <f t="shared" si="0"/>
        <v>5.2960230400000015</v>
      </c>
      <c r="Y8" s="143">
        <f t="shared" si="0"/>
        <v>5.4725571413333345</v>
      </c>
      <c r="Z8" s="143">
        <f t="shared" si="0"/>
        <v>2.7287141366666674</v>
      </c>
      <c r="AA8" s="143">
        <f t="shared" si="0"/>
        <v>2.2336795000000005</v>
      </c>
      <c r="AB8" s="143">
        <f t="shared" si="0"/>
        <v>2.2336795000000005</v>
      </c>
      <c r="AC8" s="143">
        <f t="shared" si="0"/>
        <v>2.0915306920000005</v>
      </c>
      <c r="AD8" s="143">
        <f t="shared" si="0"/>
        <v>2.0915306920000005</v>
      </c>
      <c r="AE8" s="153"/>
      <c r="AF8" s="144">
        <f>SUM(G8:AD8)</f>
        <v>97.934536589333334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E44" zoomScale="80" zoomScaleNormal="80" workbookViewId="0">
      <selection activeCell="O52" sqref="O5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2.85546875" customWidth="1"/>
    <col min="16" max="16" width="4.7109375" customWidth="1"/>
    <col min="17" max="17" width="6.28515625" style="58" customWidth="1"/>
    <col min="18" max="18" width="8" bestFit="1" customWidth="1"/>
    <col min="19" max="19" width="38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95" t="s">
        <v>251</v>
      </c>
      <c r="AT2" s="295"/>
      <c r="AU2" s="294" t="s">
        <v>252</v>
      </c>
      <c r="AV2" s="294"/>
      <c r="AW2" s="294" t="s">
        <v>253</v>
      </c>
      <c r="AX2" s="294"/>
      <c r="AY2" s="294" t="s">
        <v>254</v>
      </c>
      <c r="AZ2" s="294"/>
      <c r="BA2" s="294" t="s">
        <v>255</v>
      </c>
      <c r="BB2" s="294"/>
      <c r="BC2" s="294" t="s">
        <v>256</v>
      </c>
      <c r="BD2" s="294"/>
      <c r="BE2" s="294" t="s">
        <v>257</v>
      </c>
      <c r="BF2" s="294"/>
      <c r="BG2" s="294" t="s">
        <v>258</v>
      </c>
      <c r="BH2" s="294"/>
      <c r="BI2" s="294" t="s">
        <v>259</v>
      </c>
      <c r="BJ2" s="294"/>
      <c r="BK2" s="294" t="s">
        <v>260</v>
      </c>
      <c r="BL2" s="294"/>
      <c r="BM2" s="294" t="s">
        <v>261</v>
      </c>
      <c r="BN2" s="294"/>
      <c r="BO2" s="294" t="s">
        <v>262</v>
      </c>
      <c r="BP2" s="294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2.6542315320000003</v>
      </c>
      <c r="AT5" s="13">
        <f>'Conduite Trp'!H8</f>
        <v>2.6001298360000002</v>
      </c>
      <c r="AU5" s="13">
        <f>'Conduite Trp'!I8</f>
        <v>2.9779561466666671</v>
      </c>
      <c r="AV5" s="13">
        <f>'Conduite Trp'!J8</f>
        <v>2.7772278986666676</v>
      </c>
      <c r="AW5" s="13">
        <f>'Conduite Trp'!K8</f>
        <v>3.0341369866666672</v>
      </c>
      <c r="AX5" s="13">
        <f>'Conduite Trp'!L8</f>
        <v>3.0002112686666673</v>
      </c>
      <c r="AY5" s="13">
        <f>'Conduite Trp'!M8</f>
        <v>5.0443978400000011</v>
      </c>
      <c r="AZ5" s="13">
        <f>'Conduite Trp'!N8</f>
        <v>5.0701419200000002</v>
      </c>
      <c r="BA5" s="13">
        <f>'Conduite Trp'!O8</f>
        <v>6.8207239946666682</v>
      </c>
      <c r="BB5" s="13">
        <f>'Conduite Trp'!P8</f>
        <v>6.7989902666666682</v>
      </c>
      <c r="BC5" s="13">
        <f>'Conduite Trp'!Q8</f>
        <v>2.8498905600000004</v>
      </c>
      <c r="BD5" s="13">
        <f>'Conduite Trp'!R8</f>
        <v>4.749817600000001</v>
      </c>
      <c r="BE5" s="13">
        <f>'Conduite Trp'!S8</f>
        <v>4.9081448533333338</v>
      </c>
      <c r="BF5" s="13">
        <f>'Conduite Trp'!T8</f>
        <v>4.9081448533333338</v>
      </c>
      <c r="BG5" s="13">
        <f>'Conduite Trp'!U8</f>
        <v>6.7442128533333339</v>
      </c>
      <c r="BH5" s="13">
        <f>'Conduite Trp'!V8</f>
        <v>5.2717693973333333</v>
      </c>
      <c r="BI5" s="13">
        <f>'Conduite Trp'!W8</f>
        <v>5.5766940800000011</v>
      </c>
      <c r="BJ5" s="13">
        <f>'Conduite Trp'!X8</f>
        <v>5.2960230400000015</v>
      </c>
      <c r="BK5" s="13">
        <f>'Conduite Trp'!Y8</f>
        <v>5.4725571413333345</v>
      </c>
      <c r="BL5" s="13">
        <f>'Conduite Trp'!Z8</f>
        <v>2.7287141366666674</v>
      </c>
      <c r="BM5" s="13">
        <f>'Conduite Trp'!AA8</f>
        <v>2.2336795000000005</v>
      </c>
      <c r="BN5" s="13">
        <f>'Conduite Trp'!AB8</f>
        <v>2.2336795000000005</v>
      </c>
      <c r="BO5" s="13">
        <f>'Conduite Trp'!AC8</f>
        <v>2.0915306920000005</v>
      </c>
      <c r="BP5" s="13">
        <f>'Conduite Trp'!AD8</f>
        <v>2.0915306920000005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19.12-O29</f>
        <v>17.850000000000001</v>
      </c>
      <c r="P7">
        <v>1</v>
      </c>
      <c r="Q7" s="39">
        <v>264</v>
      </c>
      <c r="R7" s="39">
        <v>2.85</v>
      </c>
      <c r="S7" s="277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5.13</v>
      </c>
      <c r="AF7" s="61">
        <f t="shared" ref="AF7:AF26" si="1">$R7*W7</f>
        <v>3.42</v>
      </c>
      <c r="AG7" s="61">
        <f t="shared" ref="AG7:AG26" si="2">$R7*X7</f>
        <v>5.13</v>
      </c>
      <c r="AH7" s="61">
        <f t="shared" ref="AH7:AH26" si="3">$R7*Y7</f>
        <v>1.425</v>
      </c>
      <c r="AI7" s="61">
        <f t="shared" ref="AI7:AI26" si="4">$R7*Z7</f>
        <v>1.9949999999999999</v>
      </c>
      <c r="AJ7" s="61">
        <f t="shared" ref="AJ7:AJ26" si="5">$R7*AA7</f>
        <v>0</v>
      </c>
      <c r="AK7" s="141"/>
      <c r="AL7" s="61">
        <f t="shared" ref="AL7:AL26" si="6">R7*AC7</f>
        <v>10.83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5.0443978400000011</v>
      </c>
      <c r="AZ7" s="61">
        <f t="shared" si="7"/>
        <v>5.0701419200000002</v>
      </c>
      <c r="BA7" s="61">
        <f t="shared" si="7"/>
        <v>6.8207239946666682</v>
      </c>
      <c r="BB7" s="61">
        <f t="shared" si="7"/>
        <v>6.7989902666666682</v>
      </c>
      <c r="BC7" s="61">
        <f t="shared" si="7"/>
        <v>2.8498905600000004</v>
      </c>
      <c r="BD7" s="61">
        <f t="shared" si="7"/>
        <v>4.749817600000001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31.333962181333341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34.173000000000002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17.850000000000001</v>
      </c>
      <c r="P8">
        <v>2</v>
      </c>
      <c r="Q8" s="39">
        <v>265</v>
      </c>
      <c r="R8" s="39">
        <v>4</v>
      </c>
      <c r="S8" s="277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6</v>
      </c>
      <c r="AF8" s="61">
        <f t="shared" si="1"/>
        <v>0</v>
      </c>
      <c r="AG8" s="61">
        <f t="shared" si="2"/>
        <v>3.2</v>
      </c>
      <c r="AH8" s="61">
        <f t="shared" si="3"/>
        <v>2</v>
      </c>
      <c r="AI8" s="61">
        <f t="shared" si="4"/>
        <v>2.8</v>
      </c>
      <c r="AJ8" s="61">
        <f t="shared" si="5"/>
        <v>0</v>
      </c>
      <c r="AK8" s="141"/>
      <c r="AL8" s="61">
        <f t="shared" si="6"/>
        <v>25.2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4.9081448533333338</v>
      </c>
      <c r="BF8" s="61">
        <f t="shared" si="8"/>
        <v>4.9081448533333338</v>
      </c>
      <c r="BG8" s="61">
        <f t="shared" si="8"/>
        <v>6.7442128533333339</v>
      </c>
      <c r="BH8" s="61">
        <f t="shared" si="8"/>
        <v>5.2717693973333333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21.832271957333337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34.173000000000002</v>
      </c>
      <c r="G9" s="81"/>
      <c r="H9" s="61">
        <f>SUM(L34:L43)</f>
        <v>30</v>
      </c>
      <c r="I9" s="81"/>
      <c r="J9" s="81"/>
      <c r="K9" s="93">
        <f>H9-F9</f>
        <v>-4.1730000000000018</v>
      </c>
      <c r="L9" s="81"/>
      <c r="M9" s="100"/>
      <c r="P9">
        <v>3</v>
      </c>
      <c r="Q9" s="39">
        <v>266</v>
      </c>
      <c r="R9" s="39">
        <v>5</v>
      </c>
      <c r="S9" s="277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16.5</v>
      </c>
      <c r="AF9" s="61">
        <f t="shared" si="1"/>
        <v>15</v>
      </c>
      <c r="AG9" s="61">
        <f t="shared" si="2"/>
        <v>11.5</v>
      </c>
      <c r="AH9" s="61">
        <f t="shared" si="3"/>
        <v>2.5</v>
      </c>
      <c r="AI9" s="61">
        <f t="shared" si="4"/>
        <v>3.5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5.5766940800000011</v>
      </c>
      <c r="BJ9" s="61">
        <f t="shared" si="10"/>
        <v>5.2960230400000015</v>
      </c>
      <c r="BK9" s="61">
        <f t="shared" si="10"/>
        <v>5.4725571413333345</v>
      </c>
      <c r="BL9" s="61">
        <f t="shared" si="10"/>
        <v>2.7287141366666674</v>
      </c>
      <c r="BM9" s="61">
        <f t="shared" si="10"/>
        <v>2.2336795000000005</v>
      </c>
      <c r="BN9" s="61">
        <f t="shared" si="10"/>
        <v>2.2336795000000005</v>
      </c>
      <c r="BO9" s="61">
        <f t="shared" si="10"/>
        <v>0</v>
      </c>
      <c r="BP9" s="61">
        <f t="shared" si="10"/>
        <v>0</v>
      </c>
      <c r="BR9" s="61">
        <f t="shared" si="9"/>
        <v>23.541347398000006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276</v>
      </c>
      <c r="R10" s="39">
        <v>3</v>
      </c>
      <c r="S10" s="277" t="str">
        <f>VLOOKUP($Q10,[1]MEP!$A$5:$D$300,3)</f>
        <v>PP EXCELLENTE 2 COUPES PAT HIVER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</v>
      </c>
      <c r="Z10" s="76">
        <f>VLOOKUP($Q10,[1]MEP!$A$4:$K$300,9)</f>
        <v>1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4.5</v>
      </c>
      <c r="AF10" s="61">
        <f t="shared" si="1"/>
        <v>0</v>
      </c>
      <c r="AG10" s="61">
        <f t="shared" si="2"/>
        <v>0</v>
      </c>
      <c r="AH10" s="61">
        <f t="shared" si="3"/>
        <v>3</v>
      </c>
      <c r="AI10" s="61">
        <f t="shared" si="4"/>
        <v>3</v>
      </c>
      <c r="AJ10" s="61">
        <f t="shared" si="5"/>
        <v>0</v>
      </c>
      <c r="AK10" s="141"/>
      <c r="AL10" s="61">
        <f t="shared" si="6"/>
        <v>18.899999999999999</v>
      </c>
      <c r="AQ10" s="32"/>
      <c r="AR10" s="70">
        <v>4</v>
      </c>
      <c r="AS10" s="61">
        <f>IF(AS$4=4,AS$5,0)</f>
        <v>2.6542315320000003</v>
      </c>
      <c r="AT10" s="61">
        <f t="shared" ref="AT10:BP10" si="11">IF(AT$4=4,AT$5,0)</f>
        <v>2.6001298360000002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2.0915306920000005</v>
      </c>
      <c r="BP10" s="61">
        <f t="shared" si="11"/>
        <v>2.0915306920000005</v>
      </c>
      <c r="BR10" s="61">
        <f t="shared" si="9"/>
        <v>9.4374227520000016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289</v>
      </c>
      <c r="R11" s="39">
        <v>3</v>
      </c>
      <c r="S11" s="277" t="str">
        <f>VLOOKUP($Q11,[1]MEP!$A$5:$D$300,3)</f>
        <v>PP EXCELLENTE 2C PRECOCES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1</v>
      </c>
      <c r="X11" s="76">
        <f>VLOOKUP($Q11,[1]MEP!$A$4:$K$300,7)</f>
        <v>1</v>
      </c>
      <c r="Y11" s="76">
        <f>VLOOKUP($Q11,[1]MEP!$A$4:$K$300,8)</f>
        <v>0.7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0</v>
      </c>
      <c r="AF11" s="61">
        <f t="shared" si="1"/>
        <v>3</v>
      </c>
      <c r="AG11" s="61">
        <f t="shared" si="2"/>
        <v>3</v>
      </c>
      <c r="AH11" s="61">
        <f t="shared" si="3"/>
        <v>2.0999999999999996</v>
      </c>
      <c r="AI11" s="61">
        <f t="shared" si="4"/>
        <v>1.5</v>
      </c>
      <c r="AJ11" s="61">
        <f t="shared" si="5"/>
        <v>0</v>
      </c>
      <c r="AK11" s="141"/>
      <c r="AL11" s="61">
        <f t="shared" si="6"/>
        <v>18.899999999999999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2.9779561466666671</v>
      </c>
      <c r="AV11" s="61">
        <f t="shared" si="12"/>
        <v>2.7772278986666676</v>
      </c>
      <c r="AW11" s="61">
        <f t="shared" si="12"/>
        <v>3.0341369866666672</v>
      </c>
      <c r="AX11" s="61">
        <f t="shared" si="12"/>
        <v>3.0002112686666673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11.78953230066667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N13" s="14">
        <f>+O8+O30</f>
        <v>19.12</v>
      </c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4">H14-F14</f>
        <v>-8.1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2.510226198666667</v>
      </c>
      <c r="AT15" s="13">
        <f>'Conduite Trp'!H5</f>
        <v>2.4561245026666669</v>
      </c>
      <c r="AU15" s="13">
        <f>'Conduite Trp'!I5</f>
        <v>2.8478868133333339</v>
      </c>
      <c r="AV15" s="13">
        <f>'Conduite Trp'!J5</f>
        <v>2.6471585653333345</v>
      </c>
      <c r="AW15" s="13">
        <f>'Conduite Trp'!K5</f>
        <v>2.8901316533333339</v>
      </c>
      <c r="AX15" s="13">
        <f>'Conduite Trp'!L5</f>
        <v>2.856205935333334</v>
      </c>
      <c r="AY15" s="13">
        <f>'Conduite Trp'!M5</f>
        <v>4.9050378400000012</v>
      </c>
      <c r="AZ15" s="13">
        <f>'Conduite Trp'!N5</f>
        <v>4.9307819200000003</v>
      </c>
      <c r="BA15" s="13">
        <f>'Conduite Trp'!O5</f>
        <v>6.6767186613333349</v>
      </c>
      <c r="BB15" s="13">
        <f>'Conduite Trp'!P5</f>
        <v>6.6549849333333349</v>
      </c>
      <c r="BC15" s="13">
        <f>'Conduite Trp'!Q5</f>
        <v>2.8498905600000004</v>
      </c>
      <c r="BD15" s="13">
        <f>'Conduite Trp'!R5</f>
        <v>4.749817600000001</v>
      </c>
      <c r="BE15" s="13">
        <f>'Conduite Trp'!S5</f>
        <v>4.9081448533333338</v>
      </c>
      <c r="BF15" s="13">
        <f>'Conduite Trp'!T5</f>
        <v>4.9081448533333338</v>
      </c>
      <c r="BG15" s="13">
        <f>'Conduite Trp'!U5</f>
        <v>6.7442128533333339</v>
      </c>
      <c r="BH15" s="13">
        <f>'Conduite Trp'!V5</f>
        <v>5.2717693973333333</v>
      </c>
      <c r="BI15" s="13">
        <f>'Conduite Trp'!W5</f>
        <v>5.5766940800000011</v>
      </c>
      <c r="BJ15" s="13">
        <f>'Conduite Trp'!X5</f>
        <v>5.2960230400000015</v>
      </c>
      <c r="BK15" s="13">
        <f>'Conduite Trp'!Y5</f>
        <v>5.4725571413333345</v>
      </c>
      <c r="BL15" s="13">
        <f>'Conduite Trp'!Z5</f>
        <v>2.7287141366666674</v>
      </c>
      <c r="BM15" s="13">
        <f>'Conduite Trp'!AA5</f>
        <v>1.9114095000000004</v>
      </c>
      <c r="BN15" s="13">
        <f>'Conduite Trp'!AB5</f>
        <v>1.9114095000000004</v>
      </c>
      <c r="BO15" s="13">
        <f>'Conduite Trp'!AC5</f>
        <v>1.7585183586666671</v>
      </c>
      <c r="BP15" s="13">
        <f>'Conduite Trp'!AD5</f>
        <v>1.7585183586666671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0.14400533333333335</v>
      </c>
      <c r="AT16" s="13">
        <f>'Conduite Trp'!H6</f>
        <v>0.14400533333333335</v>
      </c>
      <c r="AU16" s="13">
        <f>'Conduite Trp'!I6</f>
        <v>0.13006933333333334</v>
      </c>
      <c r="AV16" s="13">
        <f>'Conduite Trp'!J6</f>
        <v>0.13006933333333334</v>
      </c>
      <c r="AW16" s="13">
        <f>'Conduite Trp'!K6</f>
        <v>0.14400533333333335</v>
      </c>
      <c r="AX16" s="13">
        <f>'Conduite Trp'!L6</f>
        <v>0.14400533333333335</v>
      </c>
      <c r="AY16" s="13">
        <f>'Conduite Trp'!M6</f>
        <v>0.13936000000000001</v>
      </c>
      <c r="AZ16" s="13">
        <f>'Conduite Trp'!N6</f>
        <v>0.13936000000000001</v>
      </c>
      <c r="BA16" s="13">
        <f>'Conduite Trp'!O6</f>
        <v>0.14400533333333335</v>
      </c>
      <c r="BB16" s="13">
        <f>'Conduite Trp'!P6</f>
        <v>0.14400533333333335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0.32227000000000006</v>
      </c>
      <c r="BN16" s="13">
        <f>'Conduite Trp'!AB6</f>
        <v>0.32227000000000006</v>
      </c>
      <c r="BO16" s="13">
        <f>'Conduite Trp'!AC6</f>
        <v>0.33301233333333335</v>
      </c>
      <c r="BP16" s="13">
        <f>'Conduite Trp'!AD6</f>
        <v>0.33301233333333335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4.9050378400000012</v>
      </c>
      <c r="AZ19" s="61">
        <f t="shared" si="15"/>
        <v>4.9307819200000003</v>
      </c>
      <c r="BA19" s="61">
        <f t="shared" si="15"/>
        <v>6.6767186613333349</v>
      </c>
      <c r="BB19" s="61">
        <f t="shared" si="15"/>
        <v>6.6549849333333349</v>
      </c>
      <c r="BC19" s="61">
        <f t="shared" si="15"/>
        <v>2.8498905600000004</v>
      </c>
      <c r="BD19" s="61">
        <f t="shared" si="15"/>
        <v>4.749817600000001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30.767231514666669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4.9081448533333338</v>
      </c>
      <c r="BF20" s="61">
        <f t="shared" si="16"/>
        <v>4.9081448533333338</v>
      </c>
      <c r="BG20" s="61">
        <f t="shared" si="16"/>
        <v>6.7442128533333339</v>
      </c>
      <c r="BH20" s="61">
        <f t="shared" si="16"/>
        <v>5.2717693973333333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21.832271957333337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5.5766940800000011</v>
      </c>
      <c r="BJ21" s="61">
        <f t="shared" si="18"/>
        <v>5.2960230400000015</v>
      </c>
      <c r="BK21" s="61">
        <f t="shared" si="18"/>
        <v>5.4725571413333345</v>
      </c>
      <c r="BL21" s="61">
        <f t="shared" si="18"/>
        <v>2.7287141366666674</v>
      </c>
      <c r="BM21" s="61">
        <f t="shared" si="18"/>
        <v>1.9114095000000004</v>
      </c>
      <c r="BN21" s="61">
        <f t="shared" si="18"/>
        <v>1.9114095000000004</v>
      </c>
      <c r="BO21" s="61">
        <f t="shared" si="18"/>
        <v>0</v>
      </c>
      <c r="BP21" s="61">
        <f t="shared" si="18"/>
        <v>0</v>
      </c>
      <c r="BR21" s="61">
        <f t="shared" si="17"/>
        <v>22.896807398000007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2.510226198666667</v>
      </c>
      <c r="AT22" s="61">
        <f t="shared" ref="AT22:BP22" si="19">IF(AT$4=4,AT$15,0)</f>
        <v>2.4561245026666669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1.7585183586666671</v>
      </c>
      <c r="BP22" s="61">
        <f t="shared" si="19"/>
        <v>1.7585183586666671</v>
      </c>
      <c r="BR22" s="61">
        <f t="shared" si="17"/>
        <v>8.483387418666668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2.8478868133333339</v>
      </c>
      <c r="AV23" s="61">
        <f t="shared" si="20"/>
        <v>2.6471585653333345</v>
      </c>
      <c r="AW23" s="61">
        <f t="shared" si="20"/>
        <v>2.8901316533333339</v>
      </c>
      <c r="AX23" s="61">
        <f t="shared" si="20"/>
        <v>2.856205935333334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11.241382967333337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33.020999999999994</v>
      </c>
      <c r="E24" s="61">
        <f t="shared" si="21"/>
        <v>22.23</v>
      </c>
      <c r="F24" s="61">
        <f t="shared" si="21"/>
        <v>24.200999999999997</v>
      </c>
      <c r="G24" s="61">
        <f t="shared" si="21"/>
        <v>11.91</v>
      </c>
      <c r="H24" s="61">
        <f t="shared" si="21"/>
        <v>13.984</v>
      </c>
      <c r="I24" s="61">
        <f t="shared" si="21"/>
        <v>0</v>
      </c>
      <c r="J24" s="63"/>
      <c r="K24" s="61">
        <f>AL27+AL49+AL71</f>
        <v>78.83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31.333962181333341</v>
      </c>
      <c r="E25" s="61">
        <f>BR8</f>
        <v>21.832271957333337</v>
      </c>
      <c r="F25" s="61">
        <f>BR9</f>
        <v>23.541347398000006</v>
      </c>
      <c r="G25" s="61">
        <f>BR10</f>
        <v>9.4374227520000016</v>
      </c>
      <c r="H25" s="61">
        <f>BR11</f>
        <v>11.78953230066667</v>
      </c>
      <c r="I25" s="61">
        <f>BR12</f>
        <v>0</v>
      </c>
      <c r="J25" s="63"/>
      <c r="K25" s="76">
        <f>'Conduite Trp'!C7</f>
        <v>104.69999999999999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1.6870378186666528</v>
      </c>
      <c r="E27" s="93">
        <f t="shared" si="23"/>
        <v>0.39772804266666384</v>
      </c>
      <c r="F27" s="93">
        <f t="shared" si="23"/>
        <v>0.65965260199999065</v>
      </c>
      <c r="G27" s="93">
        <f t="shared" si="23"/>
        <v>2.4725772479999986</v>
      </c>
      <c r="H27" s="93">
        <f t="shared" si="23"/>
        <v>2.1944676993333303</v>
      </c>
      <c r="I27" s="93">
        <f t="shared" si="23"/>
        <v>0</v>
      </c>
      <c r="J27" s="63"/>
      <c r="K27" s="93">
        <f>K24-K25</f>
        <v>-25.86999999999999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32.129999999999995</v>
      </c>
      <c r="AF27" s="75">
        <f t="shared" ref="AF27:AJ27" si="24">SUM(AF7:AF26)</f>
        <v>21.42</v>
      </c>
      <c r="AG27" s="75">
        <f t="shared" si="24"/>
        <v>22.83</v>
      </c>
      <c r="AH27" s="75">
        <f t="shared" si="24"/>
        <v>11.025</v>
      </c>
      <c r="AI27" s="75">
        <f t="shared" si="24"/>
        <v>12.795</v>
      </c>
      <c r="AJ27" s="75">
        <f t="shared" si="24"/>
        <v>0</v>
      </c>
      <c r="AK27"/>
      <c r="AL27" s="75">
        <f>SUM(AL7:AL26)</f>
        <v>73.83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0.13936000000000001</v>
      </c>
      <c r="AZ27" s="61">
        <f t="shared" si="25"/>
        <v>0.13936000000000001</v>
      </c>
      <c r="BA27" s="61">
        <f t="shared" si="25"/>
        <v>0.14400533333333335</v>
      </c>
      <c r="BB27" s="61">
        <f t="shared" si="25"/>
        <v>0.14400533333333335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0.56673066666666672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1.27</v>
      </c>
      <c r="P29">
        <v>1</v>
      </c>
      <c r="Q29" s="275">
        <v>266</v>
      </c>
      <c r="R29" s="275">
        <v>0.27</v>
      </c>
      <c r="S29" s="277" t="str">
        <f>VLOOKUP($Q29,[1]MEP!$A$5:$D$300,3)</f>
        <v>PP EXCELLENTE PATUREE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3.3</v>
      </c>
      <c r="W29" s="76">
        <f>VLOOKUP($Q29,[1]MEP!$A$4:$K$300,6)</f>
        <v>3</v>
      </c>
      <c r="X29" s="76">
        <f>VLOOKUP($Q29,[1]MEP!$A$4:$K$300,7)</f>
        <v>2.2999999999999998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0.89100000000000001</v>
      </c>
      <c r="AF29" s="61">
        <f t="shared" ref="AF29:AF48" si="29">$R29*W29</f>
        <v>0.81</v>
      </c>
      <c r="AG29" s="61">
        <f t="shared" ref="AG29:AG48" si="30">$R29*X29</f>
        <v>0.621</v>
      </c>
      <c r="AH29" s="61">
        <f t="shared" ref="AH29:AH48" si="31">$R29*Y29</f>
        <v>0.13500000000000001</v>
      </c>
      <c r="AI29" s="61">
        <f t="shared" ref="AI29:AI48" si="32">$R29*Z29</f>
        <v>0.189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0.32227000000000006</v>
      </c>
      <c r="BN29" s="61">
        <f t="shared" si="35"/>
        <v>0.32227000000000006</v>
      </c>
      <c r="BO29" s="61">
        <f t="shared" si="35"/>
        <v>0</v>
      </c>
      <c r="BP29" s="61">
        <f t="shared" si="35"/>
        <v>0</v>
      </c>
      <c r="BR29" s="61">
        <f t="shared" si="27"/>
        <v>0.64454000000000011</v>
      </c>
    </row>
    <row r="30" spans="2:72" ht="15" customHeight="1" x14ac:dyDescent="0.25">
      <c r="N30" s="17" t="s">
        <v>89</v>
      </c>
      <c r="O30" s="42">
        <f>SUM(R29:R48)</f>
        <v>1.27</v>
      </c>
      <c r="P30">
        <v>2</v>
      </c>
      <c r="Q30" s="275">
        <v>245</v>
      </c>
      <c r="R30" s="275">
        <v>1</v>
      </c>
      <c r="S30" s="277" t="str">
        <f>VLOOKUP($Q30,[1]MEP!$A$5:$D$300,3)</f>
        <v>PP bonne 2 coupes SANS  P printemps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</v>
      </c>
      <c r="AA30" s="76">
        <f>VLOOKUP($Q30,[1]MEP!$A$4:$K$300,10)</f>
        <v>0</v>
      </c>
      <c r="AC30" s="76">
        <f>VLOOKUP($Q30,[1]MEP!$A$4:$K$300,11)</f>
        <v>5</v>
      </c>
      <c r="AE30" s="61">
        <f t="shared" si="28"/>
        <v>0</v>
      </c>
      <c r="AF30" s="61">
        <f t="shared" si="29"/>
        <v>0</v>
      </c>
      <c r="AG30" s="61">
        <f t="shared" si="30"/>
        <v>0.75</v>
      </c>
      <c r="AH30" s="61">
        <f t="shared" si="31"/>
        <v>0.75</v>
      </c>
      <c r="AI30" s="61">
        <f t="shared" si="32"/>
        <v>1</v>
      </c>
      <c r="AJ30" s="61">
        <f t="shared" si="33"/>
        <v>0</v>
      </c>
      <c r="AK30"/>
      <c r="AL30" s="61">
        <f t="shared" si="34"/>
        <v>5</v>
      </c>
      <c r="AR30" s="70">
        <v>4</v>
      </c>
      <c r="AS30" s="61">
        <f>IF(AS$4=4,AS$16,0)</f>
        <v>0.14400533333333335</v>
      </c>
      <c r="AT30" s="61">
        <f t="shared" ref="AT30:BP30" si="36">IF(AT$4=4,AT$16,0)</f>
        <v>0.14400533333333335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0.33301233333333335</v>
      </c>
      <c r="BP30" s="61">
        <f t="shared" si="36"/>
        <v>0.33301233333333335</v>
      </c>
      <c r="BR30" s="61">
        <f t="shared" si="27"/>
        <v>0.95403533333333346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0.13006933333333334</v>
      </c>
      <c r="AV31" s="61">
        <f t="shared" si="37"/>
        <v>0.13006933333333334</v>
      </c>
      <c r="AW31" s="61">
        <f t="shared" si="37"/>
        <v>0.14400533333333335</v>
      </c>
      <c r="AX31" s="61">
        <f t="shared" si="37"/>
        <v>0.14400533333333335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0.54814933333333338</v>
      </c>
    </row>
    <row r="32" spans="2:72" x14ac:dyDescent="0.25">
      <c r="D32" s="68" t="s">
        <v>268</v>
      </c>
      <c r="E32" s="68" t="s">
        <v>18</v>
      </c>
      <c r="F32" s="294" t="s">
        <v>277</v>
      </c>
      <c r="G32" s="294"/>
      <c r="H32" s="82"/>
      <c r="I32" s="68" t="s">
        <v>281</v>
      </c>
      <c r="J32" s="82" t="s">
        <v>281</v>
      </c>
      <c r="K32" s="294" t="s">
        <v>279</v>
      </c>
      <c r="L32" s="294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4"/>
      <c r="AP36" s="164"/>
      <c r="AQ36" s="164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4"/>
      <c r="AP40" s="164"/>
      <c r="AQ40" s="164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0.89100000000000001</v>
      </c>
      <c r="AF49" s="75">
        <f t="shared" ref="AF49" si="50">SUM(AF29:AF48)</f>
        <v>0.81</v>
      </c>
      <c r="AG49" s="75">
        <f t="shared" ref="AG49" si="51">SUM(AG29:AG48)</f>
        <v>1.371</v>
      </c>
      <c r="AH49" s="75">
        <f t="shared" ref="AH49" si="52">SUM(AH29:AH48)</f>
        <v>0.88500000000000001</v>
      </c>
      <c r="AI49" s="75">
        <f t="shared" ref="AI49" si="53">SUM(AI29:AI48)</f>
        <v>1.1890000000000001</v>
      </c>
      <c r="AJ49" s="75">
        <f t="shared" ref="AJ49" si="54">SUM(AJ29:AJ48)</f>
        <v>0</v>
      </c>
      <c r="AK49"/>
      <c r="AL49" s="75">
        <f>SUM(AL29:AL48)</f>
        <v>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10</v>
      </c>
      <c r="P51">
        <v>1</v>
      </c>
      <c r="Q51" s="39">
        <v>47</v>
      </c>
      <c r="R51" s="39">
        <v>10</v>
      </c>
      <c r="S51" s="277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485</v>
      </c>
      <c r="C66" s="165"/>
      <c r="D66" s="165"/>
      <c r="E66" s="165"/>
      <c r="F66" s="165"/>
      <c r="G66" s="166" t="s">
        <v>486</v>
      </c>
      <c r="H66" s="166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32.129999999999995</v>
      </c>
      <c r="E72" s="61">
        <f t="shared" ref="E72:H72" si="69">AF27</f>
        <v>21.42</v>
      </c>
      <c r="F72" s="61">
        <f t="shared" si="69"/>
        <v>22.83</v>
      </c>
      <c r="G72" s="61">
        <f t="shared" si="69"/>
        <v>11.025</v>
      </c>
      <c r="H72" s="61">
        <f t="shared" si="69"/>
        <v>12.795</v>
      </c>
      <c r="I72" s="61">
        <f t="shared" ref="I72" si="70">AJ75+AJ97+AJ119</f>
        <v>0</v>
      </c>
      <c r="J72" s="63"/>
      <c r="K72" s="61">
        <f>+K24</f>
        <v>78.83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30.767231514666669</v>
      </c>
      <c r="E73" s="61">
        <f>BR20</f>
        <v>21.832271957333337</v>
      </c>
      <c r="F73" s="61">
        <f>BR21</f>
        <v>22.896807398000007</v>
      </c>
      <c r="G73" s="61">
        <f>BR22</f>
        <v>8.483387418666668</v>
      </c>
      <c r="H73" s="61">
        <f>BR23</f>
        <v>11.241382967333337</v>
      </c>
      <c r="I73" s="61">
        <f>BR60</f>
        <v>0</v>
      </c>
      <c r="J73" s="63"/>
      <c r="K73" s="76">
        <f>+K25</f>
        <v>104.69999999999999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1.3627684853333264</v>
      </c>
      <c r="E75" s="93">
        <f t="shared" ref="E75:I75" si="71">E72-E73</f>
        <v>-0.41227195733333488</v>
      </c>
      <c r="F75" s="93">
        <f t="shared" si="71"/>
        <v>-6.6807398000008789E-2</v>
      </c>
      <c r="G75" s="93">
        <f t="shared" si="71"/>
        <v>2.5416125813333323</v>
      </c>
      <c r="H75" s="93">
        <f t="shared" si="71"/>
        <v>1.5536170326666632</v>
      </c>
      <c r="I75" s="93">
        <f t="shared" si="71"/>
        <v>0</v>
      </c>
      <c r="J75" s="63"/>
      <c r="K75" s="93">
        <f>+K27</f>
        <v>-25.86999999999999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0.89100000000000001</v>
      </c>
      <c r="E82" s="61">
        <f t="shared" ref="E82:H82" si="72">AF49</f>
        <v>0.81</v>
      </c>
      <c r="F82" s="61">
        <f t="shared" si="72"/>
        <v>1.371</v>
      </c>
      <c r="G82" s="61">
        <f t="shared" si="72"/>
        <v>0.88500000000000001</v>
      </c>
      <c r="H82" s="61">
        <f t="shared" si="72"/>
        <v>1.1890000000000001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0.56673066666666672</v>
      </c>
      <c r="E83" s="61">
        <f>BR28</f>
        <v>0</v>
      </c>
      <c r="F83" s="61">
        <f>BR29</f>
        <v>0.64454000000000011</v>
      </c>
      <c r="G83" s="61">
        <f>BR30</f>
        <v>0.95403533333333346</v>
      </c>
      <c r="H83" s="61">
        <f>BR31</f>
        <v>0.54814933333333338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0.3242693333333333</v>
      </c>
      <c r="E85" s="93">
        <f t="shared" ref="E85:H85" si="73">E82-E83</f>
        <v>0.81</v>
      </c>
      <c r="F85" s="93">
        <f t="shared" si="73"/>
        <v>0.72645999999999988</v>
      </c>
      <c r="G85" s="93">
        <f t="shared" si="73"/>
        <v>-6.9035333333333448E-2</v>
      </c>
      <c r="H85" s="93">
        <f t="shared" si="73"/>
        <v>0.64085066666666668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1"/>
  <sheetViews>
    <sheetView topLeftCell="D12" workbookViewId="0">
      <selection activeCell="J43" sqref="J43"/>
    </sheetView>
  </sheetViews>
  <sheetFormatPr baseColWidth="10" defaultRowHeight="15" x14ac:dyDescent="0.25"/>
  <cols>
    <col min="1" max="1" width="21" bestFit="1" customWidth="1"/>
    <col min="2" max="2" width="23.85546875" customWidth="1"/>
    <col min="3" max="3" width="26.140625" customWidth="1"/>
    <col min="4" max="4" width="17.42578125" customWidth="1"/>
    <col min="5" max="5" width="26.140625" bestFit="1" customWidth="1"/>
    <col min="6" max="6" width="17.42578125" bestFit="1" customWidth="1"/>
    <col min="7" max="7" width="21" customWidth="1"/>
    <col min="8" max="8" width="23.85546875" bestFit="1" customWidth="1"/>
    <col min="9" max="9" width="7.140625" customWidth="1"/>
    <col min="10" max="10" width="6.28515625" customWidth="1"/>
    <col min="11" max="11" width="12.5703125" bestFit="1" customWidth="1"/>
  </cols>
  <sheetData>
    <row r="3" spans="1:17" x14ac:dyDescent="0.25">
      <c r="B3" s="281" t="s">
        <v>1443</v>
      </c>
    </row>
    <row r="4" spans="1:17" x14ac:dyDescent="0.25">
      <c r="B4" t="s">
        <v>484</v>
      </c>
      <c r="D4" t="s">
        <v>448</v>
      </c>
      <c r="F4" t="s">
        <v>1440</v>
      </c>
      <c r="H4" t="s">
        <v>1444</v>
      </c>
      <c r="I4" t="s">
        <v>1445</v>
      </c>
      <c r="L4" t="s">
        <v>219</v>
      </c>
      <c r="N4" t="s">
        <v>218</v>
      </c>
    </row>
    <row r="5" spans="1:17" x14ac:dyDescent="0.25">
      <c r="A5" s="281" t="s">
        <v>1439</v>
      </c>
      <c r="B5" t="s">
        <v>1442</v>
      </c>
      <c r="C5" t="s">
        <v>1446</v>
      </c>
      <c r="D5" t="s">
        <v>1442</v>
      </c>
      <c r="E5" t="s">
        <v>1446</v>
      </c>
      <c r="F5" t="s">
        <v>1442</v>
      </c>
      <c r="G5" t="s">
        <v>1446</v>
      </c>
      <c r="K5" t="s">
        <v>76</v>
      </c>
      <c r="L5" t="s">
        <v>1447</v>
      </c>
      <c r="M5" t="s">
        <v>1448</v>
      </c>
      <c r="N5" t="s">
        <v>1447</v>
      </c>
      <c r="O5" t="s">
        <v>1448</v>
      </c>
    </row>
    <row r="6" spans="1:17" x14ac:dyDescent="0.25">
      <c r="A6" s="15">
        <v>58</v>
      </c>
      <c r="B6" s="282"/>
      <c r="C6" s="282"/>
      <c r="D6" s="282">
        <v>1</v>
      </c>
      <c r="E6" s="282">
        <v>1</v>
      </c>
      <c r="F6" s="282"/>
      <c r="G6" s="282"/>
      <c r="H6" s="282">
        <v>1</v>
      </c>
      <c r="I6" s="282">
        <v>1</v>
      </c>
      <c r="K6" s="15">
        <v>58</v>
      </c>
      <c r="L6" s="282"/>
      <c r="M6" s="282"/>
      <c r="N6" s="282">
        <v>1</v>
      </c>
      <c r="O6" s="282">
        <v>1</v>
      </c>
      <c r="P6" s="282"/>
    </row>
    <row r="7" spans="1:17" x14ac:dyDescent="0.25">
      <c r="A7" s="15">
        <v>239</v>
      </c>
      <c r="B7" s="282">
        <v>0.27</v>
      </c>
      <c r="C7" s="282">
        <v>1</v>
      </c>
      <c r="D7" s="282">
        <v>8.5</v>
      </c>
      <c r="E7" s="282">
        <v>1</v>
      </c>
      <c r="F7" s="282"/>
      <c r="G7" s="282"/>
      <c r="H7" s="282">
        <v>8.77</v>
      </c>
      <c r="I7" s="282">
        <v>2</v>
      </c>
      <c r="K7" s="15">
        <v>239</v>
      </c>
      <c r="L7" s="282">
        <v>0.27</v>
      </c>
      <c r="M7" s="282">
        <v>1</v>
      </c>
      <c r="N7" s="282">
        <v>8.5</v>
      </c>
      <c r="O7" s="282">
        <v>1</v>
      </c>
      <c r="P7" s="282"/>
    </row>
    <row r="8" spans="1:17" x14ac:dyDescent="0.25">
      <c r="A8" s="15">
        <v>245</v>
      </c>
      <c r="B8" s="282">
        <v>1.5</v>
      </c>
      <c r="C8" s="282">
        <v>2</v>
      </c>
      <c r="D8" s="282">
        <v>3.85</v>
      </c>
      <c r="E8" s="282">
        <v>2</v>
      </c>
      <c r="F8" s="282"/>
      <c r="G8" s="282"/>
      <c r="H8" s="282">
        <v>5.35</v>
      </c>
      <c r="I8" s="282">
        <v>4</v>
      </c>
      <c r="K8" s="15">
        <v>245</v>
      </c>
      <c r="L8" s="282">
        <v>1.5</v>
      </c>
      <c r="M8" s="282">
        <v>2</v>
      </c>
      <c r="N8" s="282">
        <v>3.85</v>
      </c>
      <c r="O8" s="282">
        <v>2</v>
      </c>
      <c r="P8" s="282"/>
    </row>
    <row r="9" spans="1:17" x14ac:dyDescent="0.25">
      <c r="A9" s="15">
        <v>253</v>
      </c>
      <c r="B9" s="282"/>
      <c r="C9" s="282"/>
      <c r="D9" s="282">
        <v>3.4999999999999996</v>
      </c>
      <c r="E9" s="282">
        <v>3</v>
      </c>
      <c r="F9" s="282"/>
      <c r="G9" s="282"/>
      <c r="H9" s="282">
        <v>3.4999999999999996</v>
      </c>
      <c r="I9" s="282">
        <v>3</v>
      </c>
      <c r="K9" s="15">
        <v>253</v>
      </c>
      <c r="L9" s="282"/>
      <c r="M9" s="282"/>
      <c r="N9" s="282">
        <v>3.5</v>
      </c>
      <c r="O9" s="282">
        <v>3</v>
      </c>
      <c r="P9" s="282"/>
    </row>
    <row r="10" spans="1:17" x14ac:dyDescent="0.25">
      <c r="A10" s="15" t="s">
        <v>1440</v>
      </c>
      <c r="B10" s="282"/>
      <c r="C10" s="282"/>
      <c r="D10" s="282"/>
      <c r="E10" s="282"/>
      <c r="F10" s="282">
        <v>18.62</v>
      </c>
      <c r="G10" s="282">
        <v>53</v>
      </c>
      <c r="H10" s="282">
        <v>18.62</v>
      </c>
      <c r="I10" s="282">
        <v>53</v>
      </c>
      <c r="K10" t="s">
        <v>13</v>
      </c>
      <c r="L10">
        <f>SUM(L6:L9)</f>
        <v>1.77</v>
      </c>
      <c r="M10">
        <f t="shared" ref="M10:O10" si="0">SUM(M6:M9)</f>
        <v>3</v>
      </c>
      <c r="N10">
        <f t="shared" si="0"/>
        <v>16.850000000000001</v>
      </c>
      <c r="O10">
        <f t="shared" si="0"/>
        <v>7</v>
      </c>
    </row>
    <row r="11" spans="1:17" x14ac:dyDescent="0.25">
      <c r="A11" s="15" t="s">
        <v>1441</v>
      </c>
      <c r="B11" s="282">
        <v>1.77</v>
      </c>
      <c r="C11" s="282">
        <v>3</v>
      </c>
      <c r="D11" s="282">
        <v>16.849999999999998</v>
      </c>
      <c r="E11" s="282">
        <v>7</v>
      </c>
      <c r="F11" s="282">
        <v>18.62</v>
      </c>
      <c r="G11" s="282">
        <v>53</v>
      </c>
      <c r="H11" s="282">
        <v>37.239999999999995</v>
      </c>
      <c r="I11" s="282">
        <v>63</v>
      </c>
    </row>
    <row r="14" spans="1:17" x14ac:dyDescent="0.25">
      <c r="P14" t="s">
        <v>1447</v>
      </c>
      <c r="Q14" t="s">
        <v>1448</v>
      </c>
    </row>
    <row r="17" spans="7:14" x14ac:dyDescent="0.25">
      <c r="G17" s="281" t="s">
        <v>1442</v>
      </c>
      <c r="H17" s="281" t="s">
        <v>1443</v>
      </c>
    </row>
    <row r="18" spans="7:14" x14ac:dyDescent="0.25">
      <c r="G18" s="281" t="s">
        <v>1439</v>
      </c>
      <c r="H18" t="s">
        <v>484</v>
      </c>
      <c r="I18" t="s">
        <v>448</v>
      </c>
      <c r="J18" t="s">
        <v>1440</v>
      </c>
      <c r="K18" t="s">
        <v>1441</v>
      </c>
      <c r="M18" t="s">
        <v>1449</v>
      </c>
    </row>
    <row r="19" spans="7:14" x14ac:dyDescent="0.25">
      <c r="G19" s="15">
        <v>245</v>
      </c>
      <c r="H19" s="282">
        <v>2</v>
      </c>
      <c r="I19" s="282"/>
      <c r="J19" s="282"/>
      <c r="K19" s="282">
        <v>2</v>
      </c>
      <c r="L19" s="282">
        <v>245</v>
      </c>
      <c r="M19" s="282">
        <v>2</v>
      </c>
      <c r="N19">
        <f>GETPIVOTDATA("surface",$G$17,"MEP",L19)-M19</f>
        <v>0</v>
      </c>
    </row>
    <row r="20" spans="7:14" x14ac:dyDescent="0.25">
      <c r="G20" s="15">
        <v>264</v>
      </c>
      <c r="H20" s="282"/>
      <c r="I20" s="282">
        <v>9.85</v>
      </c>
      <c r="J20" s="282"/>
      <c r="K20" s="282">
        <v>9.85</v>
      </c>
      <c r="L20" s="282">
        <v>264</v>
      </c>
      <c r="M20" s="282">
        <v>9.85</v>
      </c>
      <c r="N20">
        <f t="shared" ref="N20:N23" si="1">GETPIVOTDATA("surface",$G$17,"MEP",L20)-M20</f>
        <v>0</v>
      </c>
    </row>
    <row r="21" spans="7:14" x14ac:dyDescent="0.25">
      <c r="G21" s="15">
        <v>266</v>
      </c>
      <c r="H21" s="282">
        <v>0.27</v>
      </c>
      <c r="I21" s="282">
        <v>3.5</v>
      </c>
      <c r="J21" s="282"/>
      <c r="K21" s="282">
        <v>3.77</v>
      </c>
      <c r="L21" s="282">
        <v>266</v>
      </c>
      <c r="M21">
        <f>0.27+3.5</f>
        <v>3.77</v>
      </c>
      <c r="N21">
        <f t="shared" si="1"/>
        <v>0</v>
      </c>
    </row>
    <row r="22" spans="7:14" x14ac:dyDescent="0.25">
      <c r="G22" s="15" t="s">
        <v>1440</v>
      </c>
      <c r="H22" s="282"/>
      <c r="I22" s="282"/>
      <c r="J22" s="282"/>
      <c r="K22" s="282"/>
    </row>
    <row r="23" spans="7:14" x14ac:dyDescent="0.25">
      <c r="G23" s="15">
        <v>265</v>
      </c>
      <c r="H23" s="282"/>
      <c r="I23" s="282">
        <v>3.4999999999999996</v>
      </c>
      <c r="J23" s="282"/>
      <c r="K23" s="282">
        <v>3.4999999999999996</v>
      </c>
      <c r="L23" s="282">
        <v>265</v>
      </c>
      <c r="M23" s="282">
        <v>3.5</v>
      </c>
      <c r="N23">
        <f t="shared" si="1"/>
        <v>0</v>
      </c>
    </row>
    <row r="24" spans="7:14" x14ac:dyDescent="0.25">
      <c r="G24" s="15" t="s">
        <v>1441</v>
      </c>
      <c r="H24" s="282">
        <v>2.27</v>
      </c>
      <c r="I24" s="282">
        <v>16.849999999999998</v>
      </c>
      <c r="J24" s="282"/>
      <c r="K24" s="282">
        <v>19.119999999999997</v>
      </c>
    </row>
    <row r="30" spans="7:14" x14ac:dyDescent="0.25">
      <c r="G30" s="281" t="s">
        <v>1442</v>
      </c>
      <c r="H30" s="281" t="s">
        <v>1443</v>
      </c>
    </row>
    <row r="31" spans="7:14" x14ac:dyDescent="0.25">
      <c r="G31" s="281" t="s">
        <v>1439</v>
      </c>
      <c r="H31" t="s">
        <v>484</v>
      </c>
      <c r="I31" t="s">
        <v>448</v>
      </c>
      <c r="J31" t="s">
        <v>1440</v>
      </c>
      <c r="K31" t="s">
        <v>1441</v>
      </c>
    </row>
    <row r="32" spans="7:14" x14ac:dyDescent="0.25">
      <c r="G32" s="15">
        <v>245</v>
      </c>
      <c r="H32" s="282">
        <v>1</v>
      </c>
      <c r="I32" s="282"/>
      <c r="J32" s="282"/>
      <c r="K32" s="282">
        <v>1</v>
      </c>
    </row>
    <row r="33" spans="7:11" x14ac:dyDescent="0.25">
      <c r="G33" s="15">
        <v>264</v>
      </c>
      <c r="H33" s="282"/>
      <c r="I33" s="282">
        <v>2.85</v>
      </c>
      <c r="J33" s="282"/>
      <c r="K33" s="282">
        <v>2.85</v>
      </c>
    </row>
    <row r="34" spans="7:11" x14ac:dyDescent="0.25">
      <c r="G34" s="15">
        <v>265</v>
      </c>
      <c r="H34" s="282"/>
      <c r="I34" s="282">
        <v>3.9999999999999996</v>
      </c>
      <c r="J34" s="282"/>
      <c r="K34" s="282">
        <v>3.9999999999999996</v>
      </c>
    </row>
    <row r="35" spans="7:11" x14ac:dyDescent="0.25">
      <c r="G35" s="15">
        <v>266</v>
      </c>
      <c r="H35" s="282">
        <v>0.27</v>
      </c>
      <c r="I35" s="282">
        <v>5</v>
      </c>
      <c r="J35" s="282"/>
      <c r="K35" s="282">
        <v>5.27</v>
      </c>
    </row>
    <row r="36" spans="7:11" x14ac:dyDescent="0.25">
      <c r="G36" s="15" t="s">
        <v>1451</v>
      </c>
      <c r="H36" s="282">
        <v>10</v>
      </c>
      <c r="I36" s="282"/>
      <c r="J36" s="282"/>
      <c r="K36" s="282">
        <v>10</v>
      </c>
    </row>
    <row r="37" spans="7:11" x14ac:dyDescent="0.25">
      <c r="G37" s="15" t="s">
        <v>1450</v>
      </c>
      <c r="H37" s="282">
        <v>6</v>
      </c>
      <c r="I37" s="282"/>
      <c r="J37" s="282"/>
      <c r="K37" s="282">
        <v>6</v>
      </c>
    </row>
    <row r="38" spans="7:11" x14ac:dyDescent="0.25">
      <c r="G38" s="15" t="s">
        <v>1440</v>
      </c>
      <c r="H38" s="282"/>
      <c r="I38" s="282"/>
      <c r="J38" s="282"/>
      <c r="K38" s="282"/>
    </row>
    <row r="39" spans="7:11" x14ac:dyDescent="0.25">
      <c r="G39" s="15">
        <v>276</v>
      </c>
      <c r="H39" s="282"/>
      <c r="I39" s="282">
        <v>3</v>
      </c>
      <c r="J39" s="282"/>
      <c r="K39" s="282">
        <v>3</v>
      </c>
    </row>
    <row r="40" spans="7:11" x14ac:dyDescent="0.25">
      <c r="G40" s="15">
        <v>289</v>
      </c>
      <c r="H40" s="282"/>
      <c r="I40" s="282">
        <v>3</v>
      </c>
      <c r="J40" s="282"/>
      <c r="K40" s="282">
        <v>3</v>
      </c>
    </row>
    <row r="41" spans="7:11" x14ac:dyDescent="0.25">
      <c r="G41" s="15" t="s">
        <v>1441</v>
      </c>
      <c r="H41" s="282">
        <v>17.27</v>
      </c>
      <c r="I41" s="282">
        <v>17.850000000000001</v>
      </c>
      <c r="J41" s="282"/>
      <c r="K41" s="282">
        <v>35.119999999999997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N2" sqref="N2:P22"/>
    </sheetView>
  </sheetViews>
  <sheetFormatPr baseColWidth="10" defaultRowHeight="15" x14ac:dyDescent="0.25"/>
  <cols>
    <col min="5" max="5" width="21.5703125" customWidth="1"/>
    <col min="6" max="6" width="14.140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279" t="s">
        <v>448</v>
      </c>
      <c r="E2" s="9">
        <v>2</v>
      </c>
      <c r="F2" s="291">
        <v>264</v>
      </c>
      <c r="G2" s="291">
        <v>2.85</v>
      </c>
      <c r="H2" s="9">
        <v>3</v>
      </c>
      <c r="I2" s="9">
        <v>1</v>
      </c>
      <c r="J2" s="8">
        <f>IF(B2=2,0,IF(H2=$X$10,G2*$AA$10,IF(H2=$X$11,G2*$AA$11,IF(H2=$X$12,G2*$AA$12,""))))</f>
        <v>3.1350000000000002</v>
      </c>
      <c r="K2" s="8">
        <f t="shared" ref="K2:K37" si="0">IF(I2=$X$5,J2*$Z$5,IF(I2=$X$6,J2*$Z$6,IF(I2=$X$7,J2*$Z$7,"")))</f>
        <v>3.762</v>
      </c>
      <c r="L2" s="10">
        <f>IF(H2=$X$10,SQRT(K2*10000),SQRT(Parcellaire!K2*10000)/$AB$11)</f>
        <v>137.14955340794953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685.74776703974771</v>
      </c>
      <c r="T2" s="10">
        <f>IF(C2=2,P2*L2,0)</f>
        <v>274.29910681589905</v>
      </c>
      <c r="U2" s="27">
        <f>N2*L2</f>
        <v>822.89732044769721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279" t="s">
        <v>448</v>
      </c>
      <c r="E3" s="9">
        <v>2</v>
      </c>
      <c r="F3" s="291">
        <v>265</v>
      </c>
      <c r="G3" s="291">
        <v>1</v>
      </c>
      <c r="H3" s="9">
        <v>3</v>
      </c>
      <c r="I3" s="9">
        <v>1</v>
      </c>
      <c r="J3" s="8">
        <f t="shared" ref="J3:J22" si="1">IF(B3=2,0,IF(H3=$X$10,G3*$AA$10,IF(H3=$X$11,G3*$AA$11,IF(H3=$X$12,G3*$AA$12,""))))</f>
        <v>1.1000000000000001</v>
      </c>
      <c r="K3" s="8">
        <f t="shared" ref="K3:K22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22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406.201920231798</v>
      </c>
      <c r="T3" s="10">
        <f t="shared" ref="T3:T37" si="7">IF(C3=2,P3*L3,0)</f>
        <v>162.48076809271919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/>
      <c r="D4" s="9" t="s">
        <v>448</v>
      </c>
      <c r="E4" s="9"/>
      <c r="F4" s="291">
        <v>266</v>
      </c>
      <c r="G4" s="291">
        <v>1.5</v>
      </c>
      <c r="H4" s="9">
        <v>3</v>
      </c>
      <c r="I4" s="9">
        <v>0.5</v>
      </c>
      <c r="J4" s="8">
        <f t="shared" si="1"/>
        <v>1.6500000000000001</v>
      </c>
      <c r="K4" s="8">
        <f t="shared" si="2"/>
        <v>1.8150000000000004</v>
      </c>
      <c r="L4" s="10">
        <f>IF(H4=$X$10,SQRT(K4*10000),SQRT(Parcellaire!K4*10000)/$AB$11)</f>
        <v>95.262794416288244</v>
      </c>
      <c r="M4" s="10">
        <f t="shared" si="3"/>
        <v>6</v>
      </c>
      <c r="N4" s="24">
        <v>6</v>
      </c>
      <c r="O4" s="26"/>
      <c r="P4" s="155">
        <v>2</v>
      </c>
      <c r="Q4" s="10">
        <f t="shared" si="4"/>
        <v>0</v>
      </c>
      <c r="R4" s="10">
        <f t="shared" si="5"/>
        <v>0</v>
      </c>
      <c r="S4" s="10">
        <f t="shared" si="6"/>
        <v>476.31397208144131</v>
      </c>
      <c r="T4" s="10">
        <f>IF(C4=2,P4*L4,0)</f>
        <v>0</v>
      </c>
      <c r="U4" s="27">
        <f t="shared" si="8"/>
        <v>571.57676649772952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/>
      <c r="D5" s="9" t="s">
        <v>448</v>
      </c>
      <c r="E5" s="9"/>
      <c r="F5" s="291">
        <v>289</v>
      </c>
      <c r="G5" s="291">
        <v>3</v>
      </c>
      <c r="H5" s="9">
        <v>3</v>
      </c>
      <c r="I5" s="9">
        <v>0.5</v>
      </c>
      <c r="J5" s="8">
        <f t="shared" si="1"/>
        <v>3.3000000000000003</v>
      </c>
      <c r="K5" s="8">
        <f t="shared" si="2"/>
        <v>3.6300000000000008</v>
      </c>
      <c r="L5" s="10">
        <f>IF(H5=$X$10,SQRT(K5*10000),SQRT(Parcellaire!K5*10000)/$AB$11)</f>
        <v>134.7219358530748</v>
      </c>
      <c r="M5" s="10">
        <f t="shared" si="3"/>
        <v>6</v>
      </c>
      <c r="N5" s="24">
        <v>6</v>
      </c>
      <c r="O5" s="26"/>
      <c r="P5" s="155">
        <v>4</v>
      </c>
      <c r="Q5" s="10">
        <f t="shared" si="4"/>
        <v>0</v>
      </c>
      <c r="R5" s="10">
        <f t="shared" si="5"/>
        <v>0</v>
      </c>
      <c r="S5" s="10">
        <f t="shared" si="6"/>
        <v>538.88774341229919</v>
      </c>
      <c r="T5" s="10">
        <f t="shared" si="7"/>
        <v>0</v>
      </c>
      <c r="U5" s="27">
        <f t="shared" si="8"/>
        <v>808.33161511844878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/>
      <c r="D6" s="9" t="s">
        <v>448</v>
      </c>
      <c r="E6" s="9"/>
      <c r="F6" s="291">
        <v>276</v>
      </c>
      <c r="G6" s="291">
        <v>2.2000000000000002</v>
      </c>
      <c r="H6" s="9">
        <v>3</v>
      </c>
      <c r="I6" s="9">
        <v>1</v>
      </c>
      <c r="J6" s="8">
        <f t="shared" si="1"/>
        <v>2.4200000000000004</v>
      </c>
      <c r="K6" s="8">
        <f t="shared" si="2"/>
        <v>2.9040000000000004</v>
      </c>
      <c r="L6" s="10">
        <f>IF(H6=$X$10,SQRT(K6*10000),SQRT(Parcellaire!K6*10000)/$AB$11)</f>
        <v>120.49896265113654</v>
      </c>
      <c r="M6" s="10">
        <f t="shared" si="3"/>
        <v>6</v>
      </c>
      <c r="N6" s="24">
        <v>6</v>
      </c>
      <c r="O6" s="26"/>
      <c r="P6" s="155">
        <v>2</v>
      </c>
      <c r="Q6" s="10">
        <f t="shared" si="4"/>
        <v>0</v>
      </c>
      <c r="R6" s="10">
        <f t="shared" si="5"/>
        <v>0</v>
      </c>
      <c r="S6" s="10">
        <f t="shared" si="6"/>
        <v>602.49481325568263</v>
      </c>
      <c r="T6" s="10">
        <f t="shared" si="7"/>
        <v>0</v>
      </c>
      <c r="U6" s="27">
        <f t="shared" si="8"/>
        <v>722.99377590681922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/>
      <c r="C7" s="9"/>
      <c r="D7" s="9"/>
      <c r="E7" s="9"/>
      <c r="F7" s="291"/>
      <c r="G7" s="291"/>
      <c r="H7" s="9"/>
      <c r="I7" s="9"/>
      <c r="J7" s="8" t="str">
        <f t="shared" si="1"/>
        <v/>
      </c>
      <c r="K7" s="8" t="e">
        <f t="shared" si="2"/>
        <v>#VALUE!</v>
      </c>
      <c r="L7" s="10" t="e">
        <f>IF(H7=$X$10,SQRT(K7*10000),SQRT(Parcellaire!K7*10000)/$AB$11)</f>
        <v>#VALUE!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 t="e">
        <f t="shared" si="6"/>
        <v>#VALUE!</v>
      </c>
      <c r="T7" s="10">
        <f t="shared" si="7"/>
        <v>0</v>
      </c>
      <c r="U7" s="27" t="e">
        <f t="shared" si="8"/>
        <v>#VALUE!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279" t="s">
        <v>448</v>
      </c>
      <c r="E8" s="9">
        <v>3</v>
      </c>
      <c r="F8" s="291">
        <v>266</v>
      </c>
      <c r="G8" s="291">
        <v>1</v>
      </c>
      <c r="H8" s="9">
        <v>2</v>
      </c>
      <c r="I8" s="9">
        <v>1</v>
      </c>
      <c r="J8" s="8">
        <f t="shared" si="1"/>
        <v>1</v>
      </c>
      <c r="K8" s="8">
        <f t="shared" si="2"/>
        <v>1.2</v>
      </c>
      <c r="L8" s="10">
        <f>IF(H8=$X$10,SQRT(K8*10000),SQRT(Parcellaire!K8*10000)/$AB$11)</f>
        <v>77.459666924148337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387.29833462074168</v>
      </c>
      <c r="T8" s="10">
        <f t="shared" si="7"/>
        <v>154.91933384829667</v>
      </c>
      <c r="U8" s="27">
        <f t="shared" si="8"/>
        <v>464.75800154489002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280" t="s">
        <v>448</v>
      </c>
      <c r="E9" s="9">
        <v>2</v>
      </c>
      <c r="F9" s="291">
        <v>265</v>
      </c>
      <c r="G9" s="291">
        <v>1.8</v>
      </c>
      <c r="H9" s="9">
        <v>3</v>
      </c>
      <c r="I9" s="9">
        <v>1</v>
      </c>
      <c r="J9" s="8">
        <f t="shared" si="1"/>
        <v>1.9800000000000002</v>
      </c>
      <c r="K9" s="8">
        <f t="shared" si="2"/>
        <v>2.3760000000000003</v>
      </c>
      <c r="L9" s="10">
        <f>IF(H9=$X$10,SQRT(K9*10000),SQRT(Parcellaire!K9*10000)/$AB$11)</f>
        <v>108.9954127475097</v>
      </c>
      <c r="M9" s="10">
        <f t="shared" si="3"/>
        <v>6</v>
      </c>
      <c r="N9" s="24">
        <v>6</v>
      </c>
      <c r="O9" s="26"/>
      <c r="P9" s="155">
        <v>6</v>
      </c>
      <c r="Q9" s="10">
        <f t="shared" si="4"/>
        <v>0</v>
      </c>
      <c r="R9" s="10">
        <f t="shared" si="5"/>
        <v>0</v>
      </c>
      <c r="S9" s="10">
        <f t="shared" si="6"/>
        <v>326.98623824252911</v>
      </c>
      <c r="T9" s="10">
        <f t="shared" si="7"/>
        <v>653.97247648505822</v>
      </c>
      <c r="U9" s="27">
        <f t="shared" si="8"/>
        <v>653.97247648505822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280" t="s">
        <v>448</v>
      </c>
      <c r="E10" s="9">
        <v>2</v>
      </c>
      <c r="F10" s="291">
        <v>265</v>
      </c>
      <c r="G10" s="291">
        <v>0.26</v>
      </c>
      <c r="H10" s="9">
        <v>3</v>
      </c>
      <c r="I10" s="9">
        <v>0</v>
      </c>
      <c r="J10" s="8">
        <f t="shared" si="1"/>
        <v>0.28600000000000003</v>
      </c>
      <c r="K10" s="8">
        <f t="shared" si="2"/>
        <v>0.28600000000000003</v>
      </c>
      <c r="L10" s="10">
        <f>IF(H10=$X$10,SQRT(K10*10000),SQRT(Parcellaire!K10*10000)/$AB$11)</f>
        <v>37.815340802378074</v>
      </c>
      <c r="M10" s="10">
        <f t="shared" si="3"/>
        <v>6</v>
      </c>
      <c r="N10" s="24">
        <v>6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226.89204481426844</v>
      </c>
      <c r="T10" s="10">
        <f t="shared" si="7"/>
        <v>0</v>
      </c>
      <c r="U10" s="27">
        <f t="shared" si="8"/>
        <v>226.89204481426844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291"/>
      <c r="G11" s="291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291"/>
      <c r="G12" s="291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5">
        <v>2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291"/>
      <c r="G13" s="291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6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0</v>
      </c>
      <c r="D14" s="279" t="s">
        <v>448</v>
      </c>
      <c r="E14" s="9">
        <v>2</v>
      </c>
      <c r="F14" s="291">
        <v>276</v>
      </c>
      <c r="G14" s="291">
        <v>0.8</v>
      </c>
      <c r="H14" s="9">
        <v>2</v>
      </c>
      <c r="I14" s="9">
        <v>0.5</v>
      </c>
      <c r="J14" s="8">
        <f t="shared" si="1"/>
        <v>0.8</v>
      </c>
      <c r="K14" s="8">
        <f t="shared" si="2"/>
        <v>0.88000000000000012</v>
      </c>
      <c r="L14" s="10">
        <f>IF(H14=$X$10,SQRT(K14*10000),SQRT(Parcellaire!K14*10000)/$AB$11)</f>
        <v>66.332495807108003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298.49623113198606</v>
      </c>
      <c r="T14" s="10">
        <f t="shared" si="7"/>
        <v>0</v>
      </c>
      <c r="U14" s="27">
        <f t="shared" si="8"/>
        <v>397.99497484264805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280" t="s">
        <v>448</v>
      </c>
      <c r="E15" s="9">
        <v>2</v>
      </c>
      <c r="F15" s="291">
        <v>266</v>
      </c>
      <c r="G15" s="291">
        <v>2.5</v>
      </c>
      <c r="H15" s="9">
        <v>3</v>
      </c>
      <c r="I15" s="9">
        <v>1</v>
      </c>
      <c r="J15" s="8">
        <f t="shared" si="1"/>
        <v>2.75</v>
      </c>
      <c r="K15" s="8">
        <f t="shared" si="2"/>
        <v>3.3</v>
      </c>
      <c r="L15" s="10">
        <f>IF(H15=$X$10,SQRT(K15*10000),SQRT(Parcellaire!K15*10000)/$AB$11)</f>
        <v>128.45232578665127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578.03546603993072</v>
      </c>
      <c r="T15" s="10">
        <f t="shared" si="7"/>
        <v>385.35697735995382</v>
      </c>
      <c r="U15" s="27">
        <f t="shared" si="8"/>
        <v>770.71395471990763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291"/>
      <c r="G16" s="291"/>
      <c r="H16" s="9"/>
      <c r="I16" s="9"/>
      <c r="J16" s="8" t="str">
        <f t="shared" si="1"/>
        <v/>
      </c>
      <c r="K16" s="8" t="e">
        <f t="shared" si="2"/>
        <v>#VALUE!</v>
      </c>
      <c r="L16" s="10" t="e">
        <f>IF(H16=$X$10,SQRT(K16*10000),SQRT(Parcellaire!K16*10000)/$AB$11)</f>
        <v>#VALUE!</v>
      </c>
      <c r="M16" s="10">
        <f t="shared" si="3"/>
        <v>6</v>
      </c>
      <c r="N16" s="24">
        <v>6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279" t="s">
        <v>484</v>
      </c>
      <c r="E17" s="9">
        <v>2</v>
      </c>
      <c r="F17" s="291">
        <v>245</v>
      </c>
      <c r="G17" s="291">
        <v>0.5</v>
      </c>
      <c r="H17" s="9">
        <v>3</v>
      </c>
      <c r="I17" s="9">
        <v>0.5</v>
      </c>
      <c r="J17" s="8">
        <f t="shared" si="1"/>
        <v>0.55000000000000004</v>
      </c>
      <c r="K17" s="8">
        <f t="shared" si="2"/>
        <v>0.60500000000000009</v>
      </c>
      <c r="L17" s="10">
        <f>IF(H17=$X$10,SQRT(K17*10000),SQRT(Parcellaire!K17*10000)/$AB$11)</f>
        <v>55</v>
      </c>
      <c r="M17" s="10">
        <f t="shared" si="3"/>
        <v>6</v>
      </c>
      <c r="N17" s="24">
        <v>6</v>
      </c>
      <c r="O17" s="26"/>
      <c r="P17" s="155">
        <v>6</v>
      </c>
      <c r="Q17" s="10">
        <f t="shared" si="4"/>
        <v>0</v>
      </c>
      <c r="R17" s="10">
        <f t="shared" si="5"/>
        <v>0</v>
      </c>
      <c r="S17" s="10">
        <f t="shared" si="6"/>
        <v>165</v>
      </c>
      <c r="T17" s="10">
        <f t="shared" si="7"/>
        <v>330</v>
      </c>
      <c r="U17" s="27">
        <f t="shared" si="8"/>
        <v>330</v>
      </c>
      <c r="V17" s="3"/>
      <c r="W17" s="3"/>
      <c r="X17" s="8">
        <v>2</v>
      </c>
      <c r="Y17" s="138" t="s">
        <v>336</v>
      </c>
      <c r="Z17" s="136">
        <f>S64</f>
        <v>5361.0868852438689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484</v>
      </c>
      <c r="E18" s="9">
        <v>2</v>
      </c>
      <c r="F18" s="291">
        <v>245</v>
      </c>
      <c r="G18" s="291">
        <v>0.5</v>
      </c>
      <c r="H18" s="9">
        <v>2</v>
      </c>
      <c r="I18" s="9">
        <v>0</v>
      </c>
      <c r="J18" s="8">
        <f t="shared" si="1"/>
        <v>0.5</v>
      </c>
      <c r="K18" s="8">
        <f t="shared" si="2"/>
        <v>0.5</v>
      </c>
      <c r="L18" s="10">
        <f>IF(H18=$X$10,SQRT(K18*10000),SQRT(Parcellaire!K18*10000)/$AB$11)</f>
        <v>50</v>
      </c>
      <c r="M18" s="10">
        <f t="shared" si="3"/>
        <v>6</v>
      </c>
      <c r="N18" s="24">
        <v>6</v>
      </c>
      <c r="O18" s="26"/>
      <c r="P18" s="155">
        <v>4</v>
      </c>
      <c r="Q18" s="10">
        <f t="shared" si="4"/>
        <v>0</v>
      </c>
      <c r="R18" s="10">
        <f t="shared" si="5"/>
        <v>0</v>
      </c>
      <c r="S18" s="10">
        <f t="shared" si="6"/>
        <v>200</v>
      </c>
      <c r="T18" s="10">
        <f t="shared" si="7"/>
        <v>200</v>
      </c>
      <c r="U18" s="27">
        <f t="shared" si="8"/>
        <v>300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279" t="s">
        <v>484</v>
      </c>
      <c r="E19" s="9">
        <v>2</v>
      </c>
      <c r="F19" s="291">
        <v>266</v>
      </c>
      <c r="G19" s="291">
        <v>0.27</v>
      </c>
      <c r="H19" s="9">
        <v>2</v>
      </c>
      <c r="I19" s="9">
        <v>1</v>
      </c>
      <c r="J19" s="8">
        <f t="shared" si="1"/>
        <v>0.27</v>
      </c>
      <c r="K19" s="8">
        <f t="shared" si="2"/>
        <v>0.32400000000000001</v>
      </c>
      <c r="L19" s="10">
        <f>IF(H19=$X$10,SQRT(K19*10000),SQRT(Parcellaire!K19*10000)/$AB$11)</f>
        <v>40.249223594996209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181.12150617748296</v>
      </c>
      <c r="T19" s="10">
        <f t="shared" si="7"/>
        <v>120.74767078498863</v>
      </c>
      <c r="U19" s="27">
        <f t="shared" si="8"/>
        <v>241.49534156997726</v>
      </c>
      <c r="V19" s="3"/>
      <c r="W19" s="3"/>
      <c r="Y19" s="20"/>
      <c r="Z19" s="136">
        <f>Z17+Z18</f>
        <v>5361.0868852438689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280" t="s">
        <v>448</v>
      </c>
      <c r="E20" s="9">
        <v>2</v>
      </c>
      <c r="F20" s="291">
        <v>265</v>
      </c>
      <c r="G20" s="291">
        <v>0.94</v>
      </c>
      <c r="H20" s="9">
        <v>3</v>
      </c>
      <c r="I20" s="9">
        <v>0</v>
      </c>
      <c r="J20" s="8">
        <f t="shared" si="1"/>
        <v>1.034</v>
      </c>
      <c r="K20" s="8">
        <f t="shared" si="2"/>
        <v>1.034</v>
      </c>
      <c r="L20" s="10">
        <f>IF(H20=$X$10,SQRT(K20*10000),SQRT(Parcellaire!K20*10000)/$AB$11)</f>
        <v>71.902712048990182</v>
      </c>
      <c r="M20" s="10">
        <f t="shared" si="3"/>
        <v>6</v>
      </c>
      <c r="N20" s="24">
        <v>6</v>
      </c>
      <c r="O20" s="26"/>
      <c r="P20" s="155">
        <v>4</v>
      </c>
      <c r="Q20" s="10">
        <f t="shared" si="4"/>
        <v>0</v>
      </c>
      <c r="R20" s="10">
        <f t="shared" si="5"/>
        <v>0</v>
      </c>
      <c r="S20" s="10">
        <f t="shared" si="6"/>
        <v>287.61084819596078</v>
      </c>
      <c r="T20" s="10">
        <f t="shared" si="7"/>
        <v>287.61084819596073</v>
      </c>
      <c r="U20" s="27">
        <f t="shared" si="8"/>
        <v>431.41627229394112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291"/>
      <c r="G21" s="291"/>
      <c r="H21" s="9"/>
      <c r="I21" s="9"/>
      <c r="J21" s="8" t="str">
        <f t="shared" si="1"/>
        <v/>
      </c>
      <c r="K21" s="8" t="e">
        <f t="shared" si="2"/>
        <v>#VALUE!</v>
      </c>
      <c r="L21" s="10" t="e">
        <f>IF(H21=$X$10,SQRT(K21*10000),SQRT(Parcellaire!K21*10000)/$AB$11)</f>
        <v>#VALUE!</v>
      </c>
      <c r="M21" s="10">
        <f t="shared" si="3"/>
        <v>6</v>
      </c>
      <c r="N21" s="24">
        <v>6</v>
      </c>
      <c r="O21" s="26"/>
      <c r="P21" s="155">
        <v>4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0</v>
      </c>
      <c r="D22" s="9" t="s">
        <v>484</v>
      </c>
      <c r="E22" s="9"/>
      <c r="F22" s="291">
        <v>46</v>
      </c>
      <c r="G22" s="291">
        <v>10</v>
      </c>
      <c r="H22" s="9">
        <v>2</v>
      </c>
      <c r="I22" s="9">
        <v>1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1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291"/>
      <c r="G23" s="291"/>
      <c r="H23" s="9"/>
      <c r="I23" s="9"/>
      <c r="J23" s="8" t="str">
        <f t="shared" ref="J23:J37" si="9">IF(H23=$X$10,G23*$AA$10,IF(H23=$X$11,G23*$AA$11,IF(H23=$X$12,G23*$AA$12,"")))</f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ref="M23:M37" si="10">IF(H23=1,4,6)</f>
        <v>6</v>
      </c>
      <c r="N23" s="24">
        <v>0</v>
      </c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19.120000000000005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20.774999999999999</v>
      </c>
      <c r="K64" s="135">
        <f>SUMIF(Parcellaire!$B$2:$B$63,1,Parcellaire!K2:K63)</f>
        <v>23.936000000000003</v>
      </c>
      <c r="L64" s="135">
        <f>SUMIF(Parcellaire!$B$2:$B$63,1,Parcellaire!L2:L63)</f>
        <v>1205.0808080865907</v>
      </c>
      <c r="M64" s="135">
        <f>SUMIF(Parcellaire!$B$2:$B$63,1,Parcellaire!M2:M63)</f>
        <v>84</v>
      </c>
      <c r="N64" s="135">
        <f>SUMIF(Parcellaire!$B$2:$B$63,1,Parcellaire!N2:N63)</f>
        <v>84</v>
      </c>
      <c r="O64" s="135">
        <f>SUMIF(Parcellaire!$B$2:$B$63,1,Parcellaire!O2:O63)</f>
        <v>0</v>
      </c>
      <c r="P64" s="135">
        <f>SUMIF(Parcellaire!$B$2:$B$63,1,Parcellaire!P2:P63)</f>
        <v>43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5361.0868852438689</v>
      </c>
      <c r="T64" s="135">
        <f>SUMIF(Parcellaire!$B$2:$B$63,1,Parcellaire!T2:T63)</f>
        <v>2569.3871815828766</v>
      </c>
      <c r="U64" s="135">
        <f>SUMIF(Parcellaire!$B$2:$B$63,1,Parcellaire!U2:U63)</f>
        <v>7230.4848485195425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94" t="s">
        <v>459</v>
      </c>
      <c r="D7" s="294"/>
      <c r="E7" s="294"/>
      <c r="F7" s="294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94" t="s">
        <v>2</v>
      </c>
      <c r="C16" s="294"/>
      <c r="D16" s="294" t="s">
        <v>0</v>
      </c>
      <c r="E16" s="294"/>
      <c r="F16" s="294" t="s">
        <v>1</v>
      </c>
      <c r="G16" s="294"/>
      <c r="H16" s="294" t="s">
        <v>3</v>
      </c>
      <c r="I16" s="294"/>
      <c r="J16" s="294" t="s">
        <v>4</v>
      </c>
      <c r="K16" s="294"/>
      <c r="L16" s="294" t="s">
        <v>5</v>
      </c>
      <c r="M16" s="294"/>
      <c r="N16" s="294" t="s">
        <v>6</v>
      </c>
      <c r="O16" s="294"/>
      <c r="P16" s="294" t="s">
        <v>7</v>
      </c>
      <c r="Q16" s="294"/>
      <c r="R16" s="294" t="s">
        <v>8</v>
      </c>
      <c r="S16" s="294"/>
      <c r="T16" s="294" t="s">
        <v>9</v>
      </c>
      <c r="U16" s="294"/>
      <c r="V16" s="294" t="s">
        <v>10</v>
      </c>
      <c r="W16" s="294"/>
      <c r="X16" s="294" t="s">
        <v>11</v>
      </c>
      <c r="Y16" s="294"/>
    </row>
    <row r="17" spans="1:25" x14ac:dyDescent="0.25">
      <c r="B17" s="163">
        <v>1</v>
      </c>
      <c r="C17" s="163">
        <v>2</v>
      </c>
      <c r="D17" s="163">
        <v>3</v>
      </c>
      <c r="E17" s="163">
        <v>4</v>
      </c>
      <c r="F17" s="163">
        <v>5</v>
      </c>
      <c r="G17" s="163">
        <v>6</v>
      </c>
      <c r="H17" s="163">
        <v>7</v>
      </c>
      <c r="I17" s="163">
        <v>8</v>
      </c>
      <c r="J17" s="163">
        <v>9</v>
      </c>
      <c r="K17" s="163">
        <v>10</v>
      </c>
      <c r="L17" s="163">
        <v>11</v>
      </c>
      <c r="M17" s="163">
        <v>12</v>
      </c>
      <c r="N17" s="163">
        <v>13</v>
      </c>
      <c r="O17" s="163">
        <v>14</v>
      </c>
      <c r="P17" s="163">
        <v>15</v>
      </c>
      <c r="Q17" s="163">
        <v>16</v>
      </c>
      <c r="R17" s="163">
        <v>17</v>
      </c>
      <c r="S17" s="163">
        <v>18</v>
      </c>
      <c r="T17" s="163">
        <v>19</v>
      </c>
      <c r="U17" s="163">
        <v>20</v>
      </c>
      <c r="V17" s="163">
        <v>21</v>
      </c>
      <c r="W17" s="163">
        <v>22</v>
      </c>
      <c r="X17" s="163">
        <v>23</v>
      </c>
      <c r="Y17" s="163">
        <v>24</v>
      </c>
    </row>
    <row r="18" spans="1:25" x14ac:dyDescent="0.25">
      <c r="A18" t="s">
        <v>176</v>
      </c>
      <c r="B18" s="163">
        <v>15.5</v>
      </c>
      <c r="C18" s="163">
        <v>15.5</v>
      </c>
      <c r="D18" s="163">
        <v>14</v>
      </c>
      <c r="E18" s="163">
        <v>14</v>
      </c>
      <c r="F18" s="163">
        <v>15.5</v>
      </c>
      <c r="G18" s="163">
        <v>15.5</v>
      </c>
      <c r="H18" s="163">
        <v>15</v>
      </c>
      <c r="I18" s="163">
        <v>15</v>
      </c>
      <c r="J18" s="163">
        <v>15.5</v>
      </c>
      <c r="K18" s="163">
        <v>15.5</v>
      </c>
      <c r="L18" s="163">
        <v>15</v>
      </c>
      <c r="M18" s="163">
        <v>15</v>
      </c>
      <c r="N18" s="163">
        <v>15.5</v>
      </c>
      <c r="O18" s="163">
        <v>15.5</v>
      </c>
      <c r="P18" s="163">
        <v>15.5</v>
      </c>
      <c r="Q18" s="163">
        <v>15.5</v>
      </c>
      <c r="R18" s="163">
        <v>15</v>
      </c>
      <c r="S18" s="163">
        <v>15</v>
      </c>
      <c r="T18" s="163">
        <v>15.5</v>
      </c>
      <c r="U18" s="163">
        <v>15.5</v>
      </c>
      <c r="V18" s="163">
        <v>15</v>
      </c>
      <c r="W18" s="163">
        <v>15</v>
      </c>
      <c r="X18" s="163">
        <v>15.5</v>
      </c>
      <c r="Y18" s="163">
        <v>15.5</v>
      </c>
    </row>
    <row r="19" spans="1:25" x14ac:dyDescent="0.25">
      <c r="A19" s="2" t="s">
        <v>328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6"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8" t="s">
        <v>466</v>
      </c>
      <c r="B36" s="158">
        <v>60</v>
      </c>
      <c r="C36" s="158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4" t="s">
        <v>2</v>
      </c>
      <c r="C37" s="294"/>
      <c r="D37" s="294" t="s">
        <v>0</v>
      </c>
      <c r="E37" s="294"/>
      <c r="F37" s="294" t="s">
        <v>1</v>
      </c>
      <c r="G37" s="294"/>
      <c r="H37" s="294" t="s">
        <v>3</v>
      </c>
      <c r="I37" s="294"/>
      <c r="J37" s="294" t="s">
        <v>4</v>
      </c>
      <c r="K37" s="294"/>
      <c r="L37" s="294" t="s">
        <v>5</v>
      </c>
      <c r="M37" s="294"/>
      <c r="N37" s="294" t="s">
        <v>6</v>
      </c>
      <c r="O37" s="294"/>
      <c r="P37" s="294" t="s">
        <v>7</v>
      </c>
      <c r="Q37" s="294"/>
      <c r="R37" s="294" t="s">
        <v>8</v>
      </c>
      <c r="S37" s="294"/>
      <c r="T37" s="294" t="s">
        <v>9</v>
      </c>
      <c r="U37" s="294"/>
      <c r="V37" s="294" t="s">
        <v>10</v>
      </c>
      <c r="W37" s="294"/>
      <c r="X37" s="294" t="s">
        <v>11</v>
      </c>
      <c r="Y37" s="294"/>
    </row>
    <row r="38" spans="1:25" x14ac:dyDescent="0.25">
      <c r="B38" s="157">
        <v>1</v>
      </c>
      <c r="C38" s="157">
        <v>2</v>
      </c>
      <c r="D38" s="157">
        <v>3</v>
      </c>
      <c r="E38" s="157">
        <v>4</v>
      </c>
      <c r="F38" s="157">
        <v>5</v>
      </c>
      <c r="G38" s="157">
        <v>6</v>
      </c>
      <c r="H38" s="157">
        <v>7</v>
      </c>
      <c r="I38" s="157">
        <v>8</v>
      </c>
      <c r="J38" s="157">
        <v>9</v>
      </c>
      <c r="K38" s="157">
        <v>10</v>
      </c>
      <c r="L38" s="157">
        <v>11</v>
      </c>
      <c r="M38" s="157">
        <v>12</v>
      </c>
      <c r="N38" s="157">
        <v>13</v>
      </c>
      <c r="O38" s="157">
        <v>14</v>
      </c>
      <c r="P38" s="157">
        <v>15</v>
      </c>
      <c r="Q38" s="157">
        <v>16</v>
      </c>
      <c r="R38" s="157">
        <v>17</v>
      </c>
      <c r="S38" s="157">
        <v>18</v>
      </c>
      <c r="T38" s="157">
        <v>19</v>
      </c>
      <c r="U38" s="157">
        <v>20</v>
      </c>
      <c r="V38" s="157">
        <v>21</v>
      </c>
      <c r="W38" s="157">
        <v>22</v>
      </c>
      <c r="X38" s="157">
        <v>23</v>
      </c>
      <c r="Y38" s="157">
        <v>24</v>
      </c>
    </row>
    <row r="39" spans="1:25" x14ac:dyDescent="0.25">
      <c r="A39" t="s">
        <v>176</v>
      </c>
      <c r="B39" s="157">
        <v>15.5</v>
      </c>
      <c r="C39" s="157">
        <v>15.5</v>
      </c>
      <c r="D39" s="157">
        <v>14</v>
      </c>
      <c r="E39" s="157">
        <v>14</v>
      </c>
      <c r="F39" s="157">
        <v>15.5</v>
      </c>
      <c r="G39" s="157">
        <v>15.5</v>
      </c>
      <c r="H39" s="157">
        <v>15</v>
      </c>
      <c r="I39" s="157">
        <v>15</v>
      </c>
      <c r="J39" s="157">
        <v>15.5</v>
      </c>
      <c r="K39" s="157">
        <v>15.5</v>
      </c>
      <c r="L39" s="157">
        <v>15</v>
      </c>
      <c r="M39" s="157">
        <v>15</v>
      </c>
      <c r="N39" s="157">
        <v>15.5</v>
      </c>
      <c r="O39" s="157">
        <v>15.5</v>
      </c>
      <c r="P39" s="157">
        <v>15.5</v>
      </c>
      <c r="Q39" s="157">
        <v>15.5</v>
      </c>
      <c r="R39" s="157">
        <v>15</v>
      </c>
      <c r="S39" s="157">
        <v>15</v>
      </c>
      <c r="T39" s="157">
        <v>15.5</v>
      </c>
      <c r="U39" s="157">
        <v>15.5</v>
      </c>
      <c r="V39" s="157">
        <v>15</v>
      </c>
      <c r="W39" s="157">
        <v>15</v>
      </c>
      <c r="X39" s="157">
        <v>15.5</v>
      </c>
      <c r="Y39" s="157">
        <v>15.5</v>
      </c>
    </row>
    <row r="40" spans="1:25" x14ac:dyDescent="0.25">
      <c r="A40" s="2" t="s">
        <v>328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</row>
    <row r="50" spans="1:27" x14ac:dyDescent="0.25">
      <c r="A50" s="44" t="s">
        <v>173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59">
        <f>(B51*$C$36)/$B$36</f>
        <v>15.3</v>
      </c>
      <c r="C56" s="159">
        <f t="shared" ref="C56:Y56" si="0">(C51*$C$36)/$B$36</f>
        <v>14.7</v>
      </c>
      <c r="D56" s="159">
        <f t="shared" si="0"/>
        <v>14.4</v>
      </c>
      <c r="E56" s="159">
        <f t="shared" si="0"/>
        <v>14.1</v>
      </c>
      <c r="F56" s="159">
        <f t="shared" si="0"/>
        <v>14.1</v>
      </c>
      <c r="G56" s="159">
        <f t="shared" si="0"/>
        <v>14.1</v>
      </c>
      <c r="H56" s="159">
        <f t="shared" si="0"/>
        <v>14.1</v>
      </c>
      <c r="I56" s="159">
        <f t="shared" si="0"/>
        <v>14.1</v>
      </c>
      <c r="J56" s="159">
        <f t="shared" si="0"/>
        <v>14.1</v>
      </c>
      <c r="K56" s="159">
        <f t="shared" si="0"/>
        <v>14.1</v>
      </c>
      <c r="L56" s="159">
        <f t="shared" si="0"/>
        <v>13.8</v>
      </c>
      <c r="M56" s="159">
        <f t="shared" si="0"/>
        <v>13.8</v>
      </c>
      <c r="N56" s="159">
        <f t="shared" si="0"/>
        <v>13.8</v>
      </c>
      <c r="O56" s="159">
        <f t="shared" si="0"/>
        <v>13.8</v>
      </c>
      <c r="P56" s="159">
        <f t="shared" si="0"/>
        <v>13.8</v>
      </c>
      <c r="Q56" s="159">
        <f t="shared" si="0"/>
        <v>13.8</v>
      </c>
      <c r="R56" s="159">
        <f t="shared" si="0"/>
        <v>14.4</v>
      </c>
      <c r="S56" s="159">
        <f t="shared" si="0"/>
        <v>14.4</v>
      </c>
      <c r="T56" s="159">
        <f t="shared" si="0"/>
        <v>15.3</v>
      </c>
      <c r="U56" s="159">
        <f t="shared" si="0"/>
        <v>15.3</v>
      </c>
      <c r="V56" s="159">
        <f t="shared" si="0"/>
        <v>16.5</v>
      </c>
      <c r="W56" s="159">
        <f t="shared" si="0"/>
        <v>16.5</v>
      </c>
      <c r="X56" s="159">
        <f t="shared" si="0"/>
        <v>16.2</v>
      </c>
      <c r="Y56" s="159">
        <f t="shared" si="0"/>
        <v>15.9</v>
      </c>
    </row>
    <row r="57" spans="1:27" x14ac:dyDescent="0.25">
      <c r="A57" s="50" t="s">
        <v>471</v>
      </c>
      <c r="B57" s="159">
        <f t="shared" ref="B57:Y59" si="1">(B52*$C$36)/$B$36</f>
        <v>1.8</v>
      </c>
      <c r="C57" s="159">
        <f t="shared" si="1"/>
        <v>1.8</v>
      </c>
      <c r="D57" s="159">
        <f t="shared" si="1"/>
        <v>2.1</v>
      </c>
      <c r="E57" s="159">
        <f t="shared" si="1"/>
        <v>2.4</v>
      </c>
      <c r="F57" s="159">
        <f t="shared" si="1"/>
        <v>2.7</v>
      </c>
      <c r="G57" s="159">
        <f t="shared" si="1"/>
        <v>2.7</v>
      </c>
      <c r="H57" s="159">
        <f t="shared" si="1"/>
        <v>2.4</v>
      </c>
      <c r="I57" s="159">
        <f t="shared" si="1"/>
        <v>2.4</v>
      </c>
      <c r="J57" s="159">
        <f t="shared" si="1"/>
        <v>2.1</v>
      </c>
      <c r="K57" s="159">
        <f t="shared" si="1"/>
        <v>1.8</v>
      </c>
      <c r="L57" s="159">
        <f t="shared" si="1"/>
        <v>1.5</v>
      </c>
      <c r="M57" s="159">
        <f t="shared" si="1"/>
        <v>1.5</v>
      </c>
      <c r="N57" s="159">
        <f t="shared" si="1"/>
        <v>1.2</v>
      </c>
      <c r="O57" s="159">
        <f t="shared" si="1"/>
        <v>1.2</v>
      </c>
      <c r="P57" s="159">
        <f t="shared" si="1"/>
        <v>0.9</v>
      </c>
      <c r="Q57" s="159">
        <f t="shared" si="1"/>
        <v>0.9</v>
      </c>
      <c r="R57" s="159">
        <f t="shared" si="1"/>
        <v>0.6</v>
      </c>
      <c r="S57" s="159">
        <f t="shared" si="1"/>
        <v>0.6</v>
      </c>
      <c r="T57" s="159">
        <f t="shared" si="1"/>
        <v>0.3</v>
      </c>
      <c r="U57" s="159">
        <f t="shared" si="1"/>
        <v>0.6</v>
      </c>
      <c r="V57" s="159">
        <f t="shared" si="1"/>
        <v>0.9</v>
      </c>
      <c r="W57" s="159">
        <f t="shared" si="1"/>
        <v>1.2</v>
      </c>
      <c r="X57" s="159">
        <f t="shared" si="1"/>
        <v>1.2</v>
      </c>
      <c r="Y57" s="159">
        <f t="shared" si="1"/>
        <v>1.5</v>
      </c>
    </row>
    <row r="58" spans="1:27" x14ac:dyDescent="0.25">
      <c r="A58" s="50" t="s">
        <v>472</v>
      </c>
      <c r="B58" s="159">
        <f t="shared" si="1"/>
        <v>2.7</v>
      </c>
      <c r="C58" s="159">
        <f t="shared" si="1"/>
        <v>2.7</v>
      </c>
      <c r="D58" s="159">
        <f t="shared" si="1"/>
        <v>2.7</v>
      </c>
      <c r="E58" s="159">
        <f t="shared" si="1"/>
        <v>2.7</v>
      </c>
      <c r="F58" s="159">
        <f t="shared" si="1"/>
        <v>2.7</v>
      </c>
      <c r="G58" s="159">
        <f t="shared" si="1"/>
        <v>2.7</v>
      </c>
      <c r="H58" s="159">
        <f t="shared" si="1"/>
        <v>2.7</v>
      </c>
      <c r="I58" s="159">
        <f t="shared" si="1"/>
        <v>2.7</v>
      </c>
      <c r="J58" s="159">
        <f t="shared" si="1"/>
        <v>2.7</v>
      </c>
      <c r="K58" s="159">
        <f t="shared" si="1"/>
        <v>2.7</v>
      </c>
      <c r="L58" s="159">
        <f t="shared" si="1"/>
        <v>2.7</v>
      </c>
      <c r="M58" s="159">
        <f t="shared" si="1"/>
        <v>2.7</v>
      </c>
      <c r="N58" s="159">
        <f t="shared" si="1"/>
        <v>2.7</v>
      </c>
      <c r="O58" s="159">
        <f t="shared" si="1"/>
        <v>2.7</v>
      </c>
      <c r="P58" s="159">
        <f t="shared" si="1"/>
        <v>2.7</v>
      </c>
      <c r="Q58" s="159">
        <f t="shared" si="1"/>
        <v>2.7</v>
      </c>
      <c r="R58" s="159">
        <f t="shared" si="1"/>
        <v>2.7</v>
      </c>
      <c r="S58" s="159">
        <f t="shared" si="1"/>
        <v>2.7</v>
      </c>
      <c r="T58" s="159">
        <f t="shared" si="1"/>
        <v>2.7</v>
      </c>
      <c r="U58" s="159">
        <f t="shared" si="1"/>
        <v>2.7</v>
      </c>
      <c r="V58" s="159">
        <f t="shared" si="1"/>
        <v>2.7</v>
      </c>
      <c r="W58" s="159">
        <f t="shared" si="1"/>
        <v>2.7</v>
      </c>
      <c r="X58" s="159">
        <f t="shared" si="1"/>
        <v>2.7</v>
      </c>
      <c r="Y58" s="159">
        <f t="shared" si="1"/>
        <v>2.7</v>
      </c>
    </row>
    <row r="59" spans="1:27" x14ac:dyDescent="0.25">
      <c r="A59" s="50" t="s">
        <v>473</v>
      </c>
      <c r="B59" s="159">
        <f t="shared" si="1"/>
        <v>2.7</v>
      </c>
      <c r="C59" s="159">
        <f t="shared" si="1"/>
        <v>2.7</v>
      </c>
      <c r="D59" s="159">
        <f t="shared" si="1"/>
        <v>2.7</v>
      </c>
      <c r="E59" s="159">
        <f t="shared" si="1"/>
        <v>2.7</v>
      </c>
      <c r="F59" s="159">
        <f t="shared" si="1"/>
        <v>2.7</v>
      </c>
      <c r="G59" s="159">
        <f t="shared" si="1"/>
        <v>2.7</v>
      </c>
      <c r="H59" s="159">
        <f t="shared" si="1"/>
        <v>3</v>
      </c>
      <c r="I59" s="159">
        <f t="shared" si="1"/>
        <v>3</v>
      </c>
      <c r="J59" s="159">
        <f t="shared" si="1"/>
        <v>3.3</v>
      </c>
      <c r="K59" s="159">
        <f t="shared" si="1"/>
        <v>3.6</v>
      </c>
      <c r="L59" s="159">
        <f t="shared" si="1"/>
        <v>3.9</v>
      </c>
      <c r="M59" s="159">
        <f t="shared" si="1"/>
        <v>3.9</v>
      </c>
      <c r="N59" s="159">
        <f t="shared" si="1"/>
        <v>4.2</v>
      </c>
      <c r="O59" s="159">
        <f t="shared" si="1"/>
        <v>4.2</v>
      </c>
      <c r="P59" s="159">
        <f t="shared" si="1"/>
        <v>4.5</v>
      </c>
      <c r="Q59" s="159">
        <f t="shared" si="1"/>
        <v>4.5</v>
      </c>
      <c r="R59" s="159">
        <f t="shared" si="1"/>
        <v>4.5</v>
      </c>
      <c r="S59" s="159">
        <f t="shared" si="1"/>
        <v>4.5</v>
      </c>
      <c r="T59" s="159">
        <f t="shared" si="1"/>
        <v>4.2</v>
      </c>
      <c r="U59" s="159">
        <f t="shared" si="1"/>
        <v>3.9</v>
      </c>
      <c r="V59" s="159">
        <f t="shared" si="1"/>
        <v>3.3</v>
      </c>
      <c r="W59" s="159">
        <f t="shared" si="1"/>
        <v>2.7</v>
      </c>
      <c r="X59" s="159">
        <f t="shared" si="1"/>
        <v>2.7</v>
      </c>
      <c r="Y59" s="159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8" t="s">
        <v>454</v>
      </c>
      <c r="B61" s="160">
        <v>16</v>
      </c>
      <c r="C61" s="160">
        <v>16</v>
      </c>
      <c r="D61" s="160">
        <v>14.4</v>
      </c>
      <c r="E61" s="160">
        <v>14.1</v>
      </c>
      <c r="F61" s="160">
        <v>14.1</v>
      </c>
      <c r="G61" s="160">
        <v>14.1</v>
      </c>
      <c r="H61" s="160">
        <v>14.1</v>
      </c>
      <c r="I61" s="160">
        <v>14.1</v>
      </c>
      <c r="J61" s="160">
        <v>14.1</v>
      </c>
      <c r="K61" s="160">
        <v>14.1</v>
      </c>
      <c r="L61" s="160">
        <v>13.8</v>
      </c>
      <c r="M61" s="160">
        <v>13.8</v>
      </c>
      <c r="N61" s="160">
        <v>13.8</v>
      </c>
      <c r="O61" s="160">
        <v>13.8</v>
      </c>
      <c r="P61" s="160">
        <v>13.8</v>
      </c>
      <c r="Q61" s="160">
        <v>13.8</v>
      </c>
      <c r="R61" s="160">
        <v>15</v>
      </c>
      <c r="S61" s="160">
        <v>16</v>
      </c>
      <c r="T61" s="160">
        <v>14</v>
      </c>
      <c r="U61" s="160">
        <v>15</v>
      </c>
      <c r="V61" s="160">
        <v>15</v>
      </c>
      <c r="W61" s="160">
        <v>16</v>
      </c>
      <c r="X61" s="160">
        <v>16.2</v>
      </c>
      <c r="Y61" s="160">
        <v>15.9</v>
      </c>
    </row>
    <row r="62" spans="1:27" x14ac:dyDescent="0.25">
      <c r="A62" s="158" t="s">
        <v>474</v>
      </c>
      <c r="B62" s="160">
        <f>B61-B63</f>
        <v>5</v>
      </c>
      <c r="C62" s="160">
        <f t="shared" ref="C62:Y62" si="3">C61-C63</f>
        <v>5</v>
      </c>
      <c r="D62" s="160">
        <f t="shared" si="3"/>
        <v>3.4000000000000004</v>
      </c>
      <c r="E62" s="160">
        <f t="shared" si="3"/>
        <v>3.0999999999999996</v>
      </c>
      <c r="F62" s="160">
        <f t="shared" si="3"/>
        <v>3.0999999999999996</v>
      </c>
      <c r="G62" s="160">
        <f t="shared" si="3"/>
        <v>3.0999999999999996</v>
      </c>
      <c r="H62" s="160">
        <f t="shared" si="3"/>
        <v>3.0999999999999996</v>
      </c>
      <c r="I62" s="160">
        <f t="shared" si="3"/>
        <v>3.0999999999999996</v>
      </c>
      <c r="J62" s="160">
        <f t="shared" si="3"/>
        <v>3.0999999999999996</v>
      </c>
      <c r="K62" s="160">
        <f t="shared" si="3"/>
        <v>3.0999999999999996</v>
      </c>
      <c r="L62" s="160">
        <f t="shared" si="3"/>
        <v>2.8000000000000007</v>
      </c>
      <c r="M62" s="160">
        <f t="shared" si="3"/>
        <v>2.8000000000000007</v>
      </c>
      <c r="N62" s="160">
        <f t="shared" si="3"/>
        <v>2.8000000000000007</v>
      </c>
      <c r="O62" s="160">
        <f t="shared" si="3"/>
        <v>2.8000000000000007</v>
      </c>
      <c r="P62" s="160">
        <f t="shared" si="3"/>
        <v>2.8000000000000007</v>
      </c>
      <c r="Q62" s="160">
        <f t="shared" si="3"/>
        <v>2.8000000000000007</v>
      </c>
      <c r="R62" s="160">
        <f t="shared" si="3"/>
        <v>4</v>
      </c>
      <c r="S62" s="160">
        <f t="shared" si="3"/>
        <v>5</v>
      </c>
      <c r="T62" s="160">
        <f t="shared" si="3"/>
        <v>3</v>
      </c>
      <c r="U62" s="160">
        <f t="shared" si="3"/>
        <v>4</v>
      </c>
      <c r="V62" s="160">
        <f t="shared" si="3"/>
        <v>4</v>
      </c>
      <c r="W62" s="160">
        <f t="shared" si="3"/>
        <v>5</v>
      </c>
      <c r="X62" s="160">
        <f t="shared" si="3"/>
        <v>5.1999999999999993</v>
      </c>
      <c r="Y62" s="160">
        <f t="shared" si="3"/>
        <v>4.9000000000000004</v>
      </c>
    </row>
    <row r="63" spans="1:27" x14ac:dyDescent="0.25">
      <c r="A63" s="158" t="s">
        <v>475</v>
      </c>
      <c r="B63" s="158">
        <v>11</v>
      </c>
      <c r="C63" s="158">
        <v>11</v>
      </c>
      <c r="D63" s="158">
        <v>11</v>
      </c>
      <c r="E63" s="158">
        <v>11</v>
      </c>
      <c r="F63" s="158">
        <v>11</v>
      </c>
      <c r="G63" s="158">
        <v>11</v>
      </c>
      <c r="H63" s="158">
        <v>11</v>
      </c>
      <c r="I63" s="158">
        <v>11</v>
      </c>
      <c r="J63" s="158">
        <v>11</v>
      </c>
      <c r="K63" s="158">
        <v>11</v>
      </c>
      <c r="L63" s="158">
        <v>11</v>
      </c>
      <c r="M63" s="158">
        <v>11</v>
      </c>
      <c r="N63" s="158">
        <v>11</v>
      </c>
      <c r="O63" s="158">
        <v>11</v>
      </c>
      <c r="P63" s="158">
        <v>11</v>
      </c>
      <c r="Q63" s="158">
        <v>11</v>
      </c>
      <c r="R63" s="158">
        <v>11</v>
      </c>
      <c r="S63" s="158">
        <v>11</v>
      </c>
      <c r="T63" s="158">
        <v>11</v>
      </c>
      <c r="U63" s="158">
        <v>11</v>
      </c>
      <c r="V63" s="158">
        <v>11</v>
      </c>
      <c r="W63" s="158">
        <v>11</v>
      </c>
      <c r="X63" s="158">
        <v>11</v>
      </c>
      <c r="Y63" s="158">
        <v>11</v>
      </c>
      <c r="AA63">
        <f>(15*6*2)/16</f>
        <v>11.25</v>
      </c>
    </row>
    <row r="64" spans="1:27" x14ac:dyDescent="0.25">
      <c r="A64" s="158" t="s">
        <v>471</v>
      </c>
      <c r="B64" s="158">
        <v>3</v>
      </c>
      <c r="C64" s="158">
        <v>3</v>
      </c>
      <c r="D64" s="158">
        <v>3</v>
      </c>
      <c r="E64" s="158">
        <v>4</v>
      </c>
      <c r="F64" s="158">
        <v>4</v>
      </c>
      <c r="G64" s="158">
        <v>4</v>
      </c>
      <c r="H64" s="158">
        <v>3</v>
      </c>
      <c r="I64" s="158">
        <v>3</v>
      </c>
      <c r="J64" s="158">
        <v>3</v>
      </c>
      <c r="K64" s="158">
        <v>3</v>
      </c>
      <c r="L64" s="158">
        <v>2</v>
      </c>
      <c r="M64" s="158">
        <v>2</v>
      </c>
      <c r="N64" s="158">
        <v>2</v>
      </c>
      <c r="O64" s="158">
        <v>2</v>
      </c>
      <c r="P64" s="158">
        <v>1</v>
      </c>
      <c r="Q64" s="158">
        <v>1</v>
      </c>
      <c r="R64" s="158">
        <v>0</v>
      </c>
      <c r="S64" s="158">
        <v>1</v>
      </c>
      <c r="T64" s="158">
        <v>1</v>
      </c>
      <c r="U64" s="158">
        <v>1</v>
      </c>
      <c r="V64" s="158">
        <v>2</v>
      </c>
      <c r="W64" s="158">
        <v>2</v>
      </c>
      <c r="X64" s="158">
        <v>2</v>
      </c>
      <c r="Y64" s="158">
        <v>2</v>
      </c>
    </row>
    <row r="65" spans="1:25" x14ac:dyDescent="0.25">
      <c r="A65" s="158" t="s">
        <v>472</v>
      </c>
      <c r="B65" s="158">
        <v>4</v>
      </c>
      <c r="C65" s="158">
        <v>4</v>
      </c>
      <c r="D65" s="158">
        <v>4</v>
      </c>
      <c r="E65" s="158">
        <v>4</v>
      </c>
      <c r="F65" s="158">
        <v>4</v>
      </c>
      <c r="G65" s="158">
        <v>4</v>
      </c>
      <c r="H65" s="158">
        <v>4</v>
      </c>
      <c r="I65" s="158">
        <v>4</v>
      </c>
      <c r="J65" s="158">
        <v>4</v>
      </c>
      <c r="K65" s="158">
        <v>4</v>
      </c>
      <c r="L65" s="158">
        <v>4</v>
      </c>
      <c r="M65" s="158">
        <v>4</v>
      </c>
      <c r="N65" s="158">
        <v>4</v>
      </c>
      <c r="O65" s="158">
        <v>4</v>
      </c>
      <c r="P65" s="158">
        <v>4</v>
      </c>
      <c r="Q65" s="158">
        <v>4</v>
      </c>
      <c r="R65" s="158">
        <v>4</v>
      </c>
      <c r="S65" s="158">
        <v>4</v>
      </c>
      <c r="T65" s="158">
        <v>4</v>
      </c>
      <c r="U65" s="158">
        <v>4</v>
      </c>
      <c r="V65" s="158">
        <v>4</v>
      </c>
      <c r="W65" s="158">
        <v>4</v>
      </c>
      <c r="X65" s="158">
        <v>4</v>
      </c>
      <c r="Y65" s="158">
        <v>4</v>
      </c>
    </row>
    <row r="66" spans="1:25" x14ac:dyDescent="0.25">
      <c r="A66" s="158" t="s">
        <v>473</v>
      </c>
      <c r="B66" s="158">
        <v>4</v>
      </c>
      <c r="C66" s="158">
        <v>4</v>
      </c>
      <c r="D66" s="158">
        <v>4</v>
      </c>
      <c r="E66" s="158">
        <v>4</v>
      </c>
      <c r="F66" s="158">
        <v>4</v>
      </c>
      <c r="G66" s="158">
        <v>4</v>
      </c>
      <c r="H66" s="158">
        <v>5</v>
      </c>
      <c r="I66" s="158">
        <v>5</v>
      </c>
      <c r="J66" s="158">
        <v>5</v>
      </c>
      <c r="K66" s="158">
        <v>5</v>
      </c>
      <c r="L66" s="158">
        <v>6</v>
      </c>
      <c r="M66" s="158">
        <v>6</v>
      </c>
      <c r="N66" s="158">
        <v>6</v>
      </c>
      <c r="O66" s="158">
        <v>6</v>
      </c>
      <c r="P66" s="158">
        <v>7</v>
      </c>
      <c r="Q66" s="158">
        <v>7</v>
      </c>
      <c r="R66" s="158">
        <v>7</v>
      </c>
      <c r="S66" s="158">
        <v>6</v>
      </c>
      <c r="T66" s="158">
        <v>6</v>
      </c>
      <c r="U66" s="158">
        <v>5</v>
      </c>
      <c r="V66" s="158">
        <v>5</v>
      </c>
      <c r="W66" s="158">
        <v>4</v>
      </c>
      <c r="X66" s="158">
        <v>4</v>
      </c>
      <c r="Y66" s="158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1">
        <f>ROUND(B62+B63+B64+B65+B66,0)</f>
        <v>27</v>
      </c>
      <c r="C68" s="161">
        <f>ROUND(C62+C63+C64+C65+C66,0)</f>
        <v>27</v>
      </c>
      <c r="D68" s="161">
        <f t="shared" ref="D68:Y68" si="4">ROUND(D62+D63+D64+D65+D66,0)</f>
        <v>25</v>
      </c>
      <c r="E68" s="161">
        <f t="shared" si="4"/>
        <v>26</v>
      </c>
      <c r="F68" s="161">
        <f t="shared" si="4"/>
        <v>26</v>
      </c>
      <c r="G68" s="161">
        <f t="shared" si="4"/>
        <v>26</v>
      </c>
      <c r="H68" s="161">
        <f t="shared" si="4"/>
        <v>26</v>
      </c>
      <c r="I68" s="161">
        <f t="shared" si="4"/>
        <v>26</v>
      </c>
      <c r="J68" s="161">
        <f t="shared" si="4"/>
        <v>26</v>
      </c>
      <c r="K68" s="161">
        <f t="shared" si="4"/>
        <v>26</v>
      </c>
      <c r="L68" s="161">
        <f t="shared" si="4"/>
        <v>26</v>
      </c>
      <c r="M68" s="161">
        <f t="shared" si="4"/>
        <v>26</v>
      </c>
      <c r="N68" s="161">
        <f t="shared" si="4"/>
        <v>26</v>
      </c>
      <c r="O68" s="161">
        <f t="shared" si="4"/>
        <v>26</v>
      </c>
      <c r="P68" s="161">
        <f t="shared" si="4"/>
        <v>26</v>
      </c>
      <c r="Q68" s="161">
        <f t="shared" si="4"/>
        <v>26</v>
      </c>
      <c r="R68" s="161">
        <f t="shared" si="4"/>
        <v>26</v>
      </c>
      <c r="S68" s="161">
        <f t="shared" si="4"/>
        <v>27</v>
      </c>
      <c r="T68" s="161">
        <f t="shared" si="4"/>
        <v>25</v>
      </c>
      <c r="U68" s="161">
        <f t="shared" si="4"/>
        <v>25</v>
      </c>
      <c r="V68" s="161">
        <f t="shared" si="4"/>
        <v>26</v>
      </c>
      <c r="W68" s="161">
        <f t="shared" si="4"/>
        <v>26</v>
      </c>
      <c r="X68" s="161">
        <f t="shared" si="4"/>
        <v>26</v>
      </c>
      <c r="Y68" s="161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8">
        <v>27</v>
      </c>
      <c r="C70" s="158">
        <v>27</v>
      </c>
      <c r="D70" s="158">
        <v>25</v>
      </c>
      <c r="E70" s="158">
        <v>26</v>
      </c>
      <c r="F70" s="158">
        <v>26</v>
      </c>
      <c r="G70" s="158">
        <v>26</v>
      </c>
      <c r="H70" s="158">
        <v>26</v>
      </c>
      <c r="I70" s="158">
        <v>26</v>
      </c>
      <c r="J70" s="158">
        <v>26</v>
      </c>
      <c r="K70" s="158">
        <v>26</v>
      </c>
      <c r="L70" s="158">
        <v>26</v>
      </c>
      <c r="M70" s="158">
        <v>26</v>
      </c>
      <c r="N70" s="158">
        <v>26</v>
      </c>
      <c r="O70" s="158">
        <v>26</v>
      </c>
      <c r="P70" s="158">
        <v>26</v>
      </c>
      <c r="Q70" s="158">
        <v>26</v>
      </c>
      <c r="R70" s="158">
        <v>26</v>
      </c>
      <c r="S70" s="158">
        <v>27</v>
      </c>
      <c r="T70" s="158">
        <v>25</v>
      </c>
      <c r="U70" s="158">
        <v>25</v>
      </c>
      <c r="V70" s="158">
        <v>26</v>
      </c>
      <c r="W70" s="158">
        <v>26</v>
      </c>
      <c r="X70" s="158">
        <v>26</v>
      </c>
      <c r="Y70" s="158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2">
        <f>(B62*0.85+B63*1+B64*0.35+B65*0.6+B66*0.8)/B70</f>
        <v>0.81111111111111101</v>
      </c>
      <c r="C73" s="162">
        <f t="shared" ref="C73:Y73" si="5">(C62*0.85+C63*1+C64*0.35+C65*0.6+C66*0.8)/C70</f>
        <v>0.81111111111111101</v>
      </c>
      <c r="D73" s="162">
        <f t="shared" si="5"/>
        <v>0.8216</v>
      </c>
      <c r="E73" s="162">
        <f t="shared" si="5"/>
        <v>0.79365384615384604</v>
      </c>
      <c r="F73" s="162">
        <f t="shared" si="5"/>
        <v>0.79365384615384604</v>
      </c>
      <c r="G73" s="162">
        <f t="shared" si="5"/>
        <v>0.79365384615384604</v>
      </c>
      <c r="H73" s="162">
        <f t="shared" si="5"/>
        <v>0.8109615384615384</v>
      </c>
      <c r="I73" s="162">
        <f t="shared" si="5"/>
        <v>0.8109615384615384</v>
      </c>
      <c r="J73" s="162">
        <f t="shared" si="5"/>
        <v>0.8109615384615384</v>
      </c>
      <c r="K73" s="162">
        <f t="shared" si="5"/>
        <v>0.8109615384615384</v>
      </c>
      <c r="L73" s="162">
        <f t="shared" si="5"/>
        <v>0.81846153846153846</v>
      </c>
      <c r="M73" s="162">
        <f t="shared" si="5"/>
        <v>0.81846153846153846</v>
      </c>
      <c r="N73" s="162">
        <f t="shared" si="5"/>
        <v>0.81846153846153846</v>
      </c>
      <c r="O73" s="162">
        <f t="shared" si="5"/>
        <v>0.81846153846153846</v>
      </c>
      <c r="P73" s="162">
        <f t="shared" si="5"/>
        <v>0.83576923076923082</v>
      </c>
      <c r="Q73" s="162">
        <f t="shared" si="5"/>
        <v>0.83576923076923082</v>
      </c>
      <c r="R73" s="162">
        <f t="shared" si="5"/>
        <v>0.86153846153846159</v>
      </c>
      <c r="S73" s="162">
        <f t="shared" si="5"/>
        <v>0.84444444444444444</v>
      </c>
      <c r="T73" s="162">
        <f t="shared" si="5"/>
        <v>0.84400000000000008</v>
      </c>
      <c r="U73" s="162">
        <f t="shared" si="5"/>
        <v>0.84599999999999997</v>
      </c>
      <c r="V73" s="162">
        <f t="shared" si="5"/>
        <v>0.82692307692307687</v>
      </c>
      <c r="W73" s="162">
        <f t="shared" si="5"/>
        <v>0.82884615384615379</v>
      </c>
      <c r="X73" s="162">
        <f t="shared" si="5"/>
        <v>0.83538461538461517</v>
      </c>
      <c r="Y73" s="162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7" zoomScale="80" zoomScaleNormal="80" workbookViewId="0">
      <selection activeCell="K58" sqref="K5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494</v>
      </c>
      <c r="K1" s="80" t="s">
        <v>1478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1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2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2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0" t="s">
        <v>546</v>
      </c>
      <c r="U23" s="170" t="s">
        <v>52</v>
      </c>
      <c r="V23" s="170" t="s">
        <v>547</v>
      </c>
      <c r="W23" s="170" t="s">
        <v>548</v>
      </c>
      <c r="X23" s="170" t="s">
        <v>549</v>
      </c>
      <c r="Y23" s="170" t="s">
        <v>550</v>
      </c>
      <c r="Z23" s="170" t="s">
        <v>551</v>
      </c>
      <c r="AA23" s="170" t="s">
        <v>552</v>
      </c>
      <c r="AB23" s="170" t="s">
        <v>553</v>
      </c>
      <c r="AC23" s="170" t="s">
        <v>554</v>
      </c>
    </row>
    <row r="24" spans="10:29" x14ac:dyDescent="0.25">
      <c r="S24" s="172">
        <v>1</v>
      </c>
      <c r="T24" s="172">
        <f>'Alim -Surf'!D34</f>
        <v>28</v>
      </c>
      <c r="U24" s="172">
        <f>'Alim -Surf'!E34</f>
        <v>10</v>
      </c>
      <c r="V24" s="172" t="str">
        <f>IF(T24=0,0,VLOOKUP(T24,[1]Cult!$A$7:$H$76,8))</f>
        <v>FL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10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555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556</v>
      </c>
      <c r="K28" s="80">
        <v>13.85</v>
      </c>
      <c r="L28" t="s">
        <v>52</v>
      </c>
      <c r="M28" s="30">
        <f>U228</f>
        <v>13.85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557</v>
      </c>
      <c r="K29" s="80">
        <v>11</v>
      </c>
      <c r="L29" t="s">
        <v>52</v>
      </c>
      <c r="M29" s="30">
        <f>V228</f>
        <v>11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558</v>
      </c>
      <c r="K30" s="80">
        <v>0</v>
      </c>
      <c r="L30" t="s">
        <v>52</v>
      </c>
      <c r="M30" s="30">
        <f>W228</f>
        <v>0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561</v>
      </c>
      <c r="K32" s="172">
        <f>$AB$34</f>
        <v>10</v>
      </c>
      <c r="M32" t="s">
        <v>562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563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564</v>
      </c>
      <c r="K35" s="172">
        <f>$X$34</f>
        <v>0</v>
      </c>
    </row>
    <row r="36" spans="10:132" x14ac:dyDescent="0.25">
      <c r="J36" s="14" t="s">
        <v>565</v>
      </c>
      <c r="K36" s="172">
        <f>$Y$34</f>
        <v>0</v>
      </c>
    </row>
    <row r="37" spans="10:132" x14ac:dyDescent="0.25">
      <c r="J37" s="14" t="s">
        <v>566</v>
      </c>
      <c r="K37" s="172">
        <f>$Z$34</f>
        <v>0</v>
      </c>
    </row>
    <row r="38" spans="10:132" x14ac:dyDescent="0.25">
      <c r="J38" s="14" t="s">
        <v>567</v>
      </c>
      <c r="K38" s="172">
        <f>$AA$34</f>
        <v>0</v>
      </c>
    </row>
    <row r="39" spans="10:132" x14ac:dyDescent="0.25">
      <c r="J39" s="14" t="s">
        <v>568</v>
      </c>
      <c r="K39" s="172">
        <f>$AC$34</f>
        <v>0</v>
      </c>
    </row>
    <row r="40" spans="10:132" x14ac:dyDescent="0.25">
      <c r="J40" s="14" t="s">
        <v>569</v>
      </c>
      <c r="K40" s="172">
        <f>AC228</f>
        <v>0</v>
      </c>
    </row>
    <row r="41" spans="10:132" x14ac:dyDescent="0.25">
      <c r="J41" s="14" t="s">
        <v>570</v>
      </c>
      <c r="K41" s="172">
        <f>AD228</f>
        <v>19.12</v>
      </c>
    </row>
    <row r="42" spans="10:132" x14ac:dyDescent="0.25">
      <c r="J42" s="14" t="s">
        <v>571</v>
      </c>
      <c r="K42" s="172">
        <f>AA228</f>
        <v>0</v>
      </c>
    </row>
    <row r="43" spans="10:132" x14ac:dyDescent="0.25">
      <c r="J43" s="14" t="s">
        <v>572</v>
      </c>
      <c r="K43" s="172">
        <f>M28*K31/100</f>
        <v>1.385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573</v>
      </c>
      <c r="K48" s="172">
        <f>+K33+K40+K41</f>
        <v>19.12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574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1</v>
      </c>
      <c r="AW50">
        <f>IF(CdTrp1!C78=1,1,IF(CdTrp1!C78=2,2,IF(CdTrp1!C78=3,2,0)))</f>
        <v>1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575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577</v>
      </c>
      <c r="K53" s="172" t="str">
        <f>Troupeau!B3</f>
        <v>OL</v>
      </c>
      <c r="L53" t="s">
        <v>578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581</v>
      </c>
      <c r="K56" s="173">
        <v>1</v>
      </c>
      <c r="N56" t="s">
        <v>582</v>
      </c>
      <c r="P56" t="s">
        <v>583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584</v>
      </c>
      <c r="K57" s="80" t="s">
        <v>583</v>
      </c>
      <c r="N57" t="s">
        <v>585</v>
      </c>
      <c r="P57" t="s">
        <v>586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587</v>
      </c>
      <c r="K58" s="1"/>
      <c r="P58" t="s">
        <v>588</v>
      </c>
    </row>
    <row r="59" spans="10:132" x14ac:dyDescent="0.25">
      <c r="J59" s="14" t="s">
        <v>589</v>
      </c>
      <c r="K59" s="1">
        <v>1</v>
      </c>
      <c r="P59" t="s">
        <v>590</v>
      </c>
    </row>
    <row r="60" spans="10:132" x14ac:dyDescent="0.25">
      <c r="J60" s="40" t="s">
        <v>591</v>
      </c>
      <c r="K60" s="172">
        <f>Troupeau!C3</f>
        <v>0</v>
      </c>
      <c r="L60" t="s">
        <v>592</v>
      </c>
      <c r="P60" t="s">
        <v>593</v>
      </c>
    </row>
    <row r="61" spans="10:132" x14ac:dyDescent="0.25">
      <c r="J61" s="14" t="s">
        <v>594</v>
      </c>
      <c r="K61" s="173"/>
      <c r="L61" s="30" t="str">
        <f>IF(COUNTIF(CdTrp2!B76:Y85,5)&gt;0, "OUI", "NON")</f>
        <v>NON</v>
      </c>
      <c r="P61" t="s">
        <v>595</v>
      </c>
    </row>
    <row r="62" spans="10:132" x14ac:dyDescent="0.25">
      <c r="J62" s="14" t="s">
        <v>596</v>
      </c>
      <c r="K62" s="80"/>
    </row>
    <row r="63" spans="10:132" x14ac:dyDescent="0.25">
      <c r="J63"/>
      <c r="K63"/>
    </row>
    <row r="64" spans="10:132" x14ac:dyDescent="0.25">
      <c r="J64" s="14" t="s">
        <v>597</v>
      </c>
      <c r="K64" s="80"/>
    </row>
    <row r="65" spans="10:22" x14ac:dyDescent="0.25">
      <c r="J65" s="40" t="s">
        <v>598</v>
      </c>
      <c r="K65" s="172">
        <f>Troupeau!D3</f>
        <v>0</v>
      </c>
      <c r="L65" t="s">
        <v>599</v>
      </c>
    </row>
    <row r="66" spans="10:22" x14ac:dyDescent="0.25">
      <c r="J66" s="14" t="s">
        <v>600</v>
      </c>
      <c r="K66" s="80"/>
      <c r="L66" s="30" t="str">
        <f>IF(COUNTIF(CdTrp3!B76:Y85,5)&gt;0, "OUI", "NON")</f>
        <v>NON</v>
      </c>
    </row>
    <row r="67" spans="10:22" x14ac:dyDescent="0.25">
      <c r="J67" s="14" t="s">
        <v>601</v>
      </c>
      <c r="K67" s="80"/>
    </row>
    <row r="68" spans="10:22" x14ac:dyDescent="0.25">
      <c r="J68"/>
      <c r="K68"/>
    </row>
    <row r="69" spans="10:22" x14ac:dyDescent="0.25">
      <c r="J69" s="14" t="s">
        <v>602</v>
      </c>
      <c r="K69" s="80"/>
    </row>
    <row r="70" spans="10:22" x14ac:dyDescent="0.25">
      <c r="J70" s="14" t="s">
        <v>603</v>
      </c>
      <c r="K70" s="172">
        <f>IF(K53="OL",0,K54*K55)</f>
        <v>0</v>
      </c>
    </row>
    <row r="71" spans="10:22" x14ac:dyDescent="0.25">
      <c r="J71" s="14" t="s">
        <v>604</v>
      </c>
      <c r="K71" s="172">
        <f>IF(K60="OL",0,K61*K62)</f>
        <v>0</v>
      </c>
    </row>
    <row r="72" spans="10:22" x14ac:dyDescent="0.25">
      <c r="J72" s="14" t="s">
        <v>605</v>
      </c>
      <c r="K72" s="172">
        <f>IF(K65="OL",0,K66*K67)</f>
        <v>0</v>
      </c>
    </row>
    <row r="73" spans="10:22" x14ac:dyDescent="0.25">
      <c r="J73" s="14" t="s">
        <v>606</v>
      </c>
      <c r="K73" s="172">
        <f>SUM(K70:K72)</f>
        <v>0</v>
      </c>
    </row>
    <row r="74" spans="10:22" x14ac:dyDescent="0.25">
      <c r="J74" s="40" t="s">
        <v>607</v>
      </c>
      <c r="K74"/>
    </row>
    <row r="75" spans="10:22" x14ac:dyDescent="0.25">
      <c r="J75" s="14" t="s">
        <v>577</v>
      </c>
      <c r="K75" s="172" t="str">
        <f>Troupeau!B3</f>
        <v>OL</v>
      </c>
      <c r="L75" t="s">
        <v>608</v>
      </c>
      <c r="R75">
        <v>0</v>
      </c>
      <c r="S75" t="s">
        <v>609</v>
      </c>
      <c r="V75" s="14" t="s">
        <v>610</v>
      </c>
    </row>
    <row r="76" spans="10:22" x14ac:dyDescent="0.25">
      <c r="J76" s="14" t="s">
        <v>611</v>
      </c>
      <c r="K76" s="80"/>
      <c r="L76" s="30" t="str">
        <f>IF(COUNTIF(CdTrp1!B76:Y85,4)&gt;0, "OUI", "NON")</f>
        <v>NON</v>
      </c>
      <c r="R76">
        <v>1</v>
      </c>
      <c r="U76" s="293">
        <v>1</v>
      </c>
      <c r="V76" s="293" t="s">
        <v>612</v>
      </c>
    </row>
    <row r="77" spans="10:22" x14ac:dyDescent="0.25">
      <c r="J77" s="14" t="s">
        <v>613</v>
      </c>
      <c r="K77" s="80"/>
      <c r="R77">
        <v>2</v>
      </c>
      <c r="U77" s="293">
        <v>2</v>
      </c>
      <c r="V77" s="293" t="s">
        <v>614</v>
      </c>
    </row>
    <row r="78" spans="10:22" x14ac:dyDescent="0.25">
      <c r="J78" s="40" t="s">
        <v>591</v>
      </c>
      <c r="K78" s="172">
        <f>Troupeau!C3</f>
        <v>0</v>
      </c>
      <c r="L78" t="s">
        <v>615</v>
      </c>
      <c r="R78">
        <v>3</v>
      </c>
    </row>
    <row r="79" spans="10:22" x14ac:dyDescent="0.25">
      <c r="J79" s="14" t="s">
        <v>616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617</v>
      </c>
      <c r="K80" s="80"/>
      <c r="R80">
        <v>5</v>
      </c>
    </row>
    <row r="81" spans="9:21" x14ac:dyDescent="0.25">
      <c r="J81" s="40" t="s">
        <v>598</v>
      </c>
      <c r="K81" s="172">
        <f>Troupeau!D3</f>
        <v>0</v>
      </c>
      <c r="L81" t="s">
        <v>618</v>
      </c>
      <c r="U81" s="43" t="s">
        <v>619</v>
      </c>
    </row>
    <row r="82" spans="9:21" x14ac:dyDescent="0.25">
      <c r="J82" s="14" t="s">
        <v>620</v>
      </c>
      <c r="K82" s="80"/>
      <c r="L82" s="30" t="str">
        <f>IF(COUNTIF(CdTrp3!B76:Y85,4)&gt;0, "OUI", "NON")</f>
        <v>NON</v>
      </c>
      <c r="Q82" s="43" t="s">
        <v>621</v>
      </c>
      <c r="T82">
        <v>0</v>
      </c>
      <c r="U82" t="s">
        <v>622</v>
      </c>
    </row>
    <row r="83" spans="9:21" x14ac:dyDescent="0.25">
      <c r="J83" s="14" t="s">
        <v>623</v>
      </c>
      <c r="K83" s="80"/>
      <c r="P83">
        <v>1</v>
      </c>
      <c r="Q83" t="s">
        <v>624</v>
      </c>
      <c r="T83">
        <v>1</v>
      </c>
      <c r="U83" t="s">
        <v>625</v>
      </c>
    </row>
    <row r="84" spans="9:21" x14ac:dyDescent="0.25">
      <c r="J84" s="40" t="s">
        <v>610</v>
      </c>
      <c r="K84" s="174">
        <v>1</v>
      </c>
      <c r="L84" t="s">
        <v>626</v>
      </c>
      <c r="P84">
        <v>2</v>
      </c>
      <c r="Q84" t="s">
        <v>627</v>
      </c>
      <c r="T84">
        <v>2</v>
      </c>
      <c r="U84" t="s">
        <v>628</v>
      </c>
    </row>
    <row r="85" spans="9:21" x14ac:dyDescent="0.25">
      <c r="K85"/>
      <c r="Q85" s="43" t="s">
        <v>629</v>
      </c>
      <c r="U85" s="43" t="s">
        <v>630</v>
      </c>
    </row>
    <row r="86" spans="9:21" x14ac:dyDescent="0.25">
      <c r="J86" s="40" t="s">
        <v>631</v>
      </c>
      <c r="P86">
        <v>1</v>
      </c>
      <c r="Q86" t="s">
        <v>632</v>
      </c>
      <c r="T86">
        <v>1</v>
      </c>
      <c r="U86" t="s">
        <v>622</v>
      </c>
    </row>
    <row r="87" spans="9:21" x14ac:dyDescent="0.25">
      <c r="J87" s="14" t="s">
        <v>633</v>
      </c>
      <c r="K87" s="80">
        <v>1</v>
      </c>
      <c r="P87">
        <v>2</v>
      </c>
      <c r="Q87" t="s">
        <v>634</v>
      </c>
      <c r="T87">
        <v>2</v>
      </c>
      <c r="U87" t="s">
        <v>635</v>
      </c>
    </row>
    <row r="88" spans="9:21" x14ac:dyDescent="0.25">
      <c r="J88" s="14" t="s">
        <v>621</v>
      </c>
      <c r="K88" s="80">
        <v>1</v>
      </c>
      <c r="P88">
        <v>3</v>
      </c>
      <c r="Q88" t="s">
        <v>636</v>
      </c>
      <c r="T88">
        <v>3</v>
      </c>
      <c r="U88" t="s">
        <v>637</v>
      </c>
    </row>
    <row r="89" spans="9:21" x14ac:dyDescent="0.25">
      <c r="J89" s="14" t="s">
        <v>638</v>
      </c>
      <c r="K89" s="80"/>
      <c r="T89">
        <v>4</v>
      </c>
      <c r="U89" t="s">
        <v>639</v>
      </c>
    </row>
    <row r="90" spans="9:21" x14ac:dyDescent="0.25">
      <c r="J90" s="14" t="s">
        <v>638</v>
      </c>
      <c r="K90" s="80"/>
    </row>
    <row r="91" spans="9:21" x14ac:dyDescent="0.25">
      <c r="J91" s="14" t="s">
        <v>619</v>
      </c>
      <c r="K91" s="80"/>
    </row>
    <row r="92" spans="9:21" x14ac:dyDescent="0.25">
      <c r="J92"/>
      <c r="K92"/>
    </row>
    <row r="93" spans="9:21" x14ac:dyDescent="0.25">
      <c r="J93" s="14" t="s">
        <v>640</v>
      </c>
      <c r="K93" s="80"/>
    </row>
    <row r="94" spans="9:21" x14ac:dyDescent="0.25">
      <c r="J94" s="14" t="s">
        <v>641</v>
      </c>
      <c r="K94" s="80"/>
      <c r="L94" t="s">
        <v>642</v>
      </c>
    </row>
    <row r="95" spans="9:21" x14ac:dyDescent="0.25">
      <c r="J95" s="14" t="s">
        <v>643</v>
      </c>
      <c r="L95" t="s">
        <v>644</v>
      </c>
      <c r="Q95" t="s">
        <v>645</v>
      </c>
    </row>
    <row r="96" spans="9:21" x14ac:dyDescent="0.25">
      <c r="I96" t="s">
        <v>646</v>
      </c>
      <c r="J96" s="14" t="s">
        <v>227</v>
      </c>
      <c r="K96" s="80" t="s">
        <v>647</v>
      </c>
      <c r="L96" s="30" t="str">
        <f>CdTrp1!A15</f>
        <v>Lot principal de brebis traites</v>
      </c>
      <c r="Q96" t="s">
        <v>647</v>
      </c>
    </row>
    <row r="97" spans="9:17" x14ac:dyDescent="0.25">
      <c r="J97" s="14" t="s">
        <v>156</v>
      </c>
      <c r="K97" s="80" t="s">
        <v>647</v>
      </c>
      <c r="L97" s="30" t="str">
        <f>CdTrp1!A16</f>
        <v>Lot des béliers</v>
      </c>
      <c r="Q97" t="s">
        <v>648</v>
      </c>
    </row>
    <row r="98" spans="9:17" x14ac:dyDescent="0.25">
      <c r="J98" s="14" t="s">
        <v>157</v>
      </c>
      <c r="K98" s="80" t="s">
        <v>647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647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647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651</v>
      </c>
      <c r="K127" s="80"/>
      <c r="L127" t="s">
        <v>652</v>
      </c>
    </row>
    <row r="128" spans="9:12" x14ac:dyDescent="0.25">
      <c r="K128"/>
    </row>
    <row r="129" spans="10:15" x14ac:dyDescent="0.25">
      <c r="J129" s="14" t="s">
        <v>653</v>
      </c>
      <c r="K129" s="80">
        <v>1</v>
      </c>
      <c r="L129" t="s">
        <v>654</v>
      </c>
      <c r="N129">
        <v>0</v>
      </c>
      <c r="O129" t="s">
        <v>655</v>
      </c>
    </row>
    <row r="130" spans="10:15" x14ac:dyDescent="0.25">
      <c r="J130"/>
      <c r="K130"/>
      <c r="N130">
        <v>1</v>
      </c>
      <c r="O130" t="s">
        <v>656</v>
      </c>
    </row>
    <row r="161" spans="17:41" x14ac:dyDescent="0.25">
      <c r="R161" s="2" t="s">
        <v>657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  <c r="AL163" s="5"/>
    </row>
    <row r="164" spans="17:41" x14ac:dyDescent="0.25"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265</v>
      </c>
      <c r="S165" s="172">
        <f>'Alim -Surf'!R8</f>
        <v>4</v>
      </c>
      <c r="T165" s="172">
        <f>VLOOKUP(R165,[1]MEP!$A$4:$M$300,13)</f>
        <v>2</v>
      </c>
      <c r="U165" s="172">
        <f t="shared" ref="U165:U207" si="10">IF($T165&gt;0,$S165,0)</f>
        <v>4</v>
      </c>
      <c r="V165" s="172">
        <f t="shared" ref="V165:V207" si="11">IF($T165&gt;1,$S165,0)</f>
        <v>4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4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4</v>
      </c>
      <c r="AL165" s="5"/>
      <c r="AN165" s="32" t="s">
        <v>675</v>
      </c>
      <c r="AO165" s="172">
        <f>SUM(AD164:AD183)</f>
        <v>17.850000000000001</v>
      </c>
    </row>
    <row r="166" spans="17:41" x14ac:dyDescent="0.25">
      <c r="Q166">
        <v>3</v>
      </c>
      <c r="R166" s="172">
        <f>'Alim -Surf'!Q9</f>
        <v>266</v>
      </c>
      <c r="S166" s="172">
        <f>'Alim -Surf'!R9</f>
        <v>5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5</v>
      </c>
      <c r="AI166" s="172">
        <f t="shared" si="19"/>
        <v>0</v>
      </c>
      <c r="AJ166" s="172">
        <f t="shared" si="20"/>
        <v>0</v>
      </c>
      <c r="AL166" s="5"/>
      <c r="AN166" s="32" t="s">
        <v>676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10"/>
        <v>3</v>
      </c>
      <c r="V167" s="172">
        <f t="shared" si="11"/>
        <v>3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3</v>
      </c>
      <c r="AL167" s="5"/>
      <c r="AN167" s="32" t="s">
        <v>677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10"/>
        <v>3</v>
      </c>
      <c r="V168" s="172">
        <f t="shared" si="11"/>
        <v>3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3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3</v>
      </c>
      <c r="AL168" s="5"/>
      <c r="AN168" s="32" t="s">
        <v>678</v>
      </c>
      <c r="AO168" s="172">
        <f>SUM(AD186:AD205)</f>
        <v>1.27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679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680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681</v>
      </c>
      <c r="AO171" s="172">
        <f>'Alim -Surf'!O51</f>
        <v>10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266</v>
      </c>
      <c r="S186" s="172">
        <f>'Alim -Surf'!R29</f>
        <v>0.27</v>
      </c>
      <c r="T186" s="172">
        <f>VLOOKUP(R186,[1]MEP!$A$4:$M$300,13)</f>
        <v>0</v>
      </c>
      <c r="U186" s="172">
        <f t="shared" si="10"/>
        <v>0</v>
      </c>
      <c r="V186" s="172">
        <f t="shared" si="11"/>
        <v>0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0.27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0.27</v>
      </c>
      <c r="AI186" s="172">
        <f t="shared" si="19"/>
        <v>0</v>
      </c>
      <c r="AJ186" s="172">
        <f t="shared" si="20"/>
        <v>0</v>
      </c>
      <c r="AL186" s="5"/>
    </row>
    <row r="187" spans="17:38" x14ac:dyDescent="0.25">
      <c r="Q187">
        <v>2</v>
      </c>
      <c r="R187" s="172">
        <f>'Alim -Surf'!Q30</f>
        <v>245</v>
      </c>
      <c r="S187" s="172">
        <f>'Alim -Surf'!R30</f>
        <v>1</v>
      </c>
      <c r="T187" s="172">
        <f>VLOOKUP(R187,[1]MEP!$A$4:$M$300,13)</f>
        <v>2</v>
      </c>
      <c r="U187" s="172">
        <f t="shared" si="10"/>
        <v>1</v>
      </c>
      <c r="V187" s="172">
        <f t="shared" si="11"/>
        <v>1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1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1</v>
      </c>
      <c r="AL187" s="5"/>
    </row>
    <row r="188" spans="17:38" x14ac:dyDescent="0.25"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682</v>
      </c>
      <c r="R228" s="2"/>
      <c r="S228" s="62">
        <f t="shared" ref="S228" si="21">SUM(S164:S227)</f>
        <v>19.12</v>
      </c>
      <c r="U228" s="62">
        <f>SUM(U164:U227)</f>
        <v>13.85</v>
      </c>
      <c r="V228" s="62">
        <f t="shared" ref="V228:W228" si="22">SUM(V164:V227)</f>
        <v>11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19.12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5.27</v>
      </c>
      <c r="AI228" s="62">
        <f t="shared" si="24"/>
        <v>2.85</v>
      </c>
      <c r="AJ228" s="62">
        <f t="shared" si="24"/>
        <v>11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G1" zoomScale="90" zoomScaleNormal="90" workbookViewId="0">
      <selection activeCell="AT9" sqref="AT9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684</v>
      </c>
      <c r="BJ1" t="s">
        <v>685</v>
      </c>
    </row>
    <row r="2" spans="1:64" x14ac:dyDescent="0.25">
      <c r="A2" s="14" t="s">
        <v>686</v>
      </c>
      <c r="B2" t="s">
        <v>577</v>
      </c>
      <c r="C2" s="176">
        <f>SUM(C3:C4)</f>
        <v>4</v>
      </c>
      <c r="D2" s="176">
        <f t="shared" ref="D2:Z2" si="0">SUM(D3:D4)</f>
        <v>4</v>
      </c>
      <c r="E2" s="176">
        <f t="shared" si="0"/>
        <v>4</v>
      </c>
      <c r="F2" s="176">
        <f t="shared" si="0"/>
        <v>4</v>
      </c>
      <c r="G2" s="176">
        <f t="shared" si="0"/>
        <v>4</v>
      </c>
      <c r="H2" s="176">
        <f t="shared" si="0"/>
        <v>4</v>
      </c>
      <c r="I2" s="176">
        <f t="shared" si="0"/>
        <v>4</v>
      </c>
      <c r="J2" s="176">
        <f t="shared" si="0"/>
        <v>4</v>
      </c>
      <c r="K2" s="176">
        <f t="shared" si="0"/>
        <v>4</v>
      </c>
      <c r="L2" s="176">
        <f t="shared" si="0"/>
        <v>4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4</v>
      </c>
      <c r="X2" s="176">
        <f t="shared" si="0"/>
        <v>4</v>
      </c>
      <c r="Y2" s="176">
        <f t="shared" si="0"/>
        <v>5</v>
      </c>
      <c r="Z2" s="176">
        <f t="shared" si="0"/>
        <v>5</v>
      </c>
      <c r="AH2" s="170"/>
      <c r="AP2" t="s">
        <v>687</v>
      </c>
      <c r="AQ2" t="s">
        <v>688</v>
      </c>
      <c r="AV2" t="s">
        <v>689</v>
      </c>
      <c r="AW2" t="s">
        <v>34</v>
      </c>
      <c r="AX2" t="s">
        <v>690</v>
      </c>
      <c r="AY2" t="s">
        <v>76</v>
      </c>
      <c r="AZ2" t="s">
        <v>18</v>
      </c>
      <c r="BA2" t="s">
        <v>691</v>
      </c>
      <c r="BB2" t="s">
        <v>692</v>
      </c>
      <c r="BC2" t="s">
        <v>693</v>
      </c>
      <c r="BD2" t="s">
        <v>694</v>
      </c>
      <c r="BE2" t="s">
        <v>695</v>
      </c>
      <c r="BF2" t="s">
        <v>696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697</v>
      </c>
      <c r="B3" t="s">
        <v>577</v>
      </c>
      <c r="C3" s="176">
        <f t="shared" ref="C3:Z3" si="1">COUNTIF(C81:C90,1)</f>
        <v>3</v>
      </c>
      <c r="D3" s="176">
        <f t="shared" si="1"/>
        <v>3</v>
      </c>
      <c r="E3" s="176">
        <f t="shared" si="1"/>
        <v>3</v>
      </c>
      <c r="F3" s="176">
        <f t="shared" si="1"/>
        <v>3</v>
      </c>
      <c r="G3" s="176">
        <f t="shared" si="1"/>
        <v>3</v>
      </c>
      <c r="H3" s="176">
        <f t="shared" si="1"/>
        <v>3</v>
      </c>
      <c r="I3" s="176">
        <f t="shared" si="1"/>
        <v>3</v>
      </c>
      <c r="J3" s="176">
        <f t="shared" si="1"/>
        <v>3</v>
      </c>
      <c r="K3" s="176">
        <f t="shared" si="1"/>
        <v>3</v>
      </c>
      <c r="L3" s="176">
        <f t="shared" si="1"/>
        <v>3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3</v>
      </c>
      <c r="Z3" s="176">
        <f t="shared" si="1"/>
        <v>3</v>
      </c>
      <c r="AO3" s="14" t="s">
        <v>698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264</v>
      </c>
      <c r="AZ3" s="30">
        <f>Parcellaire!G2</f>
        <v>2.85</v>
      </c>
      <c r="BA3" s="30">
        <f>ROUND(Parcellaire!R2,0)</f>
        <v>0</v>
      </c>
      <c r="BB3" s="30">
        <f>ROUND(Parcellaire!S2,0)</f>
        <v>686</v>
      </c>
      <c r="BC3" s="30">
        <f>ROUND(Parcellaire!T2,0)</f>
        <v>274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686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2.85</v>
      </c>
      <c r="BL3" s="172">
        <f>IF($AW3&gt;0,IF(AND($BF3="PE",$AW3=1),$AZ3,0),0)</f>
        <v>0</v>
      </c>
    </row>
    <row r="4" spans="1:64" x14ac:dyDescent="0.25">
      <c r="A4" s="14" t="s">
        <v>699</v>
      </c>
      <c r="B4" t="s">
        <v>577</v>
      </c>
      <c r="C4" s="176">
        <f>COUNTIF(C81:C90,2)</f>
        <v>1</v>
      </c>
      <c r="D4" s="176">
        <f t="shared" ref="D4:Z4" si="2">COUNTIF(D81:D90,2)</f>
        <v>1</v>
      </c>
      <c r="E4" s="176">
        <f t="shared" si="2"/>
        <v>1</v>
      </c>
      <c r="F4" s="176">
        <f t="shared" si="2"/>
        <v>1</v>
      </c>
      <c r="G4" s="176">
        <f t="shared" si="2"/>
        <v>1</v>
      </c>
      <c r="H4" s="176">
        <f t="shared" si="2"/>
        <v>1</v>
      </c>
      <c r="I4" s="176">
        <f t="shared" si="2"/>
        <v>1</v>
      </c>
      <c r="J4" s="176">
        <f t="shared" si="2"/>
        <v>1</v>
      </c>
      <c r="K4" s="176">
        <f t="shared" si="2"/>
        <v>1</v>
      </c>
      <c r="L4" s="176">
        <f t="shared" si="2"/>
        <v>1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2</v>
      </c>
      <c r="X4" s="176">
        <f t="shared" si="2"/>
        <v>2</v>
      </c>
      <c r="Y4" s="176">
        <f t="shared" si="2"/>
        <v>2</v>
      </c>
      <c r="Z4" s="176">
        <f t="shared" si="2"/>
        <v>2</v>
      </c>
      <c r="AO4" s="14" t="s">
        <v>700</v>
      </c>
      <c r="AP4" s="30">
        <f>SUM(BG31:BI31)</f>
        <v>5360</v>
      </c>
      <c r="AQ4">
        <f>SUM(BJ31:BL31)</f>
        <v>19.120000000000005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265</v>
      </c>
      <c r="AZ4" s="30">
        <f>Parcellaire!G3</f>
        <v>1</v>
      </c>
      <c r="BA4" s="30">
        <f>ROUND(Parcellaire!R3,0)</f>
        <v>0</v>
      </c>
      <c r="BB4" s="30">
        <f>ROUND(Parcellaire!S3,0)</f>
        <v>406</v>
      </c>
      <c r="BC4" s="30">
        <f>ROUND(Parcellaire!T3,0)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406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</v>
      </c>
      <c r="BL4" s="172">
        <f t="shared" ref="BL4:BL30" si="9">IF($AW4&gt;0,IF(AND($BF4="PE",$AW4=1),$AZ4,0),0)</f>
        <v>0</v>
      </c>
    </row>
    <row r="5" spans="1:64" x14ac:dyDescent="0.25">
      <c r="A5" s="14" t="s">
        <v>701</v>
      </c>
      <c r="B5" t="s">
        <v>577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702</v>
      </c>
      <c r="AJ5" s="30">
        <f>MAX(C203:Z203)</f>
        <v>10</v>
      </c>
      <c r="AO5" s="14" t="s">
        <v>703</v>
      </c>
      <c r="AP5" s="30">
        <f>BI31</f>
        <v>546</v>
      </c>
      <c r="AQ5">
        <f>+BL31</f>
        <v>1.27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266</v>
      </c>
      <c r="AZ5" s="30">
        <f>Parcellaire!G4</f>
        <v>1.5</v>
      </c>
      <c r="BA5" s="30">
        <f>ROUND(Parcellaire!R4,0)</f>
        <v>0</v>
      </c>
      <c r="BB5" s="30">
        <f>ROUND(Parcellaire!S4,0)</f>
        <v>476</v>
      </c>
      <c r="BC5" s="30">
        <f>ROUND(Parcellaire!T4,0)</f>
        <v>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2">
        <f t="shared" si="4"/>
        <v>0</v>
      </c>
      <c r="BH5" s="172">
        <f t="shared" si="5"/>
        <v>476</v>
      </c>
      <c r="BI5" s="172">
        <f t="shared" si="6"/>
        <v>0</v>
      </c>
      <c r="BJ5" s="172">
        <f t="shared" si="7"/>
        <v>0</v>
      </c>
      <c r="BK5" s="172">
        <f t="shared" si="8"/>
        <v>1.5</v>
      </c>
      <c r="BL5" s="172">
        <f t="shared" si="9"/>
        <v>0</v>
      </c>
    </row>
    <row r="6" spans="1:64" x14ac:dyDescent="0.25">
      <c r="A6" s="14" t="s">
        <v>704</v>
      </c>
      <c r="B6" t="s">
        <v>577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705</v>
      </c>
      <c r="AP6" s="30">
        <f>BH31</f>
        <v>4814</v>
      </c>
      <c r="AQ6">
        <f>BK31</f>
        <v>17.850000000000005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289</v>
      </c>
      <c r="AZ6" s="30">
        <f>Parcellaire!G5</f>
        <v>3</v>
      </c>
      <c r="BA6" s="30">
        <f>ROUND(Parcellaire!R5,0)</f>
        <v>0</v>
      </c>
      <c r="BB6" s="30">
        <f>ROUND(Parcellaire!S5,0)</f>
        <v>539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539</v>
      </c>
      <c r="BI6" s="172">
        <f t="shared" si="6"/>
        <v>0</v>
      </c>
      <c r="BJ6" s="172">
        <f t="shared" si="7"/>
        <v>0</v>
      </c>
      <c r="BK6" s="172">
        <f t="shared" si="8"/>
        <v>3</v>
      </c>
      <c r="BL6" s="172">
        <f t="shared" si="9"/>
        <v>0</v>
      </c>
    </row>
    <row r="7" spans="1:64" x14ac:dyDescent="0.25">
      <c r="A7" s="14" t="s">
        <v>706</v>
      </c>
      <c r="B7" t="s">
        <v>577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276</v>
      </c>
      <c r="AZ7" s="30">
        <f>Parcellaire!G6</f>
        <v>2.2000000000000002</v>
      </c>
      <c r="BA7" s="30">
        <f>ROUND(Parcellaire!R6,0)</f>
        <v>0</v>
      </c>
      <c r="BB7" s="30">
        <f>ROUND(Parcellaire!S6,0)</f>
        <v>602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602</v>
      </c>
      <c r="BI7" s="172">
        <f t="shared" si="6"/>
        <v>0</v>
      </c>
      <c r="BJ7" s="172">
        <f t="shared" si="7"/>
        <v>0</v>
      </c>
      <c r="BK7" s="172">
        <f t="shared" si="8"/>
        <v>2.2000000000000002</v>
      </c>
      <c r="BL7" s="172">
        <f t="shared" si="9"/>
        <v>0</v>
      </c>
    </row>
    <row r="8" spans="1:64" x14ac:dyDescent="0.25">
      <c r="A8" s="14" t="s">
        <v>708</v>
      </c>
      <c r="B8" t="s">
        <v>577</v>
      </c>
      <c r="C8" s="176">
        <f>(C3+C4)*[1]Protect!$B$12</f>
        <v>8</v>
      </c>
      <c r="D8" s="176">
        <f>(D3+D4)*[1]Protect!$B$12</f>
        <v>8</v>
      </c>
      <c r="E8" s="176">
        <f>(E3+E4)*[1]Protect!$B$12</f>
        <v>8</v>
      </c>
      <c r="F8" s="176">
        <f>(F3+F4)*[1]Protect!$B$12</f>
        <v>8</v>
      </c>
      <c r="G8" s="176">
        <f>(G3+G4)*[1]Protect!$B$12</f>
        <v>8</v>
      </c>
      <c r="H8" s="176">
        <f>(H3+H4)*[1]Protect!$B$12</f>
        <v>8</v>
      </c>
      <c r="I8" s="176">
        <f>(I3+I4)*[1]Protect!$B$12</f>
        <v>8</v>
      </c>
      <c r="J8" s="176">
        <f>(J3+J4)*[1]Protect!$B$12</f>
        <v>8</v>
      </c>
      <c r="K8" s="176">
        <f>(K3+K4)*[1]Protect!$B$12</f>
        <v>8</v>
      </c>
      <c r="L8" s="176">
        <f>(L3+L4)*[1]Protect!$B$12</f>
        <v>8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8</v>
      </c>
      <c r="X8" s="176">
        <f>(X3+X4)*[1]Protect!$B$12</f>
        <v>8</v>
      </c>
      <c r="Y8" s="176">
        <f>(Y3+Y4)*[1]Protect!$B$12</f>
        <v>10</v>
      </c>
      <c r="Z8" s="176">
        <f>(Z3+Z4)*[1]Protect!$B$12</f>
        <v>10</v>
      </c>
      <c r="AI8" s="40" t="s">
        <v>709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ROUND(Parcellaire!R7,0)</f>
        <v>0</v>
      </c>
      <c r="BB8" s="30" t="e">
        <f>ROUND(Parcellaire!S7,0)</f>
        <v>#VALUE!</v>
      </c>
      <c r="BC8" s="30">
        <f>ROUND(Parcellaire!T7,0)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2">
        <f t="shared" si="4"/>
        <v>0</v>
      </c>
      <c r="BH8" s="172">
        <f t="shared" si="5"/>
        <v>0</v>
      </c>
      <c r="BI8" s="172">
        <f t="shared" si="6"/>
        <v>0</v>
      </c>
      <c r="BJ8" s="172">
        <f t="shared" si="7"/>
        <v>0</v>
      </c>
      <c r="BK8" s="172">
        <f t="shared" si="8"/>
        <v>0</v>
      </c>
      <c r="BL8" s="172">
        <f t="shared" si="9"/>
        <v>0</v>
      </c>
    </row>
    <row r="9" spans="1:64" x14ac:dyDescent="0.25">
      <c r="A9" s="14" t="s">
        <v>710</v>
      </c>
      <c r="B9" t="s">
        <v>577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266</v>
      </c>
      <c r="AZ9" s="30">
        <f>Parcellaire!G8</f>
        <v>1</v>
      </c>
      <c r="BA9" s="30">
        <f>ROUND(Parcellaire!R8,0)</f>
        <v>0</v>
      </c>
      <c r="BB9" s="30">
        <f>ROUND(Parcellaire!S8,0)</f>
        <v>387</v>
      </c>
      <c r="BC9" s="30">
        <f>ROUND(Parcellaire!T8,0)</f>
        <v>155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387</v>
      </c>
      <c r="BI9" s="172">
        <f t="shared" si="6"/>
        <v>0</v>
      </c>
      <c r="BJ9" s="172">
        <f t="shared" si="7"/>
        <v>0</v>
      </c>
      <c r="BK9" s="172">
        <f t="shared" si="8"/>
        <v>1</v>
      </c>
      <c r="BL9" s="172">
        <f t="shared" si="9"/>
        <v>0</v>
      </c>
    </row>
    <row r="10" spans="1:64" x14ac:dyDescent="0.25">
      <c r="A10" s="14" t="s">
        <v>711</v>
      </c>
      <c r="B10" t="s">
        <v>577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265</v>
      </c>
      <c r="AZ10" s="30">
        <f>Parcellaire!G9</f>
        <v>1.8</v>
      </c>
      <c r="BA10" s="30">
        <f>ROUND(Parcellaire!R9,0)</f>
        <v>0</v>
      </c>
      <c r="BB10" s="30">
        <f>ROUND(Parcellaire!S9,0)</f>
        <v>327</v>
      </c>
      <c r="BC10" s="30">
        <f>ROUND(Parcellaire!T9,0)</f>
        <v>654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327</v>
      </c>
      <c r="BI10" s="172">
        <f t="shared" si="6"/>
        <v>0</v>
      </c>
      <c r="BJ10" s="172">
        <f t="shared" si="7"/>
        <v>0</v>
      </c>
      <c r="BK10" s="172">
        <f t="shared" si="8"/>
        <v>1.8</v>
      </c>
      <c r="BL10" s="172">
        <f t="shared" si="9"/>
        <v>0</v>
      </c>
    </row>
    <row r="11" spans="1:64" x14ac:dyDescent="0.25">
      <c r="A11" s="14" t="s">
        <v>712</v>
      </c>
      <c r="B11" t="s">
        <v>577</v>
      </c>
      <c r="C11" s="176">
        <f>SUM(C8:C10)</f>
        <v>8</v>
      </c>
      <c r="D11" s="176">
        <f t="shared" ref="D11:Z11" si="13">SUM(D8:D10)</f>
        <v>8</v>
      </c>
      <c r="E11" s="176">
        <f t="shared" si="13"/>
        <v>8</v>
      </c>
      <c r="F11" s="176">
        <f t="shared" si="13"/>
        <v>8</v>
      </c>
      <c r="G11" s="176">
        <f t="shared" si="13"/>
        <v>8</v>
      </c>
      <c r="H11" s="176">
        <f t="shared" si="13"/>
        <v>8</v>
      </c>
      <c r="I11" s="176">
        <f t="shared" si="13"/>
        <v>8</v>
      </c>
      <c r="J11" s="176">
        <f t="shared" si="13"/>
        <v>8</v>
      </c>
      <c r="K11" s="176">
        <f t="shared" si="13"/>
        <v>8</v>
      </c>
      <c r="L11" s="176">
        <f t="shared" si="13"/>
        <v>8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8</v>
      </c>
      <c r="X11" s="176">
        <f t="shared" si="13"/>
        <v>8</v>
      </c>
      <c r="Y11" s="176">
        <f t="shared" si="13"/>
        <v>10</v>
      </c>
      <c r="Z11" s="176">
        <f t="shared" si="13"/>
        <v>10</v>
      </c>
      <c r="AB11" s="2" t="s">
        <v>713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265</v>
      </c>
      <c r="AZ11" s="30">
        <f>Parcellaire!G10</f>
        <v>0.26</v>
      </c>
      <c r="BA11" s="30">
        <f>ROUND(Parcellaire!R10,0)</f>
        <v>0</v>
      </c>
      <c r="BB11" s="30">
        <f>ROUND(Parcellaire!S10,0)</f>
        <v>227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227</v>
      </c>
      <c r="BI11" s="172">
        <f t="shared" si="6"/>
        <v>0</v>
      </c>
      <c r="BJ11" s="172">
        <f t="shared" si="7"/>
        <v>0</v>
      </c>
      <c r="BK11" s="172">
        <f t="shared" si="8"/>
        <v>0.26</v>
      </c>
      <c r="BL11" s="172">
        <f t="shared" si="9"/>
        <v>0</v>
      </c>
    </row>
    <row r="12" spans="1:64" x14ac:dyDescent="0.25">
      <c r="A12" s="14" t="s">
        <v>714</v>
      </c>
      <c r="B12" t="s">
        <v>577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715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2">
        <f t="shared" si="4"/>
        <v>0</v>
      </c>
      <c r="BH12" s="172">
        <f t="shared" si="5"/>
        <v>0</v>
      </c>
      <c r="BI12" s="172">
        <f t="shared" si="6"/>
        <v>0</v>
      </c>
      <c r="BJ12" s="172">
        <f t="shared" si="7"/>
        <v>0</v>
      </c>
      <c r="BK12" s="172">
        <f t="shared" si="8"/>
        <v>0</v>
      </c>
      <c r="BL12" s="172">
        <f t="shared" si="9"/>
        <v>0</v>
      </c>
    </row>
    <row r="13" spans="1:64" x14ac:dyDescent="0.25">
      <c r="A13" s="14" t="s">
        <v>716</v>
      </c>
      <c r="B13" t="s">
        <v>577</v>
      </c>
      <c r="C13" s="176">
        <f>C11+C12</f>
        <v>8</v>
      </c>
      <c r="D13" s="176">
        <f t="shared" ref="D13:Z13" si="14">D11+D12</f>
        <v>8</v>
      </c>
      <c r="E13" s="176">
        <f t="shared" si="14"/>
        <v>8</v>
      </c>
      <c r="F13" s="176">
        <f t="shared" si="14"/>
        <v>8</v>
      </c>
      <c r="G13" s="176">
        <f t="shared" si="14"/>
        <v>8</v>
      </c>
      <c r="H13" s="176">
        <f t="shared" si="14"/>
        <v>8</v>
      </c>
      <c r="I13" s="176">
        <f t="shared" si="14"/>
        <v>8</v>
      </c>
      <c r="J13" s="176">
        <f t="shared" si="14"/>
        <v>8</v>
      </c>
      <c r="K13" s="176">
        <f t="shared" si="14"/>
        <v>8</v>
      </c>
      <c r="L13" s="176">
        <f t="shared" si="14"/>
        <v>8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8</v>
      </c>
      <c r="X13" s="176">
        <f t="shared" si="14"/>
        <v>8</v>
      </c>
      <c r="Y13" s="176">
        <f t="shared" si="14"/>
        <v>10</v>
      </c>
      <c r="Z13" s="176">
        <f t="shared" si="14"/>
        <v>10</v>
      </c>
      <c r="AC13" s="14" t="s">
        <v>717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720</v>
      </c>
      <c r="B15" t="s">
        <v>577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276</v>
      </c>
      <c r="AZ15" s="30">
        <f>Parcellaire!G14</f>
        <v>0.8</v>
      </c>
      <c r="BA15" s="30">
        <f>ROUND(Parcellaire!R14,0)</f>
        <v>0</v>
      </c>
      <c r="BB15" s="30">
        <f>ROUND(Parcellaire!S14,0)</f>
        <v>298</v>
      </c>
      <c r="BC15" s="30">
        <f>ROUND(Parcellaire!T14,0)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2">
        <f t="shared" si="4"/>
        <v>0</v>
      </c>
      <c r="BH15" s="172">
        <f t="shared" si="5"/>
        <v>298</v>
      </c>
      <c r="BI15" s="172">
        <f t="shared" si="6"/>
        <v>0</v>
      </c>
      <c r="BJ15" s="172">
        <f t="shared" si="7"/>
        <v>0</v>
      </c>
      <c r="BK15" s="172">
        <f t="shared" si="8"/>
        <v>0.8</v>
      </c>
      <c r="BL15" s="172">
        <f t="shared" si="9"/>
        <v>0</v>
      </c>
    </row>
    <row r="16" spans="1:64" x14ac:dyDescent="0.25">
      <c r="A16" s="177" t="s">
        <v>721</v>
      </c>
      <c r="B16" t="s">
        <v>577</v>
      </c>
      <c r="C16" s="172">
        <f t="shared" ref="C16:Z16" si="16">COUNTIF(C68:C77,1)</f>
        <v>1</v>
      </c>
      <c r="D16" s="172">
        <f t="shared" si="16"/>
        <v>1</v>
      </c>
      <c r="E16" s="172">
        <f t="shared" si="16"/>
        <v>1</v>
      </c>
      <c r="F16" s="172">
        <f t="shared" si="16"/>
        <v>1</v>
      </c>
      <c r="G16" s="172">
        <f t="shared" si="16"/>
        <v>1</v>
      </c>
      <c r="H16" s="172">
        <f t="shared" si="16"/>
        <v>1</v>
      </c>
      <c r="I16" s="172">
        <f t="shared" si="16"/>
        <v>1</v>
      </c>
      <c r="J16" s="172">
        <f t="shared" si="16"/>
        <v>1</v>
      </c>
      <c r="K16" s="172">
        <f t="shared" si="16"/>
        <v>1</v>
      </c>
      <c r="L16" s="172">
        <f t="shared" si="16"/>
        <v>1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0</v>
      </c>
      <c r="X16" s="172">
        <f t="shared" si="16"/>
        <v>0</v>
      </c>
      <c r="Y16" s="172">
        <f t="shared" si="16"/>
        <v>0</v>
      </c>
      <c r="Z16" s="172">
        <f t="shared" si="16"/>
        <v>0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266</v>
      </c>
      <c r="AZ16" s="30">
        <f>Parcellaire!G15</f>
        <v>2.5</v>
      </c>
      <c r="BA16" s="30">
        <f>ROUND(Parcellaire!R15,0)</f>
        <v>0</v>
      </c>
      <c r="BB16" s="30">
        <f>ROUND(Parcellaire!S15,0)</f>
        <v>578</v>
      </c>
      <c r="BC16" s="30">
        <f>ROUND(Parcellaire!T15,0)</f>
        <v>385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2">
        <f t="shared" si="4"/>
        <v>0</v>
      </c>
      <c r="BH16" s="172">
        <f t="shared" si="5"/>
        <v>578</v>
      </c>
      <c r="BI16" s="172">
        <f t="shared" si="6"/>
        <v>0</v>
      </c>
      <c r="BJ16" s="172">
        <f t="shared" si="7"/>
        <v>0</v>
      </c>
      <c r="BK16" s="172">
        <f t="shared" si="8"/>
        <v>2.5</v>
      </c>
      <c r="BL16" s="172">
        <f t="shared" si="9"/>
        <v>0</v>
      </c>
    </row>
    <row r="17" spans="1:64" x14ac:dyDescent="0.25">
      <c r="A17" s="177" t="s">
        <v>722</v>
      </c>
      <c r="B17" t="s">
        <v>577</v>
      </c>
      <c r="C17" s="172">
        <f t="shared" ref="C17:Z17" si="17">COUNTIF(C68:C77,0.5)</f>
        <v>4</v>
      </c>
      <c r="D17" s="172">
        <f t="shared" si="17"/>
        <v>4</v>
      </c>
      <c r="E17" s="172">
        <f t="shared" si="17"/>
        <v>4</v>
      </c>
      <c r="F17" s="172">
        <f t="shared" si="17"/>
        <v>4</v>
      </c>
      <c r="G17" s="172">
        <f t="shared" si="17"/>
        <v>4</v>
      </c>
      <c r="H17" s="172">
        <f t="shared" si="17"/>
        <v>4</v>
      </c>
      <c r="I17" s="172">
        <f t="shared" si="17"/>
        <v>4</v>
      </c>
      <c r="J17" s="172">
        <f t="shared" si="17"/>
        <v>4</v>
      </c>
      <c r="K17" s="172">
        <f t="shared" si="17"/>
        <v>4</v>
      </c>
      <c r="L17" s="172">
        <f t="shared" si="17"/>
        <v>3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2</v>
      </c>
      <c r="R17" s="172">
        <f t="shared" si="17"/>
        <v>2</v>
      </c>
      <c r="S17" s="172">
        <f t="shared" si="17"/>
        <v>2</v>
      </c>
      <c r="T17" s="172">
        <f t="shared" si="17"/>
        <v>2</v>
      </c>
      <c r="U17" s="172">
        <f t="shared" si="17"/>
        <v>2</v>
      </c>
      <c r="V17" s="172">
        <f t="shared" si="17"/>
        <v>2</v>
      </c>
      <c r="W17" s="172">
        <f t="shared" si="17"/>
        <v>4</v>
      </c>
      <c r="X17" s="172">
        <f t="shared" si="17"/>
        <v>4</v>
      </c>
      <c r="Y17" s="172">
        <f t="shared" si="17"/>
        <v>5</v>
      </c>
      <c r="Z17" s="172">
        <f t="shared" si="17"/>
        <v>5</v>
      </c>
      <c r="AB17" s="2" t="s">
        <v>723</v>
      </c>
      <c r="AD17" s="102" t="s">
        <v>724</v>
      </c>
      <c r="AE17" s="81"/>
      <c r="AF17" s="81"/>
      <c r="AH17" s="2" t="s">
        <v>725</v>
      </c>
      <c r="AK17" t="s">
        <v>726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727</v>
      </c>
      <c r="B18" t="s">
        <v>577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728</v>
      </c>
      <c r="AD18" s="120" t="s">
        <v>480</v>
      </c>
      <c r="AE18" s="81" t="s">
        <v>729</v>
      </c>
      <c r="AF18" s="120" t="s">
        <v>730</v>
      </c>
      <c r="AK18" t="s">
        <v>731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245</v>
      </c>
      <c r="AZ18" s="30">
        <f>Parcellaire!G17</f>
        <v>0.5</v>
      </c>
      <c r="BA18" s="30">
        <f>ROUND(Parcellaire!R17,0)</f>
        <v>0</v>
      </c>
      <c r="BB18" s="30">
        <f>ROUND(Parcellaire!S17,0)</f>
        <v>165</v>
      </c>
      <c r="BC18" s="30">
        <f>ROUND(Parcellaire!T17,0)</f>
        <v>330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165</v>
      </c>
      <c r="BJ18" s="172">
        <f t="shared" si="7"/>
        <v>0</v>
      </c>
      <c r="BK18" s="172">
        <f t="shared" si="8"/>
        <v>0</v>
      </c>
      <c r="BL18" s="172">
        <f t="shared" si="9"/>
        <v>0.5</v>
      </c>
    </row>
    <row r="19" spans="1:64" x14ac:dyDescent="0.25">
      <c r="A19" s="177" t="s">
        <v>732</v>
      </c>
      <c r="B19" t="s">
        <v>577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724</v>
      </c>
      <c r="AK19" s="170" t="s">
        <v>734</v>
      </c>
      <c r="AV19" s="30">
        <f>Parcellaire!A18</f>
        <v>17</v>
      </c>
      <c r="AW19" s="30">
        <f>Parcellaire!B18</f>
        <v>1</v>
      </c>
      <c r="AX19" s="30" t="str">
        <f>Parcellaire!D18</f>
        <v>éloigné</v>
      </c>
      <c r="AY19" s="30">
        <f>Parcellaire!F18</f>
        <v>245</v>
      </c>
      <c r="AZ19" s="30">
        <f>Parcellaire!G18</f>
        <v>0.5</v>
      </c>
      <c r="BA19" s="30">
        <f>ROUND(Parcellaire!R18,0)</f>
        <v>0</v>
      </c>
      <c r="BB19" s="30">
        <f>ROUND(Parcellaire!S18,0)</f>
        <v>200</v>
      </c>
      <c r="BC19" s="30">
        <f>ROUND(Parcellaire!T18,0)</f>
        <v>200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2">
        <f t="shared" si="4"/>
        <v>0</v>
      </c>
      <c r="BH19" s="172">
        <f t="shared" si="5"/>
        <v>0</v>
      </c>
      <c r="BI19" s="172">
        <f t="shared" si="6"/>
        <v>200</v>
      </c>
      <c r="BJ19" s="172">
        <f t="shared" si="7"/>
        <v>0</v>
      </c>
      <c r="BK19" s="172">
        <f t="shared" si="8"/>
        <v>0</v>
      </c>
      <c r="BL19" s="172">
        <f t="shared" si="9"/>
        <v>0.5</v>
      </c>
    </row>
    <row r="20" spans="1:64" x14ac:dyDescent="0.25">
      <c r="A20" s="177" t="s">
        <v>735</v>
      </c>
      <c r="B20" t="s">
        <v>577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736</v>
      </c>
      <c r="AD20" s="64">
        <f>IF(AND(Troupeau!B3="OL",Scénario!K88=1),Protection!AP4,0)</f>
        <v>5360</v>
      </c>
      <c r="AE20" s="64">
        <v>0</v>
      </c>
      <c r="AF20" s="64">
        <f>SUM(AD20:AE20)</f>
        <v>5360</v>
      </c>
      <c r="AH20" s="30">
        <v>0</v>
      </c>
      <c r="AJ20" s="14" t="s">
        <v>737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266</v>
      </c>
      <c r="AZ20" s="30">
        <f>Parcellaire!G19</f>
        <v>0.27</v>
      </c>
      <c r="BA20" s="30">
        <f>ROUND(Parcellaire!R19,0)</f>
        <v>0</v>
      </c>
      <c r="BB20" s="30">
        <f>ROUND(Parcellaire!S19,0)</f>
        <v>181</v>
      </c>
      <c r="BC20" s="30">
        <f>ROUND(Parcellaire!T19,0)</f>
        <v>121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2">
        <f t="shared" si="4"/>
        <v>0</v>
      </c>
      <c r="BH20" s="172">
        <f t="shared" si="5"/>
        <v>0</v>
      </c>
      <c r="BI20" s="172">
        <f t="shared" si="6"/>
        <v>181</v>
      </c>
      <c r="BJ20" s="172">
        <f t="shared" si="7"/>
        <v>0</v>
      </c>
      <c r="BK20" s="172">
        <f t="shared" si="8"/>
        <v>0</v>
      </c>
      <c r="BL20" s="172">
        <f t="shared" si="9"/>
        <v>0.27</v>
      </c>
    </row>
    <row r="21" spans="1:64" x14ac:dyDescent="0.25">
      <c r="A21" s="177" t="s">
        <v>738</v>
      </c>
      <c r="B21" t="s">
        <v>577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739</v>
      </c>
      <c r="AC21" s="14"/>
      <c r="AD21" s="64"/>
      <c r="AE21" s="64"/>
      <c r="AF21" s="64"/>
      <c r="AJ21" s="14" t="s">
        <v>740</v>
      </c>
      <c r="AK21" s="64">
        <f>IF(OR(Scénario!K87=1,Scénario!K87=2),Protection!AF20,IF(OR(Scénario!K87=3,Scénario!K87=4),Protection!AF22,0))</f>
        <v>5360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0.94</v>
      </c>
      <c r="BA21" s="30">
        <f>ROUND(Parcellaire!R20,0)</f>
        <v>0</v>
      </c>
      <c r="BB21" s="30">
        <f>ROUND(Parcellaire!S20,0)</f>
        <v>288</v>
      </c>
      <c r="BC21" s="30">
        <f>ROUND(Parcellaire!T20,0)</f>
        <v>288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2">
        <f t="shared" si="4"/>
        <v>0</v>
      </c>
      <c r="BH21" s="172">
        <f t="shared" si="5"/>
        <v>288</v>
      </c>
      <c r="BI21" s="172">
        <f t="shared" si="6"/>
        <v>0</v>
      </c>
      <c r="BJ21" s="172">
        <f t="shared" si="7"/>
        <v>0</v>
      </c>
      <c r="BK21" s="172">
        <f t="shared" si="8"/>
        <v>0.94</v>
      </c>
      <c r="BL21" s="172">
        <f t="shared" si="9"/>
        <v>0</v>
      </c>
    </row>
    <row r="22" spans="1:64" x14ac:dyDescent="0.25">
      <c r="A22" s="177" t="s">
        <v>741</v>
      </c>
      <c r="B22" t="s">
        <v>577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736</v>
      </c>
      <c r="AD22" s="64">
        <f>IF(AND(Scénario!K88=1,Troupeau!B3="OL"),Protection!AP6,0)</f>
        <v>4814</v>
      </c>
      <c r="AE22" s="64">
        <f>IF(AND(LEFT(Scénario!K12,2)="OL",Troupeau!C3&lt;&gt;"",Scénario!K91=1),Protection!AP5+Protection!AP3,0)</f>
        <v>0</v>
      </c>
      <c r="AF22" s="64">
        <f>SUM(AD22:AE22)</f>
        <v>4814</v>
      </c>
      <c r="AH22" s="30">
        <f>IF(AND(Troupeau!B3&lt;&gt;"OL",Scénario!K91=1),AP4,0)</f>
        <v>0</v>
      </c>
      <c r="AJ22" s="14" t="s">
        <v>725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46</v>
      </c>
      <c r="AZ23" s="30">
        <f>Parcellaire!G22</f>
        <v>10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743</v>
      </c>
      <c r="B25" t="s">
        <v>591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0</v>
      </c>
      <c r="J25" s="176">
        <f t="shared" si="22"/>
        <v>0</v>
      </c>
      <c r="K25" s="176">
        <f t="shared" si="22"/>
        <v>0</v>
      </c>
      <c r="L25" s="176">
        <f t="shared" si="22"/>
        <v>0</v>
      </c>
      <c r="M25" s="176">
        <f t="shared" si="22"/>
        <v>0</v>
      </c>
      <c r="N25" s="176">
        <f t="shared" si="22"/>
        <v>0</v>
      </c>
      <c r="O25" s="176">
        <f t="shared" si="22"/>
        <v>0</v>
      </c>
      <c r="P25" s="176">
        <f t="shared" si="22"/>
        <v>0</v>
      </c>
      <c r="Q25" s="176">
        <f t="shared" si="22"/>
        <v>0</v>
      </c>
      <c r="R25" s="176">
        <f t="shared" si="22"/>
        <v>0</v>
      </c>
      <c r="S25" s="176">
        <f t="shared" si="22"/>
        <v>0</v>
      </c>
      <c r="T25" s="176">
        <f t="shared" si="22"/>
        <v>0</v>
      </c>
      <c r="U25" s="176">
        <f t="shared" si="22"/>
        <v>0</v>
      </c>
      <c r="V25" s="176">
        <f t="shared" si="22"/>
        <v>0</v>
      </c>
      <c r="W25" s="176">
        <f t="shared" si="22"/>
        <v>0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744</v>
      </c>
      <c r="AK25" s="30">
        <f>IF(Troupeau!B3&lt;&gt;"OL",Protection!AK22,IF(AND(Troupeau!B3="OL",Scénario!K88=1),Protection!AK21,IF(AND(Troupeau!B3="OL",Scénario!K88=2),Protection!AK20,0)))</f>
        <v>5360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701</v>
      </c>
      <c r="B26" t="s">
        <v>591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745</v>
      </c>
      <c r="AC26" s="14"/>
      <c r="AD26" s="170" t="s">
        <v>480</v>
      </c>
      <c r="AE26" t="s">
        <v>746</v>
      </c>
      <c r="AJ26" s="14" t="s">
        <v>685</v>
      </c>
      <c r="AK26" s="30">
        <f>IF(AK25=AP3,AQ3,IF(AK25=AP4,AQ4,IF(AK25=AP6,AQ6,0)))</f>
        <v>19.120000000000005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704</v>
      </c>
      <c r="B27" t="s">
        <v>591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706</v>
      </c>
      <c r="B28" t="s">
        <v>591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748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708</v>
      </c>
      <c r="B29" t="s">
        <v>591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749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710</v>
      </c>
      <c r="B30" t="s">
        <v>591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750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711</v>
      </c>
      <c r="B31" t="s">
        <v>591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751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4814</v>
      </c>
      <c r="BI31" s="62">
        <f t="shared" si="26"/>
        <v>546</v>
      </c>
      <c r="BJ31" s="62">
        <f t="shared" si="26"/>
        <v>0</v>
      </c>
      <c r="BK31" s="62">
        <f t="shared" si="26"/>
        <v>17.850000000000005</v>
      </c>
      <c r="BL31" s="62">
        <f>SUM(BL3:BL30)</f>
        <v>1.27</v>
      </c>
    </row>
    <row r="32" spans="1:64" x14ac:dyDescent="0.25">
      <c r="A32" s="14" t="s">
        <v>712</v>
      </c>
      <c r="B32" t="s">
        <v>591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0</v>
      </c>
      <c r="J32" s="176">
        <f t="shared" si="27"/>
        <v>0</v>
      </c>
      <c r="K32" s="176">
        <f t="shared" si="27"/>
        <v>0</v>
      </c>
      <c r="L32" s="176">
        <f t="shared" si="27"/>
        <v>0</v>
      </c>
      <c r="M32" s="176">
        <f t="shared" si="27"/>
        <v>0</v>
      </c>
      <c r="N32" s="176">
        <f t="shared" si="27"/>
        <v>0</v>
      </c>
      <c r="O32" s="176">
        <f t="shared" si="27"/>
        <v>0</v>
      </c>
      <c r="P32" s="176">
        <f t="shared" si="27"/>
        <v>0</v>
      </c>
      <c r="Q32" s="176">
        <f t="shared" si="27"/>
        <v>0</v>
      </c>
      <c r="R32" s="176">
        <f t="shared" si="27"/>
        <v>0</v>
      </c>
      <c r="S32" s="176">
        <f t="shared" si="27"/>
        <v>0</v>
      </c>
      <c r="T32" s="176">
        <f t="shared" si="27"/>
        <v>0</v>
      </c>
      <c r="U32" s="176">
        <f t="shared" si="27"/>
        <v>0</v>
      </c>
      <c r="V32" s="176">
        <f t="shared" si="27"/>
        <v>0</v>
      </c>
      <c r="W32" s="176">
        <f t="shared" si="27"/>
        <v>0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752</v>
      </c>
    </row>
    <row r="33" spans="1:132" x14ac:dyDescent="0.25">
      <c r="A33" s="14" t="s">
        <v>714</v>
      </c>
      <c r="B33" t="s">
        <v>591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753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716</v>
      </c>
      <c r="B34" t="s">
        <v>591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0</v>
      </c>
      <c r="J34" s="176">
        <f t="shared" si="28"/>
        <v>0</v>
      </c>
      <c r="K34" s="176">
        <f t="shared" si="28"/>
        <v>0</v>
      </c>
      <c r="L34" s="176">
        <f t="shared" si="28"/>
        <v>0</v>
      </c>
      <c r="M34" s="176">
        <f t="shared" si="28"/>
        <v>0</v>
      </c>
      <c r="N34" s="176">
        <f t="shared" si="28"/>
        <v>0</v>
      </c>
      <c r="O34" s="176">
        <f t="shared" si="28"/>
        <v>0</v>
      </c>
      <c r="P34" s="176">
        <f t="shared" si="28"/>
        <v>0</v>
      </c>
      <c r="Q34" s="176">
        <f t="shared" si="28"/>
        <v>0</v>
      </c>
      <c r="R34" s="176">
        <f t="shared" si="28"/>
        <v>0</v>
      </c>
      <c r="S34" s="176">
        <f t="shared" si="28"/>
        <v>0</v>
      </c>
      <c r="T34" s="176">
        <f t="shared" si="28"/>
        <v>0</v>
      </c>
      <c r="U34" s="176">
        <f t="shared" si="28"/>
        <v>0</v>
      </c>
      <c r="V34" s="176">
        <f t="shared" si="28"/>
        <v>0</v>
      </c>
      <c r="W34" s="176">
        <f t="shared" si="28"/>
        <v>0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720</v>
      </c>
      <c r="B36" t="s">
        <v>591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721</v>
      </c>
      <c r="B37" t="s">
        <v>591</v>
      </c>
      <c r="C37" s="172">
        <f t="shared" ref="C37:Z37" si="30">COUNTIF(C110:C119,1)</f>
        <v>0</v>
      </c>
      <c r="D37" s="172">
        <f t="shared" si="30"/>
        <v>0</v>
      </c>
      <c r="E37" s="172">
        <f t="shared" si="30"/>
        <v>0</v>
      </c>
      <c r="F37" s="172">
        <f t="shared" si="30"/>
        <v>0</v>
      </c>
      <c r="G37" s="172">
        <f t="shared" si="30"/>
        <v>0</v>
      </c>
      <c r="H37" s="172">
        <f t="shared" si="30"/>
        <v>0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0</v>
      </c>
      <c r="Y37" s="172">
        <f t="shared" si="30"/>
        <v>0</v>
      </c>
      <c r="Z37" s="172">
        <f t="shared" si="30"/>
        <v>0</v>
      </c>
    </row>
    <row r="38" spans="1:132" x14ac:dyDescent="0.25">
      <c r="A38" s="177" t="s">
        <v>722</v>
      </c>
      <c r="B38" t="s">
        <v>591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0</v>
      </c>
      <c r="J38" s="172">
        <f t="shared" si="31"/>
        <v>0</v>
      </c>
      <c r="K38" s="172">
        <f t="shared" si="31"/>
        <v>0</v>
      </c>
      <c r="L38" s="172">
        <f t="shared" si="31"/>
        <v>0</v>
      </c>
      <c r="M38" s="172">
        <f t="shared" si="31"/>
        <v>0</v>
      </c>
      <c r="N38" s="172">
        <f t="shared" si="31"/>
        <v>0</v>
      </c>
      <c r="O38" s="172">
        <f t="shared" si="31"/>
        <v>0</v>
      </c>
      <c r="P38" s="172">
        <f t="shared" si="31"/>
        <v>0</v>
      </c>
      <c r="Q38" s="172">
        <f t="shared" si="31"/>
        <v>0</v>
      </c>
      <c r="R38" s="172">
        <f t="shared" si="31"/>
        <v>0</v>
      </c>
      <c r="S38" s="172">
        <f t="shared" si="31"/>
        <v>0</v>
      </c>
      <c r="T38" s="172">
        <f t="shared" si="31"/>
        <v>0</v>
      </c>
      <c r="U38" s="172">
        <f t="shared" si="31"/>
        <v>0</v>
      </c>
      <c r="V38" s="172">
        <f t="shared" si="31"/>
        <v>0</v>
      </c>
      <c r="W38" s="172">
        <f t="shared" si="31"/>
        <v>0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727</v>
      </c>
      <c r="B39" t="s">
        <v>591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7" t="s">
        <v>732</v>
      </c>
      <c r="B40" t="s">
        <v>591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735</v>
      </c>
      <c r="B41" t="s">
        <v>591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738</v>
      </c>
      <c r="B42" t="s">
        <v>591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741</v>
      </c>
      <c r="B43" t="s">
        <v>591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743</v>
      </c>
      <c r="B46" t="s">
        <v>598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701</v>
      </c>
      <c r="B47" t="s">
        <v>598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704</v>
      </c>
      <c r="B48" t="s">
        <v>598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706</v>
      </c>
      <c r="B49" t="s">
        <v>598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2</v>
      </c>
      <c r="AW49" s="181">
        <f>IF(CdTrp1!C77=1,1,IF(CdTrp1!C77=2,2,IF(CdTrp1!C77=3,2,0)))</f>
        <v>2</v>
      </c>
      <c r="AX49" s="181">
        <f>IF(CdTrp1!D77=1,1,IF(CdTrp1!D77=2,2,IF(CdTrp1!D77=3,2,0)))</f>
        <v>2</v>
      </c>
      <c r="AY49" s="181">
        <f>IF(CdTrp1!E77=1,1,IF(CdTrp1!E77=2,2,IF(CdTrp1!E77=3,2,0)))</f>
        <v>2</v>
      </c>
      <c r="AZ49" s="181">
        <f>IF(CdTrp1!F77=1,1,IF(CdTrp1!F77=2,2,IF(CdTrp1!F77=3,2,0)))</f>
        <v>2</v>
      </c>
      <c r="BA49" s="181">
        <f>IF(CdTrp1!G77=1,1,IF(CdTrp1!G77=2,2,IF(CdTrp1!G77=3,2,0)))</f>
        <v>2</v>
      </c>
      <c r="BB49" s="181">
        <f>IF(CdTrp1!H77=1,1,IF(CdTrp1!H77=2,2,IF(CdTrp1!H77=3,2,0)))</f>
        <v>2</v>
      </c>
      <c r="BC49" s="181">
        <f>IF(CdTrp1!I77=1,1,IF(CdTrp1!I77=2,2,IF(CdTrp1!I77=3,2,0)))</f>
        <v>2</v>
      </c>
      <c r="BD49" s="181">
        <f>IF(CdTrp1!J77=1,1,IF(CdTrp1!J77=2,2,IF(CdTrp1!J77=3,2,0)))</f>
        <v>2</v>
      </c>
      <c r="BE49" s="181">
        <f>IF(CdTrp1!K77=1,1,IF(CdTrp1!K77=2,2,IF(CdTrp1!K77=3,2,0)))</f>
        <v>2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2</v>
      </c>
      <c r="BQ49" s="181">
        <f>IF(CdTrp1!W77=1,1,IF(CdTrp1!W77=2,2,IF(CdTrp1!W77=3,2,0)))</f>
        <v>2</v>
      </c>
      <c r="BR49" s="181">
        <f>IF(CdTrp1!X77=1,1,IF(CdTrp1!X77=2,2,IF(CdTrp1!X77=3,2,0)))</f>
        <v>2</v>
      </c>
      <c r="BS49" s="181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708</v>
      </c>
      <c r="B50" t="s">
        <v>598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1</v>
      </c>
      <c r="AW50" s="181">
        <f>IF(CdTrp1!C78=1,1,IF(CdTrp1!C78=2,2,IF(CdTrp1!C78=3,2,0)))</f>
        <v>1</v>
      </c>
      <c r="AX50" s="181">
        <f>IF(CdTrp1!D78=1,1,IF(CdTrp1!D78=2,2,IF(CdTrp1!D78=3,2,0)))</f>
        <v>1</v>
      </c>
      <c r="AY50" s="181">
        <f>IF(CdTrp1!E78=1,1,IF(CdTrp1!E78=2,2,IF(CdTrp1!E78=3,2,0)))</f>
        <v>1</v>
      </c>
      <c r="AZ50" s="181">
        <f>IF(CdTrp1!F78=1,1,IF(CdTrp1!F78=2,2,IF(CdTrp1!F78=3,2,0)))</f>
        <v>1</v>
      </c>
      <c r="BA50" s="181">
        <f>IF(CdTrp1!G78=1,1,IF(CdTrp1!G78=2,2,IF(CdTrp1!G78=3,2,0)))</f>
        <v>1</v>
      </c>
      <c r="BB50" s="181">
        <f>IF(CdTrp1!H78=1,1,IF(CdTrp1!H78=2,2,IF(CdTrp1!H78=3,2,0)))</f>
        <v>1</v>
      </c>
      <c r="BC50" s="181">
        <f>IF(CdTrp1!I78=1,1,IF(CdTrp1!I78=2,2,IF(CdTrp1!I78=3,2,0)))</f>
        <v>1</v>
      </c>
      <c r="BD50" s="181">
        <f>IF(CdTrp1!J78=1,1,IF(CdTrp1!J78=2,2,IF(CdTrp1!J78=3,2,0)))</f>
        <v>1</v>
      </c>
      <c r="BE50" s="181">
        <f>IF(CdTrp1!K78=1,1,IF(CdTrp1!K78=2,2,IF(CdTrp1!K78=3,2,0)))</f>
        <v>1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2</v>
      </c>
      <c r="BQ50" s="181">
        <f>IF(CdTrp1!W78=1,1,IF(CdTrp1!W78=2,2,IF(CdTrp1!W78=3,2,0)))</f>
        <v>2</v>
      </c>
      <c r="BR50" s="181">
        <f>IF(CdTrp1!X78=1,1,IF(CdTrp1!X78=2,2,IF(CdTrp1!X78=3,2,0)))</f>
        <v>2</v>
      </c>
      <c r="BS50" s="181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710</v>
      </c>
      <c r="B51" t="s">
        <v>598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1</v>
      </c>
      <c r="BS51" s="18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711</v>
      </c>
      <c r="B52" t="s">
        <v>598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1</v>
      </c>
      <c r="BQ52" s="181">
        <f>IF(CdTrp1!W80=1,1,IF(CdTrp1!W80=2,2,IF(CdTrp1!W80=3,2,0)))</f>
        <v>1</v>
      </c>
      <c r="BR52" s="181">
        <f>IF(CdTrp1!X80=1,1,IF(CdTrp1!X80=2,2,IF(CdTrp1!X80=3,2,0)))</f>
        <v>1</v>
      </c>
      <c r="BS52" s="181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712</v>
      </c>
      <c r="B53" t="s">
        <v>598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714</v>
      </c>
      <c r="B54" t="s">
        <v>598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716</v>
      </c>
      <c r="B55" t="s">
        <v>598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720</v>
      </c>
      <c r="B57" t="s">
        <v>598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721</v>
      </c>
      <c r="B58" t="s">
        <v>598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722</v>
      </c>
      <c r="B59" t="s">
        <v>598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727</v>
      </c>
      <c r="B60" t="s">
        <v>598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732</v>
      </c>
      <c r="B61" t="s">
        <v>598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735</v>
      </c>
      <c r="B62" t="s">
        <v>598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738</v>
      </c>
      <c r="B63" t="s">
        <v>598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741</v>
      </c>
      <c r="B64" t="s">
        <v>598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757</v>
      </c>
      <c r="AV67" s="171"/>
      <c r="AW67" s="171"/>
    </row>
    <row r="68" spans="1:49" x14ac:dyDescent="0.25">
      <c r="A68" s="40" t="s">
        <v>758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218.22857142857154</v>
      </c>
      <c r="AD68" s="15"/>
      <c r="AE68" s="181"/>
      <c r="AF68" s="181"/>
      <c r="AG68" s="181"/>
      <c r="AH68" s="181"/>
      <c r="AI68" s="181"/>
    </row>
    <row r="69" spans="1:49" x14ac:dyDescent="0.25">
      <c r="B69" s="260" t="str">
        <f>CdTrp1!A53</f>
        <v>Lot des béliers</v>
      </c>
      <c r="C69" s="172">
        <f>IF($AA69=0,99,IF(C82&gt;3,CdTrp1!B77,CdTrp1!B53))</f>
        <v>0.5</v>
      </c>
      <c r="D69" s="172">
        <f>IF($AA69=0,99,IF(D82&gt;3,CdTrp1!C77,CdTrp1!C53))</f>
        <v>0.5</v>
      </c>
      <c r="E69" s="172">
        <f>IF($AA69=0,99,IF(E82&gt;3,CdTrp1!D77,CdTrp1!D53))</f>
        <v>0.5</v>
      </c>
      <c r="F69" s="172">
        <f>IF($AA69=0,99,IF(F82&gt;3,CdTrp1!E77,CdTrp1!E53))</f>
        <v>0.5</v>
      </c>
      <c r="G69" s="172">
        <f>IF($AA69=0,99,IF(G82&gt;3,CdTrp1!F77,CdTrp1!F53))</f>
        <v>0.5</v>
      </c>
      <c r="H69" s="172">
        <f>IF($AA69=0,99,IF(H82&gt;3,CdTrp1!G77,CdTrp1!G53))</f>
        <v>0.5</v>
      </c>
      <c r="I69" s="172">
        <f>IF($AA69=0,99,IF(I82&gt;3,CdTrp1!H77,CdTrp1!H53))</f>
        <v>0.5</v>
      </c>
      <c r="J69" s="172">
        <f>IF($AA69=0,99,IF(J82&gt;3,CdTrp1!I77,CdTrp1!I53))</f>
        <v>0.5</v>
      </c>
      <c r="K69" s="172">
        <f>IF($AA69=0,99,IF(K82&gt;3,CdTrp1!J77,CdTrp1!J53))</f>
        <v>0.5</v>
      </c>
      <c r="L69" s="172">
        <f>IF($AA69=0,99,IF(L82&gt;3,CdTrp1!K77,CdTrp1!K53))</f>
        <v>0.5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0.5</v>
      </c>
      <c r="X69" s="172">
        <f>IF($AA69=0,99,IF(X82&gt;3,CdTrp1!W77,CdTrp1!W53))</f>
        <v>0.5</v>
      </c>
      <c r="Y69" s="172">
        <f>IF($AA69=0,99,IF(Y82&gt;3,CdTrp1!X77,CdTrp1!X53))</f>
        <v>0.5</v>
      </c>
      <c r="Z69" s="172">
        <f>IF($AA69=0,99,IF(Z82&gt;3,CdTrp1!Y77,CdTrp1!Y53))</f>
        <v>0.5</v>
      </c>
      <c r="AA69" s="181">
        <f>SUM(CdTrp1!B16:Y16)/24</f>
        <v>2.9777777777777765</v>
      </c>
      <c r="AD69" s="15"/>
      <c r="AU69" s="183"/>
    </row>
    <row r="70" spans="1:49" x14ac:dyDescent="0.25">
      <c r="B70" s="260" t="str">
        <f>CdTrp1!A54</f>
        <v>Lot des vides</v>
      </c>
      <c r="C70" s="172">
        <f>IF($AA70=0,99,IF(C83&gt;3,CdTrp1!B78,CdTrp1!B54))</f>
        <v>0.5</v>
      </c>
      <c r="D70" s="172">
        <f>IF($AA70=0,99,IF(D83&gt;3,CdTrp1!C78,CdTrp1!C54))</f>
        <v>0.5</v>
      </c>
      <c r="E70" s="172">
        <f>IF($AA70=0,99,IF(E83&gt;3,CdTrp1!D78,CdTrp1!D54))</f>
        <v>0.5</v>
      </c>
      <c r="F70" s="172">
        <f>IF($AA70=0,99,IF(F83&gt;3,CdTrp1!E78,CdTrp1!E54))</f>
        <v>0.5</v>
      </c>
      <c r="G70" s="172">
        <f>IF($AA70=0,99,IF(G83&gt;3,CdTrp1!F78,CdTrp1!F54))</f>
        <v>0.5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0.5</v>
      </c>
      <c r="X70" s="172">
        <f>IF($AA70=0,99,IF(X83&gt;3,CdTrp1!W78,CdTrp1!W54))</f>
        <v>0.5</v>
      </c>
      <c r="Y70" s="172">
        <f>IF($AA70=0,99,IF(Y83&gt;3,CdTrp1!X78,CdTrp1!X54))</f>
        <v>0.5</v>
      </c>
      <c r="Z70" s="172">
        <f>IF($AA70=0,99,IF(Z83&gt;3,CdTrp1!Y78,CdTrp1!Y54))</f>
        <v>0.5</v>
      </c>
      <c r="AA70" s="181">
        <f>SUM(CdTrp1!B17:Y17)/24</f>
        <v>7.8166666666666691</v>
      </c>
      <c r="AD70" s="15"/>
    </row>
    <row r="71" spans="1:49" x14ac:dyDescent="0.25">
      <c r="B71" s="30" t="str">
        <f>CdTrp1!A55</f>
        <v>Lot des tardives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13.612698412698414</v>
      </c>
      <c r="AD71" s="15"/>
    </row>
    <row r="72" spans="1:49" x14ac:dyDescent="0.25">
      <c r="B72" s="260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0.5</v>
      </c>
      <c r="R72" s="172">
        <f>IF($AA72=0,99,IF(R85&gt;3,CdTrp1!Q80,CdTrp1!Q56))</f>
        <v>0.5</v>
      </c>
      <c r="S72" s="172">
        <f>IF($AA72=0,99,IF(S85&gt;3,CdTrp1!R80,CdTrp1!R56))</f>
        <v>0.5</v>
      </c>
      <c r="T72" s="172">
        <f>IF($AA72=0,99,IF(T85&gt;3,CdTrp1!S80,CdTrp1!S56))</f>
        <v>0.5</v>
      </c>
      <c r="U72" s="172">
        <f>IF($AA72=0,99,IF(U85&gt;3,CdTrp1!T80,CdTrp1!T56))</f>
        <v>0.5</v>
      </c>
      <c r="V72" s="172">
        <f>IF($AA72=0,99,IF(V85&gt;3,CdTrp1!U80,CdTrp1!U56))</f>
        <v>0.5</v>
      </c>
      <c r="W72" s="172">
        <f>IF($AA72=0,99,IF(W85&gt;3,CdTrp1!V80,CdTrp1!V56))</f>
        <v>0.5</v>
      </c>
      <c r="X72" s="172">
        <f>IF($AA72=0,99,IF(X85&gt;3,CdTrp1!W80,CdTrp1!W56))</f>
        <v>0.5</v>
      </c>
      <c r="Y72" s="172">
        <f>IF($AA72=0,99,IF(Y85&gt;3,CdTrp1!X80,CdTrp1!X56))</f>
        <v>0.5</v>
      </c>
      <c r="Z72" s="172">
        <f>IF($AA72=0,99,IF(Z85&gt;3,CdTrp1!Y80,CdTrp1!Y56))</f>
        <v>0.5</v>
      </c>
      <c r="AA72" s="181">
        <f>SUM(CdTrp1!B19:Y19)/24</f>
        <v>59.661904761904793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60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60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60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759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60" t="str">
        <f>CdTrp1!A77</f>
        <v>Lot des béliers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2</v>
      </c>
      <c r="H82" s="172">
        <f>CdTrp1!G77</f>
        <v>2</v>
      </c>
      <c r="I82" s="172">
        <f>CdTrp1!H77</f>
        <v>2</v>
      </c>
      <c r="J82" s="172">
        <f>CdTrp1!I77</f>
        <v>2</v>
      </c>
      <c r="K82" s="172">
        <f>CdTrp1!J77</f>
        <v>2</v>
      </c>
      <c r="L82" s="172">
        <f>CdTrp1!K77</f>
        <v>2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2</v>
      </c>
      <c r="X82" s="172">
        <f>CdTrp1!W77</f>
        <v>2</v>
      </c>
      <c r="Y82" s="172">
        <f>CdTrp1!X77</f>
        <v>2</v>
      </c>
      <c r="Z82" s="172">
        <f>CdTrp1!Y77</f>
        <v>2</v>
      </c>
      <c r="AC82">
        <v>4</v>
      </c>
    </row>
    <row r="83" spans="1:29" x14ac:dyDescent="0.25">
      <c r="B83" s="260" t="str">
        <f>CdTrp1!A78</f>
        <v>Lot des vides</v>
      </c>
      <c r="C83" s="172">
        <f>CdTrp1!B78</f>
        <v>1</v>
      </c>
      <c r="D83" s="172">
        <f>CdTrp1!C78</f>
        <v>1</v>
      </c>
      <c r="E83" s="172">
        <f>CdTrp1!D78</f>
        <v>1</v>
      </c>
      <c r="F83" s="172">
        <f>CdTrp1!E78</f>
        <v>1</v>
      </c>
      <c r="G83" s="172">
        <f>CdTrp1!F78</f>
        <v>1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2</v>
      </c>
      <c r="X83" s="172">
        <f>CdTrp1!W78</f>
        <v>2</v>
      </c>
      <c r="Y83" s="172">
        <f>CdTrp1!X78</f>
        <v>2</v>
      </c>
      <c r="Z83" s="172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1</v>
      </c>
      <c r="Z84" s="172">
        <f>CdTrp1!Y79</f>
        <v>1</v>
      </c>
    </row>
    <row r="85" spans="1:29" x14ac:dyDescent="0.25">
      <c r="B85" s="260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1</v>
      </c>
      <c r="X85" s="172">
        <f>CdTrp1!W80</f>
        <v>1</v>
      </c>
      <c r="Y85" s="172">
        <f>CdTrp1!X80</f>
        <v>1</v>
      </c>
      <c r="Z85" s="172">
        <f>CdTrp1!Y80</f>
        <v>1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60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60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60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757</v>
      </c>
    </row>
    <row r="110" spans="1:27" x14ac:dyDescent="0.25">
      <c r="A110" s="40" t="s">
        <v>760</v>
      </c>
      <c r="B110" s="184" t="str">
        <f>CdTrp2!A52</f>
        <v>lot1</v>
      </c>
      <c r="C110" s="172">
        <f>IF($AA110=0,99,IF(C123&gt;3,CdTrp2!B76,CdTrp2!B52))</f>
        <v>99</v>
      </c>
      <c r="D110" s="172">
        <f>IF($AA110=0,99,IF(D123&gt;3,CdTrp2!C76,CdTrp2!C52))</f>
        <v>99</v>
      </c>
      <c r="E110" s="172">
        <f>IF($AA110=0,99,IF(E123&gt;3,CdTrp2!D76,CdTrp2!D52))</f>
        <v>99</v>
      </c>
      <c r="F110" s="172">
        <f>IF($AA110=0,99,IF(F123&gt;3,CdTrp2!E76,CdTrp2!E52))</f>
        <v>99</v>
      </c>
      <c r="G110" s="172">
        <f>IF($AA110=0,99,IF(G123&gt;3,CdTrp2!F76,CdTrp2!F52))</f>
        <v>99</v>
      </c>
      <c r="H110" s="172">
        <f>IF($AA110=0,99,IF(H123&gt;3,CdTrp2!G76,CdTrp2!G52))</f>
        <v>99</v>
      </c>
      <c r="I110" s="172">
        <f>IF($AA110=0,99,IF(I123&gt;3,CdTrp2!H76,CdTrp2!H52))</f>
        <v>99</v>
      </c>
      <c r="J110" s="172">
        <f>IF($AA110=0,99,IF(J123&gt;3,CdTrp2!I76,CdTrp2!I52))</f>
        <v>99</v>
      </c>
      <c r="K110" s="172">
        <f>IF($AA110=0,99,IF(K123&gt;3,CdTrp2!J76,CdTrp2!J52))</f>
        <v>99</v>
      </c>
      <c r="L110" s="172">
        <f>IF($AA110=0,99,IF(L123&gt;3,CdTrp2!K76,CdTrp2!K52))</f>
        <v>99</v>
      </c>
      <c r="M110" s="172">
        <f>IF($AA110=0,99,IF(M123&gt;3,CdTrp2!L76,CdTrp2!L52))</f>
        <v>99</v>
      </c>
      <c r="N110" s="172">
        <f>IF($AA110=0,99,IF(N123&gt;3,CdTrp2!M76,CdTrp2!M52))</f>
        <v>99</v>
      </c>
      <c r="O110" s="172">
        <f>IF($AA110=0,99,IF(O123&gt;3,CdTrp2!N76,CdTrp2!N52))</f>
        <v>99</v>
      </c>
      <c r="P110" s="172">
        <f>IF($AA110=0,99,IF(P123&gt;3,CdTrp2!O76,CdTrp2!O52))</f>
        <v>99</v>
      </c>
      <c r="Q110" s="172">
        <f>IF($AA110=0,99,IF(Q123&gt;3,CdTrp2!P76,CdTrp2!P52))</f>
        <v>99</v>
      </c>
      <c r="R110" s="172">
        <f>IF($AA110=0,99,IF(R123&gt;3,CdTrp2!Q76,CdTrp2!Q52))</f>
        <v>99</v>
      </c>
      <c r="S110" s="172">
        <f>IF($AA110=0,99,IF(S123&gt;3,CdTrp2!R76,CdTrp2!R52))</f>
        <v>99</v>
      </c>
      <c r="T110" s="172">
        <f>IF($AA110=0,99,IF(T123&gt;3,CdTrp2!S76,CdTrp2!S52))</f>
        <v>99</v>
      </c>
      <c r="U110" s="172">
        <f>IF($AA110=0,99,IF(U123&gt;3,CdTrp2!T76,CdTrp2!T52))</f>
        <v>99</v>
      </c>
      <c r="V110" s="172">
        <f>IF($AA110=0,99,IF(V123&gt;3,CdTrp2!U76,CdTrp2!U52))</f>
        <v>99</v>
      </c>
      <c r="W110" s="172">
        <f>IF($AA110=0,99,IF(W123&gt;3,CdTrp2!V76,CdTrp2!V52))</f>
        <v>99</v>
      </c>
      <c r="X110" s="172">
        <f>IF($AA110=0,99,IF(X123&gt;3,CdTrp2!W76,CdTrp2!W52))</f>
        <v>99</v>
      </c>
      <c r="Y110" s="172">
        <f>IF($AA110=0,99,IF(Y123&gt;3,CdTrp2!X76,CdTrp2!X52))</f>
        <v>99</v>
      </c>
      <c r="Z110" s="172">
        <f>IF($AA110=0,99,IF(Z123&gt;3,CdTrp2!Y76,CdTrp2!Y52))</f>
        <v>99</v>
      </c>
      <c r="AA110" s="181">
        <f>SUM(CdTrp2!B15:Y15)/24</f>
        <v>0</v>
      </c>
    </row>
    <row r="111" spans="1:27" x14ac:dyDescent="0.25">
      <c r="B111" s="273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3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3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3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3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3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0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0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0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0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0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0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757</v>
      </c>
    </row>
    <row r="153" spans="1:27" x14ac:dyDescent="0.25">
      <c r="A153" s="40" t="s">
        <v>762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3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3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3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3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3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3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0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0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0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0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0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0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763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764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765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766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767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768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769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770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771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772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773</v>
      </c>
      <c r="C201" s="172">
        <f>IF(Troupeau!$B$3="OL",C8+C9,0)</f>
        <v>8</v>
      </c>
      <c r="D201" s="172">
        <f>IF(Troupeau!$B$3="OL",D8+D9,0)</f>
        <v>8</v>
      </c>
      <c r="E201" s="172">
        <f>IF(Troupeau!$B$3="OL",E8+E9,0)</f>
        <v>8</v>
      </c>
      <c r="F201" s="172">
        <f>IF(Troupeau!$B$3="OL",F8+F9,0)</f>
        <v>8</v>
      </c>
      <c r="G201" s="172">
        <f>IF(Troupeau!$B$3="OL",G8+G9,0)</f>
        <v>8</v>
      </c>
      <c r="H201" s="172">
        <f>IF(Troupeau!$B$3="OL",H8+H9,0)</f>
        <v>8</v>
      </c>
      <c r="I201" s="172">
        <f>IF(Troupeau!$B$3="OL",I8+I9,0)</f>
        <v>8</v>
      </c>
      <c r="J201" s="172">
        <f>IF(Troupeau!$B$3="OL",J8+J9,0)</f>
        <v>8</v>
      </c>
      <c r="K201" s="172">
        <f>IF(Troupeau!$B$3="OL",K8+K9,0)</f>
        <v>8</v>
      </c>
      <c r="L201" s="172">
        <f>IF(Troupeau!$B$3="OL",L8+L9,0)</f>
        <v>8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8</v>
      </c>
      <c r="X201" s="172">
        <f>IF(Troupeau!$B$3="OL",X8+X9,0)</f>
        <v>8</v>
      </c>
      <c r="Y201" s="172">
        <f>IF(Troupeau!$B$3="OL",Y8+Y9,0)</f>
        <v>10</v>
      </c>
      <c r="Z201" s="172">
        <f>IF(Troupeau!$B$3="OL",Z8+Z9,0)</f>
        <v>10</v>
      </c>
    </row>
    <row r="202" spans="1:26" x14ac:dyDescent="0.25">
      <c r="A202" t="s">
        <v>774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775</v>
      </c>
      <c r="C203" s="172">
        <f>SUM(C201:C202)</f>
        <v>8</v>
      </c>
      <c r="D203" s="172">
        <f t="shared" ref="D203:Z203" si="50">SUM(D201:D202)</f>
        <v>8</v>
      </c>
      <c r="E203" s="172">
        <f t="shared" si="50"/>
        <v>8</v>
      </c>
      <c r="F203" s="172">
        <f t="shared" si="50"/>
        <v>8</v>
      </c>
      <c r="G203" s="172">
        <f t="shared" si="50"/>
        <v>8</v>
      </c>
      <c r="H203" s="172">
        <f t="shared" si="50"/>
        <v>8</v>
      </c>
      <c r="I203" s="172">
        <f t="shared" si="50"/>
        <v>8</v>
      </c>
      <c r="J203" s="172">
        <f t="shared" si="50"/>
        <v>8</v>
      </c>
      <c r="K203" s="172">
        <f t="shared" si="50"/>
        <v>8</v>
      </c>
      <c r="L203" s="172">
        <f t="shared" si="50"/>
        <v>8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8</v>
      </c>
      <c r="X203" s="172">
        <f t="shared" si="50"/>
        <v>8</v>
      </c>
      <c r="Y203" s="172">
        <f t="shared" si="50"/>
        <v>10</v>
      </c>
      <c r="Z203" s="172">
        <f t="shared" si="50"/>
        <v>10</v>
      </c>
    </row>
    <row r="204" spans="1:26" x14ac:dyDescent="0.25">
      <c r="A204" t="s">
        <v>776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777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778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779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780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781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782</v>
      </c>
      <c r="C212" s="172">
        <f>C201+C204+C206+C208</f>
        <v>8</v>
      </c>
      <c r="D212" s="172">
        <f t="shared" ref="D212:Z213" si="51">D201+D204+D206+D208</f>
        <v>8</v>
      </c>
      <c r="E212" s="172">
        <f t="shared" si="51"/>
        <v>8</v>
      </c>
      <c r="F212" s="172">
        <f t="shared" si="51"/>
        <v>8</v>
      </c>
      <c r="G212" s="172">
        <f t="shared" si="51"/>
        <v>8</v>
      </c>
      <c r="H212" s="172">
        <f t="shared" si="51"/>
        <v>8</v>
      </c>
      <c r="I212" s="172">
        <f t="shared" si="51"/>
        <v>8</v>
      </c>
      <c r="J212" s="172">
        <f t="shared" si="51"/>
        <v>8</v>
      </c>
      <c r="K212" s="172">
        <f t="shared" si="51"/>
        <v>8</v>
      </c>
      <c r="L212" s="172">
        <f t="shared" si="51"/>
        <v>8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8</v>
      </c>
      <c r="X212" s="172">
        <f t="shared" si="51"/>
        <v>8</v>
      </c>
      <c r="Y212" s="172">
        <f t="shared" si="51"/>
        <v>10</v>
      </c>
      <c r="Z212" s="172">
        <f t="shared" si="51"/>
        <v>10</v>
      </c>
    </row>
    <row r="213" spans="1:26" x14ac:dyDescent="0.25">
      <c r="A213" s="15" t="s">
        <v>783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784</v>
      </c>
      <c r="C214" s="172">
        <f>C212+C213</f>
        <v>8</v>
      </c>
      <c r="D214" s="172">
        <f t="shared" ref="D214:Z214" si="52">D212+D213</f>
        <v>8</v>
      </c>
      <c r="E214" s="172">
        <f t="shared" si="52"/>
        <v>8</v>
      </c>
      <c r="F214" s="172">
        <f t="shared" si="52"/>
        <v>8</v>
      </c>
      <c r="G214" s="172">
        <f t="shared" si="52"/>
        <v>8</v>
      </c>
      <c r="H214" s="172">
        <f t="shared" si="52"/>
        <v>8</v>
      </c>
      <c r="I214" s="172">
        <f t="shared" si="52"/>
        <v>8</v>
      </c>
      <c r="J214" s="172">
        <f t="shared" si="52"/>
        <v>8</v>
      </c>
      <c r="K214" s="172">
        <f t="shared" si="52"/>
        <v>8</v>
      </c>
      <c r="L214" s="172">
        <f t="shared" si="52"/>
        <v>8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8</v>
      </c>
      <c r="X214" s="172">
        <f t="shared" si="52"/>
        <v>8</v>
      </c>
      <c r="Y214" s="172">
        <f t="shared" si="52"/>
        <v>10</v>
      </c>
      <c r="Z214" s="172">
        <f t="shared" si="52"/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opLeftCell="AS1" zoomScale="80" zoomScaleNormal="80" workbookViewId="0">
      <pane ySplit="1" topLeftCell="A73" activePane="bottomLeft" state="frozen"/>
      <selection activeCell="L18" sqref="L18"/>
      <selection pane="bottomLeft" activeCell="AV107" sqref="AV10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8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785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5" t="s">
        <v>786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786</v>
      </c>
      <c r="AS2" s="40" t="s">
        <v>577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591</v>
      </c>
      <c r="BZ2" s="172">
        <f>Troupeau!C3</f>
        <v>0</v>
      </c>
      <c r="CA2" s="172">
        <f>IF(BZ2="OL",1,IF(BZ2="BV",2,IF(BZ2="BL",3,IF(BZ2="EQ",4,0))))</f>
        <v>0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787</v>
      </c>
      <c r="B3" s="2"/>
      <c r="C3" s="2"/>
      <c r="D3" s="23"/>
      <c r="E3" s="23"/>
      <c r="AR3" s="185" t="s">
        <v>786</v>
      </c>
      <c r="AT3" s="2" t="s">
        <v>788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788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788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789</v>
      </c>
      <c r="B4" s="2"/>
      <c r="C4" s="2"/>
      <c r="D4" s="23"/>
      <c r="E4" s="23"/>
      <c r="F4" s="33"/>
      <c r="AR4" s="185" t="s">
        <v>786</v>
      </c>
      <c r="AT4" s="186" t="str">
        <f>AT26</f>
        <v>Lot principal de brebis traites</v>
      </c>
      <c r="AU4" s="171"/>
      <c r="AV4" s="172">
        <f>CdTrp1!B15</f>
        <v>206.10476190476192</v>
      </c>
      <c r="AW4" s="172">
        <f>CdTrp1!C15</f>
        <v>209.93333333333334</v>
      </c>
      <c r="AX4" s="172">
        <f>CdTrp1!D15</f>
        <v>213.76190476190476</v>
      </c>
      <c r="AY4" s="172">
        <f>CdTrp1!E15</f>
        <v>200.36190476190475</v>
      </c>
      <c r="AZ4" s="172">
        <f>CdTrp1!F15</f>
        <v>204.1904761904762</v>
      </c>
      <c r="BA4" s="172">
        <f>CdTrp1!G15</f>
        <v>208.65714285714284</v>
      </c>
      <c r="BB4" s="172">
        <f>CdTrp1!H15</f>
        <v>213.12380952380951</v>
      </c>
      <c r="BC4" s="172">
        <f>CdTrp1!I15</f>
        <v>218.22857142857143</v>
      </c>
      <c r="BD4" s="172">
        <f>CdTrp1!J15</f>
        <v>222.05714285714285</v>
      </c>
      <c r="BE4" s="172">
        <f>CdTrp1!K15</f>
        <v>223.33333333333334</v>
      </c>
      <c r="BF4" s="172">
        <f>CdTrp1!L15</f>
        <v>224.60952380952381</v>
      </c>
      <c r="BG4" s="172">
        <f>CdTrp1!M15</f>
        <v>224.60952380952381</v>
      </c>
      <c r="BH4" s="172">
        <f>CdTrp1!N15</f>
        <v>224.60952380952381</v>
      </c>
      <c r="BI4" s="172">
        <f>CdTrp1!O15</f>
        <v>224.60952380952381</v>
      </c>
      <c r="BJ4" s="172">
        <f>CdTrp1!P15</f>
        <v>224.60952380952381</v>
      </c>
      <c r="BK4" s="172">
        <f>CdTrp1!Q15</f>
        <v>224.60952380952381</v>
      </c>
      <c r="BL4" s="172">
        <f>CdTrp1!R15</f>
        <v>224.60952380952381</v>
      </c>
      <c r="BM4" s="172">
        <f>CdTrp1!S15</f>
        <v>208.01904761904763</v>
      </c>
      <c r="BN4" s="172">
        <f>CdTrp1!T15</f>
        <v>208.01904761904763</v>
      </c>
      <c r="BO4" s="172">
        <f>CdTrp1!U15</f>
        <v>208.01904761904763</v>
      </c>
      <c r="BP4" s="172">
        <f>CdTrp1!V15</f>
        <v>254.6</v>
      </c>
      <c r="BQ4" s="172">
        <f>CdTrp1!W15</f>
        <v>254.6</v>
      </c>
      <c r="BR4" s="172">
        <f>CdTrp1!X15</f>
        <v>206.10476190476192</v>
      </c>
      <c r="BS4" s="172">
        <f>CdTrp1!Y15</f>
        <v>206.10476190476192</v>
      </c>
      <c r="BZ4" s="186" t="str">
        <f>+CdTrp2!A15</f>
        <v>lot1</v>
      </c>
      <c r="CA4" s="171"/>
      <c r="CB4" s="172">
        <f>CdTrp2!B15</f>
        <v>0</v>
      </c>
      <c r="CC4" s="172">
        <f>CdTrp2!C15</f>
        <v>0</v>
      </c>
      <c r="CD4" s="172">
        <f>CdTrp2!D15</f>
        <v>0</v>
      </c>
      <c r="CE4" s="172">
        <f>CdTrp2!E15</f>
        <v>0</v>
      </c>
      <c r="CF4" s="172">
        <f>CdTrp2!F15</f>
        <v>0</v>
      </c>
      <c r="CG4" s="172">
        <f>CdTrp2!G15</f>
        <v>0</v>
      </c>
      <c r="CH4" s="172">
        <f>CdTrp2!H15</f>
        <v>0</v>
      </c>
      <c r="CI4" s="172">
        <f>CdTrp2!I15</f>
        <v>0</v>
      </c>
      <c r="CJ4" s="172">
        <f>CdTrp2!J15</f>
        <v>0</v>
      </c>
      <c r="CK4" s="172">
        <f>CdTrp2!K15</f>
        <v>0</v>
      </c>
      <c r="CL4" s="172">
        <f>CdTrp2!L15</f>
        <v>0</v>
      </c>
      <c r="CM4" s="172">
        <f>CdTrp2!M15</f>
        <v>0</v>
      </c>
      <c r="CN4" s="172">
        <f>CdTrp2!N15</f>
        <v>0</v>
      </c>
      <c r="CO4" s="172">
        <f>CdTrp2!O15</f>
        <v>0</v>
      </c>
      <c r="CP4" s="172">
        <f>CdTrp2!P15</f>
        <v>0</v>
      </c>
      <c r="CQ4" s="172">
        <f>CdTrp2!Q15</f>
        <v>0</v>
      </c>
      <c r="CR4" s="172">
        <f>CdTrp2!R15</f>
        <v>0</v>
      </c>
      <c r="CS4" s="172">
        <f>CdTrp2!S15</f>
        <v>0</v>
      </c>
      <c r="CT4" s="172">
        <f>CdTrp2!T15</f>
        <v>0</v>
      </c>
      <c r="CU4" s="172">
        <f>CdTrp2!U15</f>
        <v>0</v>
      </c>
      <c r="CV4" s="172">
        <f>CdTrp2!V15</f>
        <v>0</v>
      </c>
      <c r="CW4" s="172">
        <f>CdTrp2!W15</f>
        <v>0</v>
      </c>
      <c r="CX4" s="172">
        <f>CdTrp2!X15</f>
        <v>0</v>
      </c>
      <c r="CY4" s="172">
        <f>CdTrp2!Y15</f>
        <v>0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577</v>
      </c>
      <c r="F5" s="172">
        <f>SUM(G5:AD5)</f>
        <v>1120</v>
      </c>
      <c r="G5" s="172">
        <f>AV117</f>
        <v>63</v>
      </c>
      <c r="H5" s="172">
        <f t="shared" ref="H5:AD5" si="0">AW117</f>
        <v>63</v>
      </c>
      <c r="I5" s="172">
        <f t="shared" si="0"/>
        <v>63</v>
      </c>
      <c r="J5" s="172">
        <f t="shared" si="0"/>
        <v>63</v>
      </c>
      <c r="K5" s="172">
        <f t="shared" si="0"/>
        <v>63</v>
      </c>
      <c r="L5" s="172">
        <f t="shared" si="0"/>
        <v>63</v>
      </c>
      <c r="M5" s="172">
        <f t="shared" si="0"/>
        <v>63</v>
      </c>
      <c r="N5" s="172">
        <f t="shared" si="0"/>
        <v>63</v>
      </c>
      <c r="O5" s="172">
        <f t="shared" si="0"/>
        <v>63</v>
      </c>
      <c r="P5" s="172">
        <f t="shared" si="0"/>
        <v>49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28</v>
      </c>
      <c r="V5" s="172">
        <f t="shared" si="0"/>
        <v>28</v>
      </c>
      <c r="W5" s="172">
        <f t="shared" si="0"/>
        <v>28</v>
      </c>
      <c r="X5" s="172">
        <f t="shared" si="0"/>
        <v>28</v>
      </c>
      <c r="Y5" s="172">
        <f t="shared" si="0"/>
        <v>28</v>
      </c>
      <c r="Z5" s="172">
        <f t="shared" si="0"/>
        <v>28</v>
      </c>
      <c r="AA5" s="172">
        <f t="shared" si="0"/>
        <v>56</v>
      </c>
      <c r="AB5" s="172">
        <f t="shared" si="0"/>
        <v>56</v>
      </c>
      <c r="AC5" s="172">
        <f t="shared" si="0"/>
        <v>84</v>
      </c>
      <c r="AD5" s="172">
        <f t="shared" si="0"/>
        <v>84</v>
      </c>
      <c r="AR5" s="185" t="s">
        <v>786</v>
      </c>
      <c r="AT5" s="186" t="str">
        <f t="shared" ref="AT5:AT13" si="1">AT27</f>
        <v>Lot des béliers</v>
      </c>
      <c r="AU5" s="171"/>
      <c r="AV5" s="172">
        <f>CdTrp1!B16</f>
        <v>5.1047619047619044</v>
      </c>
      <c r="AW5" s="172">
        <f>CdTrp1!C16</f>
        <v>5.1047619047619044</v>
      </c>
      <c r="AX5" s="172">
        <f>CdTrp1!D16</f>
        <v>5.1047619047619044</v>
      </c>
      <c r="AY5" s="172">
        <f>CdTrp1!E16</f>
        <v>5.1047619047619044</v>
      </c>
      <c r="AZ5" s="172">
        <f>CdTrp1!F16</f>
        <v>5.1047619047619044</v>
      </c>
      <c r="BA5" s="172">
        <f>CdTrp1!G16</f>
        <v>5.1047619047619044</v>
      </c>
      <c r="BB5" s="172">
        <f>CdTrp1!H16</f>
        <v>5.1047619047619044</v>
      </c>
      <c r="BC5" s="172">
        <f>CdTrp1!I16</f>
        <v>5.1047619047619044</v>
      </c>
      <c r="BD5" s="172">
        <f>CdTrp1!J16</f>
        <v>5.1047619047619044</v>
      </c>
      <c r="BE5" s="172">
        <f>CdTrp1!K16</f>
        <v>5.1047619047619044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5.1047619047619044</v>
      </c>
      <c r="BQ5" s="172">
        <f>CdTrp1!W16</f>
        <v>5.1047619047619044</v>
      </c>
      <c r="BR5" s="172">
        <f>CdTrp1!X16</f>
        <v>5.1047619047619044</v>
      </c>
      <c r="BS5" s="172">
        <f>CdTrp1!Y16</f>
        <v>5.1047619047619044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591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786</v>
      </c>
      <c r="AT6" s="186" t="str">
        <f t="shared" si="1"/>
        <v>Lot des vides</v>
      </c>
      <c r="AU6" s="171"/>
      <c r="AV6" s="172">
        <f>CdTrp1!B17</f>
        <v>13.4</v>
      </c>
      <c r="AW6" s="172">
        <f>CdTrp1!C17</f>
        <v>13.4</v>
      </c>
      <c r="AX6" s="172">
        <f>CdTrp1!D17</f>
        <v>13.4</v>
      </c>
      <c r="AY6" s="172">
        <f>CdTrp1!E17</f>
        <v>13.4</v>
      </c>
      <c r="AZ6" s="172">
        <f>CdTrp1!F17</f>
        <v>13.4</v>
      </c>
      <c r="BA6" s="172">
        <f>CdTrp1!G17</f>
        <v>13.4</v>
      </c>
      <c r="BB6" s="172">
        <f>CdTrp1!H17</f>
        <v>13.4</v>
      </c>
      <c r="BC6" s="172">
        <f>CdTrp1!I17</f>
        <v>13.4</v>
      </c>
      <c r="BD6" s="172">
        <f>CdTrp1!J17</f>
        <v>13.4</v>
      </c>
      <c r="BE6" s="172">
        <f>CdTrp1!K17</f>
        <v>13.4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13.4</v>
      </c>
      <c r="BQ6" s="172">
        <f>CdTrp1!W17</f>
        <v>13.4</v>
      </c>
      <c r="BR6" s="172">
        <f>CdTrp1!X17</f>
        <v>13.4</v>
      </c>
      <c r="BS6" s="172">
        <f>CdTrp1!Y17</f>
        <v>13.4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786</v>
      </c>
      <c r="AT7" s="186" t="str">
        <f t="shared" si="1"/>
        <v>Lot des tardives</v>
      </c>
      <c r="AU7" s="171"/>
      <c r="AV7" s="172">
        <f>CdTrp1!B18</f>
        <v>48.495238095238093</v>
      </c>
      <c r="AW7" s="172">
        <f>CdTrp1!C18</f>
        <v>42.752380952380953</v>
      </c>
      <c r="AX7" s="172">
        <f>CdTrp1!D18</f>
        <v>37.009523809523813</v>
      </c>
      <c r="AY7" s="172">
        <f>CdTrp1!E18</f>
        <v>31.266666666666666</v>
      </c>
      <c r="AZ7" s="172">
        <f>CdTrp1!F18</f>
        <v>25.523809523809526</v>
      </c>
      <c r="BA7" s="172">
        <f>CdTrp1!G18</f>
        <v>19.780952380952382</v>
      </c>
      <c r="BB7" s="172">
        <f>CdTrp1!H18</f>
        <v>14.038095238095238</v>
      </c>
      <c r="BC7" s="172">
        <f>CdTrp1!I18</f>
        <v>8.295238095238096</v>
      </c>
      <c r="BD7" s="172">
        <f>CdTrp1!J18</f>
        <v>2.5523809523809522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48.495238095238093</v>
      </c>
      <c r="BS7" s="172">
        <f>CdTrp1!Y18</f>
        <v>48.495238095238093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790</v>
      </c>
      <c r="B8" s="2"/>
      <c r="C8" s="2"/>
      <c r="D8" s="23"/>
      <c r="E8" s="23"/>
      <c r="AR8" s="185" t="s">
        <v>786</v>
      </c>
      <c r="AT8" s="186" t="str">
        <f t="shared" si="1"/>
        <v>Lot des agnelles</v>
      </c>
      <c r="AU8" s="171"/>
      <c r="AV8" s="172">
        <f>CdTrp1!B19</f>
        <v>65.085714285714289</v>
      </c>
      <c r="AW8" s="172">
        <f>CdTrp1!C19</f>
        <v>65.085714285714289</v>
      </c>
      <c r="AX8" s="172">
        <f>CdTrp1!D19</f>
        <v>65.085714285714289</v>
      </c>
      <c r="AY8" s="172">
        <f>CdTrp1!E19</f>
        <v>65.085714285714289</v>
      </c>
      <c r="AZ8" s="172">
        <f>CdTrp1!F19</f>
        <v>65.085714285714289</v>
      </c>
      <c r="BA8" s="172">
        <f>CdTrp1!G19</f>
        <v>65.085714285714289</v>
      </c>
      <c r="BB8" s="172">
        <f>CdTrp1!H19</f>
        <v>65.085714285714289</v>
      </c>
      <c r="BC8" s="172">
        <f>CdTrp1!I19</f>
        <v>65.085714285714289</v>
      </c>
      <c r="BD8" s="172">
        <f>CdTrp1!J19</f>
        <v>65.085714285714289</v>
      </c>
      <c r="BE8" s="172">
        <f>CdTrp1!K19</f>
        <v>65.085714285714289</v>
      </c>
      <c r="BF8" s="172">
        <f>CdTrp1!L19</f>
        <v>65.085714285714289</v>
      </c>
      <c r="BG8" s="172">
        <f>CdTrp1!M19</f>
        <v>65.085714285714289</v>
      </c>
      <c r="BH8" s="172">
        <f>CdTrp1!N19</f>
        <v>65.085714285714289</v>
      </c>
      <c r="BI8" s="172">
        <f>CdTrp1!O19</f>
        <v>65.085714285714289</v>
      </c>
      <c r="BJ8" s="172">
        <f>CdTrp1!P19</f>
        <v>65.085714285714289</v>
      </c>
      <c r="BK8" s="172">
        <f>CdTrp1!Q19</f>
        <v>65.085714285714289</v>
      </c>
      <c r="BL8" s="172">
        <f>CdTrp1!R19</f>
        <v>65.085714285714289</v>
      </c>
      <c r="BM8" s="172">
        <f>CdTrp1!S19</f>
        <v>65.085714285714289</v>
      </c>
      <c r="BN8" s="172">
        <f>CdTrp1!T19</f>
        <v>65.085714285714289</v>
      </c>
      <c r="BO8" s="172">
        <f>CdTrp1!U19</f>
        <v>65.085714285714289</v>
      </c>
      <c r="BP8" s="172">
        <f>CdTrp1!V19</f>
        <v>0</v>
      </c>
      <c r="BQ8" s="172">
        <f>CdTrp1!W19</f>
        <v>0</v>
      </c>
      <c r="BR8" s="172">
        <f>CdTrp1!X19</f>
        <v>65.085714285714289</v>
      </c>
      <c r="BS8" s="172">
        <f>CdTrp1!Y19</f>
        <v>65.085714285714289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577</v>
      </c>
      <c r="F9" s="172">
        <f>SUM(G9:AD9)</f>
        <v>1009.9299999999998</v>
      </c>
      <c r="G9" s="30">
        <f>AV102</f>
        <v>52.086666666666666</v>
      </c>
      <c r="H9" s="30">
        <f t="shared" ref="H9:AD9" si="4">AW102</f>
        <v>52.019666666666666</v>
      </c>
      <c r="I9" s="30">
        <f t="shared" si="4"/>
        <v>51.952666666666666</v>
      </c>
      <c r="J9" s="30">
        <f t="shared" si="4"/>
        <v>51.282666666666664</v>
      </c>
      <c r="K9" s="30">
        <f t="shared" si="4"/>
        <v>51.215666666666664</v>
      </c>
      <c r="L9" s="30">
        <f t="shared" si="4"/>
        <v>51.170999999999999</v>
      </c>
      <c r="M9" s="30">
        <f t="shared" si="4"/>
        <v>51.126333333333335</v>
      </c>
      <c r="N9" s="30">
        <f t="shared" si="4"/>
        <v>51.103999999999999</v>
      </c>
      <c r="O9" s="30">
        <f t="shared" si="4"/>
        <v>51.036999999999999</v>
      </c>
      <c r="P9" s="30">
        <f t="shared" si="4"/>
        <v>50.992333333333335</v>
      </c>
      <c r="Q9" s="30">
        <f t="shared" si="4"/>
        <v>50.389333333333333</v>
      </c>
      <c r="R9" s="30">
        <f t="shared" si="4"/>
        <v>50.389333333333333</v>
      </c>
      <c r="S9" s="30">
        <f t="shared" si="4"/>
        <v>50.389333333333333</v>
      </c>
      <c r="T9" s="30">
        <f t="shared" si="4"/>
        <v>50.389333333333333</v>
      </c>
      <c r="U9" s="30">
        <f t="shared" si="4"/>
        <v>29.389333333333333</v>
      </c>
      <c r="V9" s="30">
        <f t="shared" si="4"/>
        <v>29.389333333333333</v>
      </c>
      <c r="W9" s="30">
        <f t="shared" si="4"/>
        <v>29.389333333333333</v>
      </c>
      <c r="X9" s="30">
        <f t="shared" si="4"/>
        <v>28.808666666666667</v>
      </c>
      <c r="Y9" s="30">
        <f t="shared" si="4"/>
        <v>28.808666666666667</v>
      </c>
      <c r="Z9" s="30">
        <f t="shared" si="4"/>
        <v>28.808666666666667</v>
      </c>
      <c r="AA9" s="30">
        <f t="shared" si="4"/>
        <v>28.808666666666667</v>
      </c>
      <c r="AB9" s="30">
        <f t="shared" si="4"/>
        <v>28.808666666666667</v>
      </c>
      <c r="AC9" s="30">
        <f t="shared" si="4"/>
        <v>31.086666666666666</v>
      </c>
      <c r="AD9" s="30">
        <f t="shared" si="4"/>
        <v>31.086666666666666</v>
      </c>
      <c r="AR9" s="185" t="s">
        <v>786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591</v>
      </c>
      <c r="F10" s="172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5" t="s">
        <v>786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786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786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791</v>
      </c>
      <c r="F13" s="172">
        <f t="shared" si="5"/>
        <v>2129.9299999999994</v>
      </c>
      <c r="G13" s="30">
        <f>SUM(G5:G11)</f>
        <v>115.08666666666667</v>
      </c>
      <c r="H13" s="30">
        <f t="shared" ref="H13:AD13" si="8">SUM(H5:H11)</f>
        <v>115.01966666666667</v>
      </c>
      <c r="I13" s="30">
        <f t="shared" si="8"/>
        <v>114.95266666666666</v>
      </c>
      <c r="J13" s="30">
        <f t="shared" si="8"/>
        <v>114.28266666666667</v>
      </c>
      <c r="K13" s="30">
        <f t="shared" si="8"/>
        <v>114.21566666666666</v>
      </c>
      <c r="L13" s="30">
        <f t="shared" si="8"/>
        <v>114.17099999999999</v>
      </c>
      <c r="M13" s="30">
        <f t="shared" si="8"/>
        <v>114.12633333333333</v>
      </c>
      <c r="N13" s="30">
        <f t="shared" si="8"/>
        <v>114.104</v>
      </c>
      <c r="O13" s="30">
        <f t="shared" si="8"/>
        <v>114.03700000000001</v>
      </c>
      <c r="P13" s="30">
        <f t="shared" si="8"/>
        <v>99.992333333333335</v>
      </c>
      <c r="Q13" s="30">
        <f t="shared" si="8"/>
        <v>64.389333333333326</v>
      </c>
      <c r="R13" s="30">
        <f t="shared" si="8"/>
        <v>64.389333333333326</v>
      </c>
      <c r="S13" s="30">
        <f t="shared" si="8"/>
        <v>64.389333333333326</v>
      </c>
      <c r="T13" s="30">
        <f t="shared" si="8"/>
        <v>64.389333333333326</v>
      </c>
      <c r="U13" s="30">
        <f t="shared" si="8"/>
        <v>57.389333333333333</v>
      </c>
      <c r="V13" s="30">
        <f t="shared" si="8"/>
        <v>57.389333333333333</v>
      </c>
      <c r="W13" s="30">
        <f t="shared" si="8"/>
        <v>57.389333333333333</v>
      </c>
      <c r="X13" s="30">
        <f t="shared" si="8"/>
        <v>56.808666666666667</v>
      </c>
      <c r="Y13" s="30">
        <f t="shared" si="8"/>
        <v>56.808666666666667</v>
      </c>
      <c r="Z13" s="30">
        <f t="shared" si="8"/>
        <v>56.808666666666667</v>
      </c>
      <c r="AA13" s="30">
        <f t="shared" si="8"/>
        <v>84.808666666666667</v>
      </c>
      <c r="AB13" s="30">
        <f t="shared" si="8"/>
        <v>84.808666666666667</v>
      </c>
      <c r="AC13" s="30">
        <f t="shared" si="8"/>
        <v>115.08666666666667</v>
      </c>
      <c r="AD13" s="30">
        <f t="shared" si="8"/>
        <v>115.08666666666667</v>
      </c>
      <c r="AR13" s="185" t="s">
        <v>786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786</v>
      </c>
      <c r="AT14" s="2" t="s">
        <v>792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792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792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793</v>
      </c>
      <c r="B15" s="170" t="s">
        <v>794</v>
      </c>
      <c r="C15" s="170" t="s">
        <v>795</v>
      </c>
      <c r="D15" s="171" t="s">
        <v>796</v>
      </c>
      <c r="E15" s="171" t="s">
        <v>797</v>
      </c>
      <c r="F15" s="170" t="s">
        <v>798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>lot1</v>
      </c>
      <c r="CB15" s="172">
        <f t="shared" ref="CB15:CY24" si="11">IF(CB4&gt;0,1,0)</f>
        <v>0</v>
      </c>
      <c r="CC15" s="172">
        <f t="shared" si="11"/>
        <v>0</v>
      </c>
      <c r="CD15" s="172">
        <f t="shared" si="11"/>
        <v>0</v>
      </c>
      <c r="CE15" s="172">
        <f t="shared" si="11"/>
        <v>0</v>
      </c>
      <c r="CF15" s="172">
        <f t="shared" si="11"/>
        <v>0</v>
      </c>
      <c r="CG15" s="172">
        <f t="shared" si="11"/>
        <v>0</v>
      </c>
      <c r="CH15" s="172">
        <f t="shared" si="11"/>
        <v>0</v>
      </c>
      <c r="CI15" s="172">
        <f t="shared" si="11"/>
        <v>0</v>
      </c>
      <c r="CJ15" s="172">
        <f t="shared" si="11"/>
        <v>0</v>
      </c>
      <c r="CK15" s="172">
        <f t="shared" si="11"/>
        <v>0</v>
      </c>
      <c r="CL15" s="172">
        <f t="shared" si="11"/>
        <v>0</v>
      </c>
      <c r="CM15" s="172">
        <f t="shared" si="11"/>
        <v>0</v>
      </c>
      <c r="CN15" s="172">
        <f t="shared" si="11"/>
        <v>0</v>
      </c>
      <c r="CO15" s="172">
        <f t="shared" si="11"/>
        <v>0</v>
      </c>
      <c r="CP15" s="172">
        <f t="shared" si="11"/>
        <v>0</v>
      </c>
      <c r="CQ15" s="172">
        <f t="shared" si="11"/>
        <v>0</v>
      </c>
      <c r="CR15" s="172">
        <f t="shared" si="11"/>
        <v>0</v>
      </c>
      <c r="CS15" s="172">
        <f t="shared" si="11"/>
        <v>0</v>
      </c>
      <c r="CT15" s="172">
        <f t="shared" si="11"/>
        <v>0</v>
      </c>
      <c r="CU15" s="172">
        <f t="shared" si="11"/>
        <v>0</v>
      </c>
      <c r="CV15" s="172">
        <f t="shared" si="11"/>
        <v>0</v>
      </c>
      <c r="CW15" s="172">
        <f t="shared" si="11"/>
        <v>0</v>
      </c>
      <c r="CX15" s="172">
        <f t="shared" si="11"/>
        <v>0</v>
      </c>
      <c r="CY15" s="172">
        <f t="shared" si="11"/>
        <v>0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577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799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591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598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800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577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591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598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801</v>
      </c>
      <c r="AU25" s="181"/>
      <c r="BZ25" s="188" t="s">
        <v>801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801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802</v>
      </c>
      <c r="BZ26" s="186" t="str">
        <f t="shared" ref="BZ26:BZ35" si="19">+BZ4</f>
        <v>lot1</v>
      </c>
      <c r="CA26" s="189">
        <f>Scénario!K106</f>
        <v>0</v>
      </c>
      <c r="CB26" s="172">
        <f>IF($CA26="fort",2,IF($CA26="faible",1,0))</f>
        <v>0</v>
      </c>
      <c r="CC26" s="172">
        <f t="shared" ref="CC26:CY35" si="20">IF($CA26="fort",2,IF($CA26="faible",1,0))</f>
        <v>0</v>
      </c>
      <c r="CD26" s="172">
        <f t="shared" si="20"/>
        <v>0</v>
      </c>
      <c r="CE26" s="172">
        <f t="shared" si="20"/>
        <v>0</v>
      </c>
      <c r="CF26" s="172">
        <f t="shared" si="20"/>
        <v>0</v>
      </c>
      <c r="CG26" s="172">
        <f t="shared" si="20"/>
        <v>0</v>
      </c>
      <c r="CH26" s="172">
        <f t="shared" si="20"/>
        <v>0</v>
      </c>
      <c r="CI26" s="172">
        <f t="shared" si="20"/>
        <v>0</v>
      </c>
      <c r="CJ26" s="172">
        <f t="shared" si="20"/>
        <v>0</v>
      </c>
      <c r="CK26" s="172">
        <f t="shared" si="20"/>
        <v>0</v>
      </c>
      <c r="CL26" s="172">
        <f t="shared" si="20"/>
        <v>0</v>
      </c>
      <c r="CM26" s="172">
        <f t="shared" si="20"/>
        <v>0</v>
      </c>
      <c r="CN26" s="172">
        <f t="shared" si="20"/>
        <v>0</v>
      </c>
      <c r="CO26" s="172">
        <f t="shared" si="20"/>
        <v>0</v>
      </c>
      <c r="CP26" s="172">
        <f t="shared" si="20"/>
        <v>0</v>
      </c>
      <c r="CQ26" s="172">
        <f t="shared" si="20"/>
        <v>0</v>
      </c>
      <c r="CR26" s="172">
        <f t="shared" si="20"/>
        <v>0</v>
      </c>
      <c r="CS26" s="172">
        <f t="shared" si="20"/>
        <v>0</v>
      </c>
      <c r="CT26" s="172">
        <f t="shared" si="20"/>
        <v>0</v>
      </c>
      <c r="CU26" s="172">
        <f t="shared" si="20"/>
        <v>0</v>
      </c>
      <c r="CV26" s="172">
        <f t="shared" si="20"/>
        <v>0</v>
      </c>
      <c r="CW26" s="172">
        <f t="shared" si="20"/>
        <v>0</v>
      </c>
      <c r="CX26" s="172">
        <f t="shared" si="20"/>
        <v>0</v>
      </c>
      <c r="CY26" s="172">
        <f t="shared" si="20"/>
        <v>0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647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786</v>
      </c>
      <c r="AT28" s="186" t="str">
        <f>CdTrp1!A17</f>
        <v>Lot des vides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648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786</v>
      </c>
      <c r="AT29" s="186" t="str">
        <f>CdTrp1!A18</f>
        <v>Lot des tardives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803</v>
      </c>
      <c r="B30" s="190" t="s">
        <v>804</v>
      </c>
      <c r="C30" s="190" t="s">
        <v>805</v>
      </c>
      <c r="D30" s="191"/>
      <c r="E30" s="191"/>
      <c r="AR30" s="185" t="s">
        <v>786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577</v>
      </c>
      <c r="B31" s="172">
        <f>Troupeau!B18</f>
        <v>254</v>
      </c>
      <c r="C31" s="187">
        <f>IF(B31&gt;0,VLOOKUP(Troupeau!B3,[1]Trav!$A$96:$B$99,2),0)</f>
        <v>110</v>
      </c>
      <c r="D31" s="171"/>
      <c r="E31" s="171"/>
      <c r="F31" s="172">
        <f>B31*C31/60</f>
        <v>465.66666666666669</v>
      </c>
      <c r="AR31" s="185" t="s">
        <v>786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591</v>
      </c>
      <c r="B32" s="172">
        <f>Troupeau!C18</f>
        <v>0</v>
      </c>
      <c r="C32" s="187">
        <f>IF(B32&gt;0,VLOOKUP(Troupeau!C3,[1]Trav!$A$96:$B$99,2),0)</f>
        <v>0</v>
      </c>
      <c r="D32" s="171"/>
      <c r="E32" s="171"/>
      <c r="F32" s="172">
        <f t="shared" ref="F32:F33" si="25">B32*C32/60</f>
        <v>0</v>
      </c>
      <c r="AR32" s="185" t="s">
        <v>786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598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786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806</v>
      </c>
      <c r="B34" s="190" t="s">
        <v>807</v>
      </c>
      <c r="C34" s="190" t="s">
        <v>808</v>
      </c>
      <c r="D34" s="190" t="s">
        <v>809</v>
      </c>
      <c r="E34" s="191"/>
      <c r="F34" s="33"/>
      <c r="AR34" s="185" t="s">
        <v>786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577</v>
      </c>
      <c r="B35" s="187">
        <f>IF(Troupeau!B3="BL",[1]Trav!$F$102,IF(Troupeau!B3="OL",[1]Trav!$F$103,0))</f>
        <v>220</v>
      </c>
      <c r="C35" s="172">
        <f>Troupeau!B19</f>
        <v>241</v>
      </c>
      <c r="D35" s="187">
        <f>IF(Troupeau!B3="OL",[1]Trav!$B$103,0)</f>
        <v>2.4900000000000002</v>
      </c>
      <c r="E35" s="171"/>
      <c r="F35" s="172">
        <f>B35+C35*D35</f>
        <v>820.09</v>
      </c>
      <c r="AR35" s="185" t="s">
        <v>786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591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786</v>
      </c>
      <c r="AT36" s="2" t="s">
        <v>762</v>
      </c>
      <c r="BZ36" s="2" t="s">
        <v>762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762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598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786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810</v>
      </c>
      <c r="BZ37" s="186" t="str">
        <f t="shared" ref="BZ37:BZ46" si="27">+BZ4</f>
        <v>lot1</v>
      </c>
      <c r="CA37" s="32"/>
      <c r="CB37" s="172">
        <f>IF(CdTrp2!B52=1,3,IF(CdTrp2!B52=0.5,2,IF(CdTrp2!B52=0,1,0)))</f>
        <v>1</v>
      </c>
      <c r="CC37" s="172">
        <f>IF(CdTrp2!C52=1,3,IF(CdTrp2!C52=0.5,2,IF(CdTrp2!C52=0,1,0)))</f>
        <v>1</v>
      </c>
      <c r="CD37" s="172">
        <f>IF(CdTrp2!D52=1,3,IF(CdTrp2!D52=0.5,2,IF(CdTrp2!D52=0,1,0)))</f>
        <v>1</v>
      </c>
      <c r="CE37" s="172">
        <f>IF(CdTrp2!E52=1,3,IF(CdTrp2!E52=0.5,2,IF(CdTrp2!E52=0,1,0)))</f>
        <v>1</v>
      </c>
      <c r="CF37" s="172">
        <f>IF(CdTrp2!F52=1,3,IF(CdTrp2!F52=0.5,2,IF(CdTrp2!F52=0,1,0)))</f>
        <v>1</v>
      </c>
      <c r="CG37" s="172">
        <f>IF(CdTrp2!G52=1,3,IF(CdTrp2!G52=0.5,2,IF(CdTrp2!G52=0,1,0)))</f>
        <v>1</v>
      </c>
      <c r="CH37" s="172">
        <f>IF(CdTrp2!H52=1,3,IF(CdTrp2!H52=0.5,2,IF(CdTrp2!H52=0,1,0)))</f>
        <v>1</v>
      </c>
      <c r="CI37" s="172">
        <f>IF(CdTrp2!I52=1,3,IF(CdTrp2!I52=0.5,2,IF(CdTrp2!I52=0,1,0)))</f>
        <v>1</v>
      </c>
      <c r="CJ37" s="172">
        <f>IF(CdTrp2!J52=1,3,IF(CdTrp2!J52=0.5,2,IF(CdTrp2!J52=0,1,0)))</f>
        <v>1</v>
      </c>
      <c r="CK37" s="172">
        <f>IF(CdTrp2!K52=1,3,IF(CdTrp2!K52=0.5,2,IF(CdTrp2!K52=0,1,0)))</f>
        <v>1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1</v>
      </c>
      <c r="CU37" s="172">
        <f>IF(CdTrp2!U52=1,3,IF(CdTrp2!U52=0.5,2,IF(CdTrp2!U52=0,1,0)))</f>
        <v>1</v>
      </c>
      <c r="CV37" s="172">
        <f>IF(CdTrp2!V52=1,3,IF(CdTrp2!V52=0.5,2,IF(CdTrp2!V52=0,1,0)))</f>
        <v>1</v>
      </c>
      <c r="CW37" s="172">
        <f>IF(CdTrp2!W52=1,3,IF(CdTrp2!W52=0.5,2,IF(CdTrp2!W52=0,1,0)))</f>
        <v>1</v>
      </c>
      <c r="CX37" s="172">
        <f>IF(CdTrp2!X52=1,3,IF(CdTrp2!X52=0.5,2,IF(CdTrp2!X52=0,1,0)))</f>
        <v>1</v>
      </c>
      <c r="CY37" s="172">
        <f>IF(CdTrp2!Y52=1,3,IF(CdTrp2!Y52=0.5,2,IF(CdTrp2!Y52=0,1,0)))</f>
        <v>1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811</v>
      </c>
      <c r="B38" s="192" t="s">
        <v>812</v>
      </c>
      <c r="C38" s="192" t="s">
        <v>813</v>
      </c>
      <c r="D38" s="191"/>
      <c r="E38" s="191"/>
      <c r="F38" s="33"/>
      <c r="AR38" s="185" t="s">
        <v>786</v>
      </c>
      <c r="AT38" s="261" t="str">
        <f>CdTrp1!$A53</f>
        <v>Lot des béliers</v>
      </c>
      <c r="AU38" s="32"/>
      <c r="AV38" s="172">
        <f>IF(CdTrp1!B53=1,3,IF(CdTrp1!B53=0.5,2,IF(CdTrp1!B53=0,1,0)))</f>
        <v>2</v>
      </c>
      <c r="AW38" s="172">
        <f>IF(CdTrp1!C53=1,3,IF(CdTrp1!C53=0.5,2,IF(CdTrp1!C53=0,1,0)))</f>
        <v>2</v>
      </c>
      <c r="AX38" s="172">
        <f>IF(CdTrp1!D53=1,3,IF(CdTrp1!D53=0.5,2,IF(CdTrp1!D53=0,1,0)))</f>
        <v>2</v>
      </c>
      <c r="AY38" s="172">
        <f>IF(CdTrp1!E53=1,3,IF(CdTrp1!E53=0.5,2,IF(CdTrp1!E53=0,1,0)))</f>
        <v>2</v>
      </c>
      <c r="AZ38" s="172">
        <f>IF(CdTrp1!F53=1,3,IF(CdTrp1!F53=0.5,2,IF(CdTrp1!F53=0,1,0)))</f>
        <v>2</v>
      </c>
      <c r="BA38" s="172">
        <f>IF(CdTrp1!G53=1,3,IF(CdTrp1!G53=0.5,2,IF(CdTrp1!G53=0,1,0)))</f>
        <v>2</v>
      </c>
      <c r="BB38" s="172">
        <f>IF(CdTrp1!H53=1,3,IF(CdTrp1!H53=0.5,2,IF(CdTrp1!H53=0,1,0)))</f>
        <v>2</v>
      </c>
      <c r="BC38" s="172">
        <f>IF(CdTrp1!I53=1,3,IF(CdTrp1!I53=0.5,2,IF(CdTrp1!I53=0,1,0)))</f>
        <v>2</v>
      </c>
      <c r="BD38" s="172">
        <f>IF(CdTrp1!J53=1,3,IF(CdTrp1!J53=0.5,2,IF(CdTrp1!J53=0,1,0)))</f>
        <v>2</v>
      </c>
      <c r="BE38" s="172">
        <f>IF(CdTrp1!K53=1,3,IF(CdTrp1!K53=0.5,2,IF(CdTrp1!K53=0,1,0)))</f>
        <v>2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2</v>
      </c>
      <c r="BQ38" s="172">
        <f>IF(CdTrp1!W53=1,3,IF(CdTrp1!W53=0.5,2,IF(CdTrp1!W53=0,1,0)))</f>
        <v>2</v>
      </c>
      <c r="BR38" s="172">
        <f>IF(CdTrp1!X53=1,3,IF(CdTrp1!X53=0.5,2,IF(CdTrp1!X53=0,1,0)))</f>
        <v>2</v>
      </c>
      <c r="BS38" s="172">
        <f>IF(CdTrp1!Y53=1,3,IF(CdTrp1!Y53=0.5,2,IF(CdTrp1!Y53=0,1,0)))</f>
        <v>2</v>
      </c>
      <c r="BU38">
        <v>2</v>
      </c>
      <c r="BV38" t="s">
        <v>814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577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786</v>
      </c>
      <c r="AT39" s="261" t="str">
        <f>CdTrp1!$A54</f>
        <v>Lot des vides</v>
      </c>
      <c r="AU39" s="32"/>
      <c r="AV39" s="172">
        <f>IF(CdTrp1!B54=1,3,IF(CdTrp1!B54=0.5,2,IF(CdTrp1!B54=0,1,0)))</f>
        <v>2</v>
      </c>
      <c r="AW39" s="172">
        <f>IF(CdTrp1!C54=1,3,IF(CdTrp1!C54=0.5,2,IF(CdTrp1!C54=0,1,0)))</f>
        <v>2</v>
      </c>
      <c r="AX39" s="172">
        <f>IF(CdTrp1!D54=1,3,IF(CdTrp1!D54=0.5,2,IF(CdTrp1!D54=0,1,0)))</f>
        <v>2</v>
      </c>
      <c r="AY39" s="172">
        <f>IF(CdTrp1!E54=1,3,IF(CdTrp1!E54=0.5,2,IF(CdTrp1!E54=0,1,0)))</f>
        <v>2</v>
      </c>
      <c r="AZ39" s="172">
        <f>IF(CdTrp1!F54=1,3,IF(CdTrp1!F54=0.5,2,IF(CdTrp1!F54=0,1,0)))</f>
        <v>2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2</v>
      </c>
      <c r="BQ39" s="172">
        <f>IF(CdTrp1!W54=1,3,IF(CdTrp1!W54=0.5,2,IF(CdTrp1!W54=0,1,0)))</f>
        <v>2</v>
      </c>
      <c r="BR39" s="172">
        <f>IF(CdTrp1!X54=1,3,IF(CdTrp1!X54=0.5,2,IF(CdTrp1!X54=0,1,0)))</f>
        <v>2</v>
      </c>
      <c r="BS39" s="172">
        <f>IF(CdTrp1!Y54=1,3,IF(CdTrp1!Y54=0.5,2,IF(CdTrp1!Y54=0,1,0)))</f>
        <v>2</v>
      </c>
      <c r="BU39">
        <v>1</v>
      </c>
      <c r="BV39" t="s">
        <v>815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786</v>
      </c>
      <c r="AT40" s="186" t="str">
        <f>CdTrp1!$A55</f>
        <v>Lot des tardives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0</v>
      </c>
      <c r="BQ40" s="172">
        <f>IF(CdTrp1!W55=1,3,IF(CdTrp1!W55=0.5,2,IF(CdTrp1!W55=0,1,0)))</f>
        <v>0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786</v>
      </c>
      <c r="AT41" s="261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2</v>
      </c>
      <c r="BK41" s="172">
        <f>IF(CdTrp1!Q56=1,3,IF(CdTrp1!Q56=0.5,2,IF(CdTrp1!Q56=0,1,0)))</f>
        <v>2</v>
      </c>
      <c r="BL41" s="172">
        <f>IF(CdTrp1!R56=1,3,IF(CdTrp1!R56=0.5,2,IF(CdTrp1!R56=0,1,0)))</f>
        <v>2</v>
      </c>
      <c r="BM41" s="172">
        <f>IF(CdTrp1!S56=1,3,IF(CdTrp1!S56=0.5,2,IF(CdTrp1!S56=0,1,0)))</f>
        <v>2</v>
      </c>
      <c r="BN41" s="172">
        <f>IF(CdTrp1!T56=1,3,IF(CdTrp1!T56=0.5,2,IF(CdTrp1!T56=0,1,0)))</f>
        <v>2</v>
      </c>
      <c r="BO41" s="172">
        <f>IF(CdTrp1!U56=1,3,IF(CdTrp1!U56=0.5,2,IF(CdTrp1!U56=0,1,0)))</f>
        <v>2</v>
      </c>
      <c r="BP41" s="172">
        <f>IF(CdTrp1!V56=1,3,IF(CdTrp1!V56=0.5,2,IF(CdTrp1!V56=0,1,0)))</f>
        <v>2</v>
      </c>
      <c r="BQ41" s="172">
        <f>IF(CdTrp1!W56=1,3,IF(CdTrp1!W56=0.5,2,IF(CdTrp1!W56=0,1,0)))</f>
        <v>2</v>
      </c>
      <c r="BR41" s="172">
        <f>IF(CdTrp1!X56=1,3,IF(CdTrp1!X56=0.5,2,IF(CdTrp1!X56=0,1,0)))</f>
        <v>2</v>
      </c>
      <c r="BS41" s="172">
        <f>IF(CdTrp1!Y56=1,3,IF(CdTrp1!Y56=0.5,2,IF(CdTrp1!Y56=0,1,0)))</f>
        <v>2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816</v>
      </c>
      <c r="B42" s="2"/>
      <c r="F42" s="33"/>
      <c r="AR42" s="185" t="s">
        <v>786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577</v>
      </c>
      <c r="AR43" s="185" t="s">
        <v>786</v>
      </c>
      <c r="AT43" s="261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786</v>
      </c>
      <c r="AT44" s="261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786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786</v>
      </c>
      <c r="AT46" s="261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786</v>
      </c>
      <c r="AT47" s="2" t="s">
        <v>817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817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817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818</v>
      </c>
      <c r="AR48" s="185" t="s">
        <v>786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>lot1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819</v>
      </c>
      <c r="B49" s="170" t="s">
        <v>52</v>
      </c>
      <c r="C49" t="s">
        <v>820</v>
      </c>
      <c r="AR49" s="185" t="s">
        <v>786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821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822</v>
      </c>
      <c r="B50" s="172">
        <f>Scénario!K35+Scénario!K36</f>
        <v>0</v>
      </c>
      <c r="C50" s="187">
        <f>IF(B50&gt;[1]Trav!$E$116,[1]Trav!C116,[1]Trav!B116)</f>
        <v>11</v>
      </c>
      <c r="E50" s="171"/>
      <c r="F50" s="172">
        <f>ROUND(B50*C50,0)</f>
        <v>0</v>
      </c>
      <c r="AR50" s="185" t="s">
        <v>786</v>
      </c>
      <c r="AT50" s="186" t="str">
        <f t="shared" si="31"/>
        <v>Lot des vides</v>
      </c>
      <c r="AU50" s="32"/>
      <c r="AV50" s="172">
        <f>IF(CdTrp1!B78=1,1,IF(CdTrp1!B78=2,2,IF(CdTrp1!B78=3,2,0)))</f>
        <v>1</v>
      </c>
      <c r="AW50" s="172">
        <f>IF(CdTrp1!C78=1,1,IF(CdTrp1!C78=2,2,IF(CdTrp1!C78=3,2,0)))</f>
        <v>1</v>
      </c>
      <c r="AX50" s="172">
        <f>IF(CdTrp1!D78=1,1,IF(CdTrp1!D78=2,2,IF(CdTrp1!D78=3,2,0)))</f>
        <v>1</v>
      </c>
      <c r="AY50" s="172">
        <f>IF(CdTrp1!E78=1,1,IF(CdTrp1!E78=2,2,IF(CdTrp1!E78=3,2,0)))</f>
        <v>1</v>
      </c>
      <c r="AZ50" s="172">
        <f>IF(CdTrp1!F78=1,1,IF(CdTrp1!F78=2,2,IF(CdTrp1!F78=3,2,0)))</f>
        <v>1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2</v>
      </c>
      <c r="BQ50" s="172">
        <f>IF(CdTrp1!W78=1,1,IF(CdTrp1!W78=2,2,IF(CdTrp1!W78=3,2,0)))</f>
        <v>2</v>
      </c>
      <c r="BR50" s="172">
        <f>IF(CdTrp1!X78=1,1,IF(CdTrp1!X78=2,2,IF(CdTrp1!X78=3,2,0)))</f>
        <v>2</v>
      </c>
      <c r="BS50" s="172">
        <f>IF(CdTrp1!Y78=1,1,IF(CdTrp1!Y78=2,2,IF(CdTrp1!Y78=3,2,0)))</f>
        <v>2</v>
      </c>
      <c r="BU50" s="193">
        <v>4</v>
      </c>
      <c r="BV50" t="s">
        <v>823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824</v>
      </c>
      <c r="B51" s="172">
        <f>Scénario!K34</f>
        <v>0</v>
      </c>
      <c r="C51" s="187">
        <f>IF(B51&gt;[1]Trav!E117,[1]Trav!C117,[1]Trav!B117)</f>
        <v>15.7</v>
      </c>
      <c r="E51" s="171"/>
      <c r="F51" s="172">
        <f t="shared" ref="F51:F59" si="32">ROUND(B51*C51,0)</f>
        <v>0</v>
      </c>
      <c r="AR51" s="185" t="s">
        <v>786</v>
      </c>
      <c r="AT51" s="186" t="str">
        <f t="shared" si="31"/>
        <v>Lot des tardives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1</v>
      </c>
      <c r="BS51" s="172">
        <f>IF(CdTrp1!Y79=1,1,IF(CdTrp1!Y79=2,2,IF(CdTrp1!Y79=3,2,0)))</f>
        <v>1</v>
      </c>
      <c r="BU51">
        <v>0</v>
      </c>
      <c r="BV51" t="s">
        <v>825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826</v>
      </c>
      <c r="B52" s="172">
        <f>Scénario!K40/[1]Trav!$B$124</f>
        <v>0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5" t="s">
        <v>786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1</v>
      </c>
      <c r="BQ52" s="172">
        <f>IF(CdTrp1!W80=1,1,IF(CdTrp1!W80=2,2,IF(CdTrp1!W80=3,2,0)))</f>
        <v>1</v>
      </c>
      <c r="BR52" s="172">
        <f>IF(CdTrp1!X80=1,1,IF(CdTrp1!X80=2,2,IF(CdTrp1!X80=3,2,0)))</f>
        <v>1</v>
      </c>
      <c r="BS52" s="172">
        <f>IF(CdTrp1!Y80=1,1,IF(CdTrp1!Y80=2,2,IF(CdTrp1!Y80=3,2,0)))</f>
        <v>1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827</v>
      </c>
      <c r="B53" s="172">
        <f>Scénario!K42</f>
        <v>0</v>
      </c>
      <c r="C53" s="187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786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828</v>
      </c>
      <c r="B54" s="172">
        <f>SUM(Scénario!K40:K42)</f>
        <v>19.12</v>
      </c>
      <c r="C54" s="187">
        <f>IF(B54&gt;[1]Trav!E119,[1]Trav!C119,[1]Trav!B119)</f>
        <v>1.4</v>
      </c>
      <c r="D54"/>
      <c r="E54" s="171"/>
      <c r="F54" s="172">
        <f t="shared" si="32"/>
        <v>27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786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829</v>
      </c>
      <c r="B55" s="172">
        <f>Scénario!M28*(1-Scénario!K31/100)</f>
        <v>12.465</v>
      </c>
      <c r="C55" s="187">
        <f>IF(B55&gt;[1]Trav!E121,[1]Trav!C121,[1]Trav!B121)</f>
        <v>7.2</v>
      </c>
      <c r="D55"/>
      <c r="E55" s="171"/>
      <c r="F55" s="172">
        <f t="shared" si="32"/>
        <v>90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786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830</v>
      </c>
      <c r="B56" s="172">
        <f>Scénario!M29</f>
        <v>11</v>
      </c>
      <c r="C56" s="187">
        <f>IF(B56&gt;[1]Trav!E121,[1]Trav!C121,[1]Trav!B121)</f>
        <v>7.2</v>
      </c>
      <c r="D56"/>
      <c r="E56" s="171"/>
      <c r="F56" s="172">
        <f t="shared" si="32"/>
        <v>79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786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831</v>
      </c>
      <c r="B57" s="172">
        <f>Scénario!M30</f>
        <v>0</v>
      </c>
      <c r="C57" s="187">
        <f>IF(B57&gt;[1]Trav!E121,[1]Trav!C121,[1]Trav!B121)</f>
        <v>7.2</v>
      </c>
      <c r="D57"/>
      <c r="E57" s="171"/>
      <c r="F57" s="172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786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832</v>
      </c>
      <c r="B58" s="176">
        <f>Scénario!M28-Travail!B55</f>
        <v>1.3849999999999998</v>
      </c>
      <c r="C58" s="187">
        <f>IF(B58&gt;[1]Trav!E122,[1]Trav!C122,[1]Trav!B122)</f>
        <v>4.4000000000000004</v>
      </c>
      <c r="E58" s="171"/>
      <c r="F58" s="172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786</v>
      </c>
      <c r="AT58" s="40" t="s">
        <v>833</v>
      </c>
      <c r="AU58" s="14"/>
      <c r="BZ58" s="40" t="s">
        <v>833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833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834</v>
      </c>
      <c r="B59" s="176">
        <f>Scénario!K32</f>
        <v>10</v>
      </c>
      <c r="C59" s="187">
        <f>[1]Trav!$B$123</f>
        <v>7.2</v>
      </c>
      <c r="E59" s="171"/>
      <c r="F59" s="172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786</v>
      </c>
      <c r="AT59" s="14" t="s">
        <v>835</v>
      </c>
      <c r="AU59" s="30">
        <f>VALUE(CONCATENATE(Scénario!K8,Travail!AU2))</f>
        <v>11</v>
      </c>
      <c r="BZ59" s="14" t="s">
        <v>835</v>
      </c>
      <c r="CA59" s="30">
        <f>VALUE(CONCATENATE(Scénario!K8,Travail!CA2))</f>
        <v>10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835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836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786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837</v>
      </c>
      <c r="BZ60" s="186" t="str">
        <f t="shared" ref="BZ60:BZ69" si="33">BZ4</f>
        <v>lot1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838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786</v>
      </c>
      <c r="AT61" s="186" t="str">
        <f>+AT49</f>
        <v>Lot des béliers</v>
      </c>
      <c r="AV61" s="172">
        <f>IF(AV16=0,0,IF(AV38=3,0,VALUE(CONCATENATE(Travail!AV27,Travail!AV38,Travail!AV49))))</f>
        <v>222</v>
      </c>
      <c r="AW61" s="172">
        <f>IF(AW16=0,0,IF(AW38=3,0,VALUE(CONCATENATE(Travail!AW27,Travail!AW38,Travail!AW49))))</f>
        <v>222</v>
      </c>
      <c r="AX61" s="172">
        <f>IF(AX16=0,0,IF(AX38=3,0,VALUE(CONCATENATE(Travail!AX27,Travail!AX38,Travail!AX49))))</f>
        <v>222</v>
      </c>
      <c r="AY61" s="172">
        <f>IF(AY16=0,0,IF(AY38=3,0,VALUE(CONCATENATE(Travail!AY27,Travail!AY38,Travail!AY49))))</f>
        <v>222</v>
      </c>
      <c r="AZ61" s="172">
        <f>IF(AZ16=0,0,IF(AZ38=3,0,VALUE(CONCATENATE(Travail!AZ27,Travail!AZ38,Travail!AZ49))))</f>
        <v>222</v>
      </c>
      <c r="BA61" s="172">
        <f>IF(BA16=0,0,IF(BA38=3,0,VALUE(CONCATENATE(Travail!BA27,Travail!BA38,Travail!BA49))))</f>
        <v>222</v>
      </c>
      <c r="BB61" s="172">
        <f>IF(BB16=0,0,IF(BB38=3,0,VALUE(CONCATENATE(Travail!BB27,Travail!BB38,Travail!BB49))))</f>
        <v>222</v>
      </c>
      <c r="BC61" s="172">
        <f>IF(BC16=0,0,IF(BC38=3,0,VALUE(CONCATENATE(Travail!BC27,Travail!BC38,Travail!BC49))))</f>
        <v>222</v>
      </c>
      <c r="BD61" s="172">
        <f>IF(BD16=0,0,IF(BD38=3,0,VALUE(CONCATENATE(Travail!BD27,Travail!BD38,Travail!BD49))))</f>
        <v>222</v>
      </c>
      <c r="BE61" s="172">
        <f>IF(BE16=0,0,IF(BE38=3,0,VALUE(CONCATENATE(Travail!BE27,Travail!BE38,Travail!BE49))))</f>
        <v>222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222</v>
      </c>
      <c r="BQ61" s="172">
        <f>IF(BQ16=0,0,IF(BQ38=3,0,VALUE(CONCATENATE(Travail!BQ27,Travail!BQ38,Travail!BQ49))))</f>
        <v>222</v>
      </c>
      <c r="BR61" s="172">
        <f>IF(BR16=0,0,IF(BR38=3,0,VALUE(CONCATENATE(Travail!BR27,Travail!BR38,Travail!BR49))))</f>
        <v>222</v>
      </c>
      <c r="BS61" s="172">
        <f>IF(BS16=0,0,IF(BS38=3,0,VALUE(CONCATENATE(Travail!BS27,Travail!BS38,Travail!BS49))))</f>
        <v>222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839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786</v>
      </c>
      <c r="AS62" s="17"/>
      <c r="AT62" s="186" t="str">
        <f>+AT50</f>
        <v>Lot des vides</v>
      </c>
      <c r="AV62" s="172">
        <f>IF(AV17=0,0,IF(AV39=3,0,VALUE(CONCATENATE(Travail!AV28,Travail!AV39,Travail!AV50))))</f>
        <v>221</v>
      </c>
      <c r="AW62" s="172">
        <f>IF(AW17=0,0,IF(AW39=3,0,VALUE(CONCATENATE(Travail!AW28,Travail!AW39,Travail!AW50))))</f>
        <v>221</v>
      </c>
      <c r="AX62" s="172">
        <f>IF(AX17=0,0,IF(AX39=3,0,VALUE(CONCATENATE(Travail!AX28,Travail!AX39,Travail!AX50))))</f>
        <v>221</v>
      </c>
      <c r="AY62" s="172">
        <f>IF(AY17=0,0,IF(AY39=3,0,VALUE(CONCATENATE(Travail!AY28,Travail!AY39,Travail!AY50))))</f>
        <v>221</v>
      </c>
      <c r="AZ62" s="172">
        <f>IF(AZ17=0,0,IF(AZ39=3,0,VALUE(CONCATENATE(Travail!AZ28,Travail!AZ39,Travail!AZ50))))</f>
        <v>221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222</v>
      </c>
      <c r="BQ62" s="172">
        <f>IF(BQ17=0,0,IF(BQ39=3,0,VALUE(CONCATENATE(Travail!BQ28,Travail!BQ39,Travail!BQ50))))</f>
        <v>222</v>
      </c>
      <c r="BR62" s="172">
        <f>IF(BR17=0,0,IF(BR39=3,0,VALUE(CONCATENATE(Travail!BR28,Travail!BR39,Travail!BR50))))</f>
        <v>222</v>
      </c>
      <c r="BS62" s="172">
        <f>IF(BS17=0,0,IF(BS39=3,0,VALUE(CONCATENATE(Travail!BS28,Travail!BS39,Travail!BS50))))</f>
        <v>222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840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786</v>
      </c>
      <c r="AT63" s="186" t="str">
        <f t="shared" ref="AT63:AT69" si="35">+AT51</f>
        <v>Lot des tardives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221</v>
      </c>
      <c r="BS63" s="172">
        <f>IF(BS18=0,0,IF(BS40=3,0,VALUE(CONCATENATE(Travail!BS29,Travail!BS40,Travail!BS51))))</f>
        <v>221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841</v>
      </c>
      <c r="B64" s="23"/>
      <c r="C64" s="23"/>
      <c r="D64" s="23"/>
      <c r="E64" s="23"/>
      <c r="F64" s="172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221</v>
      </c>
      <c r="BK64" s="172">
        <f>IF(BK19=0,0,IF(BK41=3,0,VALUE(CONCATENATE(Travail!BK30,Travail!BK41,Travail!BK52))))</f>
        <v>221</v>
      </c>
      <c r="BL64" s="172">
        <f>IF(BL19=0,0,IF(BL41=3,0,VALUE(CONCATENATE(Travail!BL30,Travail!BL41,Travail!BL52))))</f>
        <v>221</v>
      </c>
      <c r="BM64" s="172">
        <f>IF(BM19=0,0,IF(BM41=3,0,VALUE(CONCATENATE(Travail!BM30,Travail!BM41,Travail!BM52))))</f>
        <v>221</v>
      </c>
      <c r="BN64" s="172">
        <f>IF(BN19=0,0,IF(BN41=3,0,VALUE(CONCATENATE(Travail!BN30,Travail!BN41,Travail!BN52))))</f>
        <v>221</v>
      </c>
      <c r="BO64" s="172">
        <f>IF(BO19=0,0,IF(BO41=3,0,VALUE(CONCATENATE(Travail!BO30,Travail!BO41,Travail!BO52))))</f>
        <v>221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221</v>
      </c>
      <c r="BS64" s="172">
        <f>IF(BS19=0,0,IF(BS41=3,0,VALUE(CONCATENATE(Travail!BS30,Travail!BS41,Travail!BS52))))</f>
        <v>221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842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786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786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843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786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844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786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845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786</v>
      </c>
      <c r="AT70" s="40" t="s">
        <v>846</v>
      </c>
      <c r="BZ70" s="40" t="s">
        <v>846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846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847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786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>lot1</v>
      </c>
      <c r="CB71" s="172">
        <f t="shared" ref="CB71:CY80" si="37">IF(CB15=0,0,VALUE(CONCATENATE(CB26,CB37)))</f>
        <v>0</v>
      </c>
      <c r="CC71" s="172">
        <f t="shared" si="37"/>
        <v>0</v>
      </c>
      <c r="CD71" s="172">
        <f t="shared" si="37"/>
        <v>0</v>
      </c>
      <c r="CE71" s="172">
        <f t="shared" si="37"/>
        <v>0</v>
      </c>
      <c r="CF71" s="172">
        <f t="shared" si="37"/>
        <v>0</v>
      </c>
      <c r="CG71" s="172">
        <f t="shared" si="37"/>
        <v>0</v>
      </c>
      <c r="CH71" s="172">
        <f t="shared" si="37"/>
        <v>0</v>
      </c>
      <c r="CI71" s="172">
        <f t="shared" si="37"/>
        <v>0</v>
      </c>
      <c r="CJ71" s="172">
        <f t="shared" si="37"/>
        <v>0</v>
      </c>
      <c r="CK71" s="172">
        <f t="shared" si="37"/>
        <v>0</v>
      </c>
      <c r="CL71" s="172">
        <f t="shared" si="37"/>
        <v>0</v>
      </c>
      <c r="CM71" s="172">
        <f t="shared" si="37"/>
        <v>0</v>
      </c>
      <c r="CN71" s="172">
        <f t="shared" si="37"/>
        <v>0</v>
      </c>
      <c r="CO71" s="172">
        <f t="shared" si="37"/>
        <v>0</v>
      </c>
      <c r="CP71" s="172">
        <f t="shared" si="37"/>
        <v>0</v>
      </c>
      <c r="CQ71" s="172">
        <f t="shared" si="37"/>
        <v>0</v>
      </c>
      <c r="CR71" s="172">
        <f t="shared" si="37"/>
        <v>0</v>
      </c>
      <c r="CS71" s="172">
        <f t="shared" si="37"/>
        <v>0</v>
      </c>
      <c r="CT71" s="172">
        <f t="shared" si="37"/>
        <v>0</v>
      </c>
      <c r="CU71" s="172">
        <f t="shared" si="37"/>
        <v>0</v>
      </c>
      <c r="CV71" s="172">
        <f t="shared" si="37"/>
        <v>0</v>
      </c>
      <c r="CW71" s="172">
        <f t="shared" si="37"/>
        <v>0</v>
      </c>
      <c r="CX71" s="172">
        <f t="shared" si="37"/>
        <v>0</v>
      </c>
      <c r="CY71" s="172">
        <f t="shared" si="37"/>
        <v>0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848</v>
      </c>
      <c r="B72" s="5"/>
      <c r="C72" s="5"/>
      <c r="F72" s="172">
        <f t="shared" ref="F72:F73" si="39">ROUND(SUM(G72:AD72),0)</f>
        <v>370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20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20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20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20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20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25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25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786</v>
      </c>
      <c r="AT72" s="186" t="str">
        <f t="shared" ref="AT72:AT80" si="40">AT61</f>
        <v>Lot des béliers</v>
      </c>
      <c r="AV72" s="172">
        <f t="shared" si="36"/>
        <v>22</v>
      </c>
      <c r="AW72" s="172">
        <f t="shared" si="36"/>
        <v>22</v>
      </c>
      <c r="AX72" s="172">
        <f t="shared" si="36"/>
        <v>22</v>
      </c>
      <c r="AY72" s="172">
        <f t="shared" si="36"/>
        <v>22</v>
      </c>
      <c r="AZ72" s="172">
        <f t="shared" si="36"/>
        <v>22</v>
      </c>
      <c r="BA72" s="172">
        <f t="shared" si="36"/>
        <v>22</v>
      </c>
      <c r="BB72" s="172">
        <f t="shared" si="36"/>
        <v>22</v>
      </c>
      <c r="BC72" s="172">
        <f t="shared" si="36"/>
        <v>22</v>
      </c>
      <c r="BD72" s="172">
        <f t="shared" si="36"/>
        <v>22</v>
      </c>
      <c r="BE72" s="172">
        <f t="shared" si="36"/>
        <v>22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22</v>
      </c>
      <c r="BQ72" s="172">
        <f t="shared" si="36"/>
        <v>22</v>
      </c>
      <c r="BR72" s="172">
        <f t="shared" si="36"/>
        <v>22</v>
      </c>
      <c r="BS72" s="172">
        <f t="shared" si="36"/>
        <v>22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849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786</v>
      </c>
      <c r="AT73" s="186" t="str">
        <f t="shared" si="40"/>
        <v>Lot des vides</v>
      </c>
      <c r="AV73" s="172">
        <f t="shared" si="36"/>
        <v>22</v>
      </c>
      <c r="AW73" s="172">
        <f t="shared" si="36"/>
        <v>22</v>
      </c>
      <c r="AX73" s="172">
        <f t="shared" si="36"/>
        <v>22</v>
      </c>
      <c r="AY73" s="172">
        <f t="shared" si="36"/>
        <v>22</v>
      </c>
      <c r="AZ73" s="172">
        <f t="shared" si="36"/>
        <v>22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22</v>
      </c>
      <c r="BQ73" s="172">
        <f t="shared" si="36"/>
        <v>22</v>
      </c>
      <c r="BR73" s="172">
        <f t="shared" si="36"/>
        <v>22</v>
      </c>
      <c r="BS73" s="172">
        <f t="shared" si="36"/>
        <v>22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850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786</v>
      </c>
      <c r="AT74" s="186" t="str">
        <f t="shared" si="40"/>
        <v>Lot des tardives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851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22</v>
      </c>
      <c r="BK75" s="172">
        <f t="shared" si="36"/>
        <v>22</v>
      </c>
      <c r="BL75" s="172">
        <f t="shared" si="36"/>
        <v>22</v>
      </c>
      <c r="BM75" s="172">
        <f t="shared" si="36"/>
        <v>22</v>
      </c>
      <c r="BN75" s="172">
        <f t="shared" si="36"/>
        <v>22</v>
      </c>
      <c r="BO75" s="172">
        <f t="shared" si="36"/>
        <v>22</v>
      </c>
      <c r="BP75" s="172">
        <f t="shared" si="36"/>
        <v>0</v>
      </c>
      <c r="BQ75" s="172">
        <f t="shared" si="36"/>
        <v>0</v>
      </c>
      <c r="BR75" s="172">
        <f t="shared" si="36"/>
        <v>22</v>
      </c>
      <c r="BS75" s="172">
        <f t="shared" si="36"/>
        <v>22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852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786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6">
        <f>IF(Protection!$AJ$8=0,0,SUM(G77:AD77))</f>
        <v>454</v>
      </c>
      <c r="G77" s="46">
        <f t="shared" ref="G77:AD77" si="43">+SUM(G69:G76)</f>
        <v>23.5</v>
      </c>
      <c r="H77" s="46">
        <f t="shared" si="43"/>
        <v>23.5</v>
      </c>
      <c r="I77" s="46">
        <f t="shared" si="43"/>
        <v>23.5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23.5</v>
      </c>
      <c r="AB77" s="46">
        <f t="shared" si="43"/>
        <v>23.5</v>
      </c>
      <c r="AC77" s="46">
        <f t="shared" si="43"/>
        <v>28.5</v>
      </c>
      <c r="AD77" s="46">
        <f t="shared" si="43"/>
        <v>28.5</v>
      </c>
      <c r="AG77" s="5"/>
      <c r="AH77" s="5"/>
      <c r="AI77" s="5"/>
      <c r="AJ77" s="5"/>
      <c r="AK77" s="5"/>
      <c r="AL77" s="5"/>
      <c r="AM77" s="5"/>
      <c r="AN77" s="5"/>
      <c r="AR77" s="185" t="s">
        <v>786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7"/>
      <c r="AH78" s="5"/>
      <c r="AI78" s="5"/>
      <c r="AJ78" s="5"/>
      <c r="AK78" s="5"/>
      <c r="AL78" s="5"/>
      <c r="AM78" s="5"/>
      <c r="AN78" s="5"/>
      <c r="AR78" s="185" t="s">
        <v>786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853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7"/>
      <c r="AH79" s="5"/>
      <c r="AI79" s="5"/>
      <c r="AJ79" s="5"/>
      <c r="AK79" s="5"/>
      <c r="AL79" s="5"/>
      <c r="AM79" s="5"/>
      <c r="AN79" s="5"/>
      <c r="AR79" s="185" t="s">
        <v>786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854</v>
      </c>
      <c r="B80" s="170" t="s">
        <v>855</v>
      </c>
      <c r="C80" s="170" t="s">
        <v>856</v>
      </c>
      <c r="D80" s="171"/>
      <c r="E80" s="171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G80" s="5"/>
      <c r="AH80" s="5"/>
      <c r="AI80" s="5"/>
      <c r="AJ80" s="5"/>
      <c r="AK80" s="5"/>
      <c r="AL80" s="5"/>
      <c r="AM80" s="5"/>
      <c r="AN80" s="5"/>
      <c r="AR80" s="185" t="s">
        <v>786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857</v>
      </c>
      <c r="B81" s="176">
        <f>ROUND(Protection!AJ8/[1]Protect!$B$11,2)</f>
        <v>1.43</v>
      </c>
      <c r="C81" s="187">
        <f>[1]Protect!$B$10</f>
        <v>4</v>
      </c>
      <c r="D81" s="171"/>
      <c r="E81" s="171"/>
      <c r="F81" s="172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786</v>
      </c>
      <c r="AT81" s="19" t="s">
        <v>858</v>
      </c>
      <c r="AV81" s="172">
        <f>COUNTIF(AV$71:AV$80,23)</f>
        <v>1</v>
      </c>
      <c r="AW81" s="172">
        <f t="shared" ref="AW81:BS81" si="44">COUNTIF(AW$71:AW$80,23)</f>
        <v>1</v>
      </c>
      <c r="AX81" s="172">
        <f t="shared" si="44"/>
        <v>1</v>
      </c>
      <c r="AY81" s="172">
        <f t="shared" si="44"/>
        <v>1</v>
      </c>
      <c r="AZ81" s="172">
        <f t="shared" si="44"/>
        <v>1</v>
      </c>
      <c r="BA81" s="172">
        <f t="shared" si="44"/>
        <v>1</v>
      </c>
      <c r="BB81" s="172">
        <f t="shared" si="44"/>
        <v>1</v>
      </c>
      <c r="BC81" s="172">
        <f t="shared" si="44"/>
        <v>1</v>
      </c>
      <c r="BD81" s="172">
        <f t="shared" si="44"/>
        <v>1</v>
      </c>
      <c r="BE81" s="172">
        <f t="shared" si="44"/>
        <v>1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0</v>
      </c>
      <c r="BQ81" s="172">
        <f t="shared" si="44"/>
        <v>0</v>
      </c>
      <c r="BR81" s="172">
        <f t="shared" si="44"/>
        <v>0</v>
      </c>
      <c r="BS81" s="172">
        <f t="shared" si="44"/>
        <v>0</v>
      </c>
      <c r="BZ81" s="19" t="s">
        <v>858</v>
      </c>
      <c r="CB81" s="172">
        <f>COUNTIF(CB$71:CB$80,23)</f>
        <v>0</v>
      </c>
      <c r="CC81" s="172">
        <f>COUNTIF(CC$71:CC$80,23)</f>
        <v>0</v>
      </c>
      <c r="CD81" s="172">
        <f t="shared" ref="CD81:CY81" si="45">COUNTIF(CD$71:CD$80,23)</f>
        <v>0</v>
      </c>
      <c r="CE81" s="172">
        <f t="shared" si="45"/>
        <v>0</v>
      </c>
      <c r="CF81" s="172">
        <f t="shared" si="45"/>
        <v>0</v>
      </c>
      <c r="CG81" s="172">
        <f t="shared" si="45"/>
        <v>0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0</v>
      </c>
      <c r="CY81" s="172">
        <f t="shared" si="45"/>
        <v>0</v>
      </c>
      <c r="DC81" s="19" t="s">
        <v>858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859</v>
      </c>
      <c r="C82" t="s">
        <v>860</v>
      </c>
      <c r="G82" s="197"/>
      <c r="H82" s="19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786</v>
      </c>
      <c r="AT82" s="19" t="s">
        <v>861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861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861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862</v>
      </c>
      <c r="B83" s="176">
        <f>Protection!AK25/1000</f>
        <v>5.36</v>
      </c>
      <c r="C83" s="187">
        <f>[1]Protect!$B$24+[1]Protect!$B$26</f>
        <v>0.33</v>
      </c>
      <c r="D83" s="171"/>
      <c r="E83" s="171"/>
      <c r="F83" s="172">
        <f>ROUND(B83*C83,1)</f>
        <v>1.8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786</v>
      </c>
      <c r="AT83" s="19" t="s">
        <v>863</v>
      </c>
      <c r="AV83" s="172">
        <f>COUNTIF(AV$71:AV$80,22)</f>
        <v>4</v>
      </c>
      <c r="AW83" s="172">
        <f t="shared" ref="AW83:BS83" si="50">COUNTIF(AW$71:AW$80,22)</f>
        <v>4</v>
      </c>
      <c r="AX83" s="172">
        <f t="shared" si="50"/>
        <v>4</v>
      </c>
      <c r="AY83" s="172">
        <f t="shared" si="50"/>
        <v>4</v>
      </c>
      <c r="AZ83" s="172">
        <f t="shared" si="50"/>
        <v>4</v>
      </c>
      <c r="BA83" s="172">
        <f t="shared" si="50"/>
        <v>4</v>
      </c>
      <c r="BB83" s="172">
        <f t="shared" si="50"/>
        <v>4</v>
      </c>
      <c r="BC83" s="172">
        <f t="shared" si="50"/>
        <v>4</v>
      </c>
      <c r="BD83" s="172">
        <f t="shared" si="50"/>
        <v>4</v>
      </c>
      <c r="BE83" s="172">
        <f t="shared" si="50"/>
        <v>3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2</v>
      </c>
      <c r="BK83" s="172">
        <f t="shared" si="50"/>
        <v>2</v>
      </c>
      <c r="BL83" s="172">
        <f t="shared" si="50"/>
        <v>2</v>
      </c>
      <c r="BM83" s="172">
        <f t="shared" si="50"/>
        <v>2</v>
      </c>
      <c r="BN83" s="172">
        <f t="shared" si="50"/>
        <v>2</v>
      </c>
      <c r="BO83" s="172">
        <f t="shared" si="50"/>
        <v>2</v>
      </c>
      <c r="BP83" s="172">
        <f t="shared" si="50"/>
        <v>3</v>
      </c>
      <c r="BQ83" s="172">
        <f t="shared" si="50"/>
        <v>3</v>
      </c>
      <c r="BR83" s="172">
        <f t="shared" si="50"/>
        <v>5</v>
      </c>
      <c r="BS83" s="172">
        <f t="shared" si="50"/>
        <v>5</v>
      </c>
      <c r="BZ83" s="19" t="s">
        <v>863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863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864</v>
      </c>
      <c r="B84" s="5"/>
      <c r="C84" s="187">
        <f>[1]Protect!$B$25*8</f>
        <v>8</v>
      </c>
      <c r="D84" s="171"/>
      <c r="E84" s="171"/>
      <c r="F84" s="172">
        <f>ROUND(B83*C84/10,1)</f>
        <v>4.3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786</v>
      </c>
      <c r="AT84" s="19" t="s">
        <v>865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865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865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866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786</v>
      </c>
      <c r="AT85" s="40" t="s">
        <v>867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22</v>
      </c>
      <c r="BZ85" s="40" t="s">
        <v>867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867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868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786</v>
      </c>
      <c r="AT86" s="40" t="s">
        <v>869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21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21</v>
      </c>
      <c r="BQ86" s="187">
        <f>IF(BQ85=0,0,HLOOKUP(BQ85,[1]Trav!$C$39:$G$59,$AU$105))</f>
        <v>21</v>
      </c>
      <c r="BR86" s="187">
        <f>IF(BR85=0,0,HLOOKUP(BR85,[1]Trav!$C$39:$G$59,$AU$105))</f>
        <v>21</v>
      </c>
      <c r="BS86" s="187">
        <f>IF(BS85=0,0,HLOOKUP(BS85,[1]Trav!$C$39:$G$59,$AU$105))</f>
        <v>21</v>
      </c>
      <c r="BZ86" s="40" t="s">
        <v>869</v>
      </c>
      <c r="CB86" s="187">
        <f>IF(CB85=0,0,HLOOKUP(CB85,[1]Trav!$C$39:$G$59,$AU$105))</f>
        <v>0</v>
      </c>
      <c r="CC86" s="187">
        <f>IF(CC85=0,0,HLOOKUP(CC85,[1]Trav!$C$39:$G$59,$AU$105))</f>
        <v>0</v>
      </c>
      <c r="CD86" s="187">
        <f>IF(CD85=0,0,HLOOKUP(CD85,[1]Trav!$C$39:$G$59,$AU$105))</f>
        <v>0</v>
      </c>
      <c r="CE86" s="187">
        <f>IF(CE85=0,0,HLOOKUP(CE85,[1]Trav!$C$39:$G$59,$AU$105))</f>
        <v>0</v>
      </c>
      <c r="CF86" s="187">
        <f>IF(CF85=0,0,HLOOKUP(CF85,[1]Trav!$C$39:$G$59,$AU$105))</f>
        <v>0</v>
      </c>
      <c r="CG86" s="187">
        <f>IF(CG85=0,0,HLOOKUP(CG85,[1]Trav!$C$39:$G$59,$AU$105))</f>
        <v>0</v>
      </c>
      <c r="CH86" s="187">
        <f>IF(CH85=0,0,HLOOKUP(CH85,[1]Trav!$C$39:$G$59,$AU$105))</f>
        <v>0</v>
      </c>
      <c r="CI86" s="187">
        <f>IF(CI85=0,0,HLOOKUP(CI85,[1]Trav!$C$39:$G$59,$AU$105))</f>
        <v>0</v>
      </c>
      <c r="CJ86" s="187">
        <f>IF(CJ85=0,0,HLOOKUP(CJ85,[1]Trav!$C$39:$G$59,$AU$105))</f>
        <v>0</v>
      </c>
      <c r="CK86" s="187">
        <f>IF(CK85=0,0,HLOOKUP(CK85,[1]Trav!$C$39:$G$59,$AU$105))</f>
        <v>0</v>
      </c>
      <c r="CL86" s="187">
        <f>IF(CL85=0,0,HLOOKUP(CL85,[1]Trav!$C$39:$G$59,$AU$105))</f>
        <v>0</v>
      </c>
      <c r="CM86" s="187">
        <f>IF(CM85=0,0,HLOOKUP(CM85,[1]Trav!$C$39:$G$59,$AU$105))</f>
        <v>0</v>
      </c>
      <c r="CN86" s="187">
        <f>IF(CN85=0,0,HLOOKUP(CN85,[1]Trav!$C$39:$G$59,$AU$105))</f>
        <v>0</v>
      </c>
      <c r="CO86" s="187">
        <f>IF(CO85=0,0,HLOOKUP(CO85,[1]Trav!$C$39:$G$59,$AU$105))</f>
        <v>0</v>
      </c>
      <c r="CP86" s="187">
        <f>IF(CP85=0,0,HLOOKUP(CP85,[1]Trav!$C$39:$G$59,$AU$105))</f>
        <v>0</v>
      </c>
      <c r="CQ86" s="187">
        <f>IF(CQ85=0,0,HLOOKUP(CQ85,[1]Trav!$C$39:$G$59,$AU$105))</f>
        <v>0</v>
      </c>
      <c r="CR86" s="187">
        <f>IF(CR85=0,0,HLOOKUP(CR85,[1]Trav!$C$39:$G$59,$AU$105))</f>
        <v>0</v>
      </c>
      <c r="CS86" s="187">
        <f>IF(CS85=0,0,HLOOKUP(CS85,[1]Trav!$C$39:$G$59,$AU$105))</f>
        <v>0</v>
      </c>
      <c r="CT86" s="187">
        <f>IF(CT85=0,0,HLOOKUP(CT85,[1]Trav!$C$39:$G$59,$AU$105))</f>
        <v>0</v>
      </c>
      <c r="CU86" s="187">
        <f>IF(CU85=0,0,HLOOKUP(CU85,[1]Trav!$C$39:$G$59,$AU$105))</f>
        <v>0</v>
      </c>
      <c r="CV86" s="187">
        <f>IF(CV85=0,0,HLOOKUP(CV85,[1]Trav!$C$39:$G$59,$AU$105))</f>
        <v>0</v>
      </c>
      <c r="CW86" s="187">
        <f>IF(CW85=0,0,HLOOKUP(CW85,[1]Trav!$C$39:$G$59,$AU$105))</f>
        <v>0</v>
      </c>
      <c r="CX86" s="187">
        <f>IF(CX85=0,0,HLOOKUP(CX85,[1]Trav!$C$39:$G$59,$AU$105))</f>
        <v>0</v>
      </c>
      <c r="CY86" s="187">
        <f>IF(CY85=0,0,HLOOKUP(CY85,[1]Trav!$C$39:$G$59,$AU$105))</f>
        <v>0</v>
      </c>
      <c r="DC86" s="40" t="s">
        <v>869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870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786</v>
      </c>
      <c r="AT87" s="40" t="s">
        <v>871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871</v>
      </c>
      <c r="CB87" s="187">
        <f>IF(CB85=0,0,HLOOKUP(CB85,[1]Trav!$C$62:$G$82,$AU$105))</f>
        <v>0</v>
      </c>
      <c r="CC87" s="187">
        <f>IF(CC85=0,0,HLOOKUP(CC85,[1]Trav!$C$62:$G$82,$AU$105))</f>
        <v>0</v>
      </c>
      <c r="CD87" s="187">
        <f>IF(CD85=0,0,HLOOKUP(CD85,[1]Trav!$C$62:$G$82,$AU$105))</f>
        <v>0</v>
      </c>
      <c r="CE87" s="187">
        <f>IF(CE85=0,0,HLOOKUP(CE85,[1]Trav!$C$62:$G$82,$AU$105))</f>
        <v>0</v>
      </c>
      <c r="CF87" s="187">
        <f>IF(CF85=0,0,HLOOKUP(CF85,[1]Trav!$C$62:$G$82,$AU$105))</f>
        <v>0</v>
      </c>
      <c r="CG87" s="187">
        <f>IF(CG85=0,0,HLOOKUP(CG85,[1]Trav!$C$62:$G$82,$AU$105))</f>
        <v>0</v>
      </c>
      <c r="CH87" s="187">
        <f>IF(CH85=0,0,HLOOKUP(CH85,[1]Trav!$C$62:$G$82,$AU$105))</f>
        <v>0</v>
      </c>
      <c r="CI87" s="187">
        <f>IF(CI85=0,0,HLOOKUP(CI85,[1]Trav!$C$62:$G$82,$AU$105))</f>
        <v>0</v>
      </c>
      <c r="CJ87" s="187">
        <f>IF(CJ85=0,0,HLOOKUP(CJ85,[1]Trav!$C$62:$G$82,$AU$105))</f>
        <v>0</v>
      </c>
      <c r="CK87" s="187">
        <f>IF(CK85=0,0,HLOOKUP(CK85,[1]Trav!$C$62:$G$82,$AU$105))</f>
        <v>0</v>
      </c>
      <c r="CL87" s="187">
        <f>IF(CL85=0,0,HLOOKUP(CL85,[1]Trav!$C$62:$G$82,$AU$105))</f>
        <v>0</v>
      </c>
      <c r="CM87" s="187">
        <f>IF(CM85=0,0,HLOOKUP(CM85,[1]Trav!$C$62:$G$82,$AU$105))</f>
        <v>0</v>
      </c>
      <c r="CN87" s="187">
        <f>IF(CN85=0,0,HLOOKUP(CN85,[1]Trav!$C$62:$G$82,$AU$105))</f>
        <v>0</v>
      </c>
      <c r="CO87" s="187">
        <f>IF(CO85=0,0,HLOOKUP(CO85,[1]Trav!$C$62:$G$82,$AU$105))</f>
        <v>0</v>
      </c>
      <c r="CP87" s="187">
        <f>IF(CP85=0,0,HLOOKUP(CP85,[1]Trav!$C$62:$G$82,$AU$105))</f>
        <v>0</v>
      </c>
      <c r="CQ87" s="187">
        <f>IF(CQ85=0,0,HLOOKUP(CQ85,[1]Trav!$C$62:$G$82,$AU$105))</f>
        <v>0</v>
      </c>
      <c r="CR87" s="187">
        <f>IF(CR85=0,0,HLOOKUP(CR85,[1]Trav!$C$62:$G$82,$AU$105))</f>
        <v>0</v>
      </c>
      <c r="CS87" s="187">
        <f>IF(CS85=0,0,HLOOKUP(CS85,[1]Trav!$C$62:$G$82,$AU$105))</f>
        <v>0</v>
      </c>
      <c r="CT87" s="187">
        <f>IF(CT85=0,0,HLOOKUP(CT85,[1]Trav!$C$62:$G$82,$AU$105))</f>
        <v>0</v>
      </c>
      <c r="CU87" s="187">
        <f>IF(CU85=0,0,HLOOKUP(CU85,[1]Trav!$C$62:$G$82,$AU$105))</f>
        <v>0</v>
      </c>
      <c r="CV87" s="187">
        <f>IF(CV85=0,0,HLOOKUP(CV85,[1]Trav!$C$62:$G$82,$AU$105))</f>
        <v>0</v>
      </c>
      <c r="CW87" s="187">
        <f>IF(CW85=0,0,HLOOKUP(CW85,[1]Trav!$C$62:$G$82,$AU$105))</f>
        <v>0</v>
      </c>
      <c r="CX87" s="187">
        <f>IF(CX85=0,0,HLOOKUP(CX85,[1]Trav!$C$62:$G$82,$AU$105))</f>
        <v>0</v>
      </c>
      <c r="CY87" s="187">
        <f>IF(CY85=0,0,HLOOKUP(CY85,[1]Trav!$C$62:$G$82,$AU$105))</f>
        <v>0</v>
      </c>
      <c r="DC87" s="40" t="s">
        <v>871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872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872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872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873</v>
      </c>
      <c r="B90" s="5" t="s">
        <v>874</v>
      </c>
      <c r="C90" s="5"/>
      <c r="D90" s="5" t="s">
        <v>875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206.10476190476192</v>
      </c>
      <c r="AW90" s="172">
        <f t="shared" si="60"/>
        <v>209.93333333333334</v>
      </c>
      <c r="AX90" s="172">
        <f t="shared" si="60"/>
        <v>213.76190476190476</v>
      </c>
      <c r="AY90" s="172">
        <f t="shared" si="60"/>
        <v>200.36190476190475</v>
      </c>
      <c r="AZ90" s="172">
        <f t="shared" si="60"/>
        <v>204.1904761904762</v>
      </c>
      <c r="BA90" s="172">
        <f t="shared" si="60"/>
        <v>208.65714285714284</v>
      </c>
      <c r="BB90" s="172">
        <f t="shared" si="60"/>
        <v>213.12380952380951</v>
      </c>
      <c r="BC90" s="172">
        <f t="shared" si="60"/>
        <v>218.22857142857143</v>
      </c>
      <c r="BD90" s="172">
        <f t="shared" si="60"/>
        <v>222.05714285714285</v>
      </c>
      <c r="BE90" s="172">
        <f t="shared" si="60"/>
        <v>223.33333333333334</v>
      </c>
      <c r="BF90" s="172">
        <f t="shared" si="60"/>
        <v>224.60952380952381</v>
      </c>
      <c r="BG90" s="172">
        <f t="shared" si="60"/>
        <v>224.60952380952381</v>
      </c>
      <c r="BH90" s="172">
        <f t="shared" si="60"/>
        <v>224.60952380952381</v>
      </c>
      <c r="BI90" s="172">
        <f t="shared" si="60"/>
        <v>224.60952380952381</v>
      </c>
      <c r="BJ90" s="172">
        <f t="shared" si="60"/>
        <v>224.60952380952381</v>
      </c>
      <c r="BK90" s="172">
        <f t="shared" si="60"/>
        <v>224.60952380952381</v>
      </c>
      <c r="BL90" s="172">
        <f t="shared" si="60"/>
        <v>224.60952380952381</v>
      </c>
      <c r="BM90" s="172">
        <f t="shared" si="60"/>
        <v>208.01904761904763</v>
      </c>
      <c r="BN90" s="172">
        <f t="shared" si="60"/>
        <v>208.01904761904763</v>
      </c>
      <c r="BO90" s="172">
        <f t="shared" si="60"/>
        <v>208.01904761904763</v>
      </c>
      <c r="BP90" s="172">
        <f t="shared" si="60"/>
        <v>254.6</v>
      </c>
      <c r="BQ90" s="172">
        <f t="shared" si="60"/>
        <v>254.6</v>
      </c>
      <c r="BR90" s="172">
        <f t="shared" si="60"/>
        <v>206.10476190476192</v>
      </c>
      <c r="BS90" s="172">
        <f t="shared" si="60"/>
        <v>206.10476190476192</v>
      </c>
      <c r="BY90" s="2"/>
      <c r="BZ90" s="186" t="str">
        <f t="shared" ref="BZ90:BZ93" si="61">BZ26</f>
        <v>lot1</v>
      </c>
      <c r="CB90" s="172">
        <f t="shared" ref="CB90:CY95" si="62">IF(CB37&gt;1,CB4,0)</f>
        <v>0</v>
      </c>
      <c r="CC90" s="172">
        <f t="shared" si="62"/>
        <v>0</v>
      </c>
      <c r="CD90" s="172">
        <f t="shared" si="62"/>
        <v>0</v>
      </c>
      <c r="CE90" s="172">
        <f t="shared" si="62"/>
        <v>0</v>
      </c>
      <c r="CF90" s="172">
        <f t="shared" si="62"/>
        <v>0</v>
      </c>
      <c r="CG90" s="172">
        <f t="shared" si="62"/>
        <v>0</v>
      </c>
      <c r="CH90" s="172">
        <f t="shared" si="62"/>
        <v>0</v>
      </c>
      <c r="CI90" s="172">
        <f t="shared" si="62"/>
        <v>0</v>
      </c>
      <c r="CJ90" s="172">
        <f t="shared" si="62"/>
        <v>0</v>
      </c>
      <c r="CK90" s="172">
        <f t="shared" si="62"/>
        <v>0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0</v>
      </c>
      <c r="CU90" s="172">
        <f t="shared" si="62"/>
        <v>0</v>
      </c>
      <c r="CV90" s="172">
        <f t="shared" si="62"/>
        <v>0</v>
      </c>
      <c r="CW90" s="172">
        <f t="shared" si="62"/>
        <v>0</v>
      </c>
      <c r="CX90" s="172">
        <f t="shared" si="62"/>
        <v>0</v>
      </c>
      <c r="CY90" s="172">
        <f t="shared" si="62"/>
        <v>0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876</v>
      </c>
      <c r="B91" s="199">
        <f>F5+F9</f>
        <v>2129.9299999999998</v>
      </c>
      <c r="C91" s="5"/>
      <c r="D91" s="200">
        <f>B91/Troupeau!$B$17</f>
        <v>7.9474999999999998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5.1047619047619044</v>
      </c>
      <c r="AW91" s="172">
        <f t="shared" si="60"/>
        <v>5.1047619047619044</v>
      </c>
      <c r="AX91" s="172">
        <f t="shared" si="60"/>
        <v>5.1047619047619044</v>
      </c>
      <c r="AY91" s="172">
        <f t="shared" si="60"/>
        <v>5.1047619047619044</v>
      </c>
      <c r="AZ91" s="172">
        <f t="shared" si="60"/>
        <v>5.1047619047619044</v>
      </c>
      <c r="BA91" s="172">
        <f t="shared" si="60"/>
        <v>5.1047619047619044</v>
      </c>
      <c r="BB91" s="172">
        <f t="shared" si="60"/>
        <v>5.1047619047619044</v>
      </c>
      <c r="BC91" s="172">
        <f t="shared" si="60"/>
        <v>5.1047619047619044</v>
      </c>
      <c r="BD91" s="172">
        <f t="shared" si="60"/>
        <v>5.1047619047619044</v>
      </c>
      <c r="BE91" s="172">
        <f t="shared" si="60"/>
        <v>5.1047619047619044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5.1047619047619044</v>
      </c>
      <c r="BQ91" s="172">
        <f t="shared" si="60"/>
        <v>5.1047619047619044</v>
      </c>
      <c r="BR91" s="172">
        <f t="shared" si="60"/>
        <v>5.1047619047619044</v>
      </c>
      <c r="BS91" s="172">
        <f t="shared" si="60"/>
        <v>5.1047619047619044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877</v>
      </c>
      <c r="B92" s="199">
        <f>F6+F10</f>
        <v>0</v>
      </c>
      <c r="C92" s="5"/>
      <c r="D92" s="200">
        <f>IF(B92=0,0,B92/Troupeau!$C$17)</f>
        <v>0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13.4</v>
      </c>
      <c r="AW92" s="172">
        <f t="shared" si="60"/>
        <v>13.4</v>
      </c>
      <c r="AX92" s="172">
        <f t="shared" si="60"/>
        <v>13.4</v>
      </c>
      <c r="AY92" s="172">
        <f t="shared" si="60"/>
        <v>13.4</v>
      </c>
      <c r="AZ92" s="172">
        <f t="shared" si="60"/>
        <v>13.4</v>
      </c>
      <c r="BA92" s="172">
        <f t="shared" si="60"/>
        <v>13.4</v>
      </c>
      <c r="BB92" s="172">
        <f t="shared" si="60"/>
        <v>13.4</v>
      </c>
      <c r="BC92" s="172">
        <f t="shared" si="60"/>
        <v>13.4</v>
      </c>
      <c r="BD92" s="172">
        <f t="shared" si="60"/>
        <v>13.4</v>
      </c>
      <c r="BE92" s="172">
        <f t="shared" si="60"/>
        <v>13.4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13.4</v>
      </c>
      <c r="BQ92" s="172">
        <f t="shared" si="60"/>
        <v>13.4</v>
      </c>
      <c r="BR92" s="172">
        <f t="shared" si="60"/>
        <v>13.4</v>
      </c>
      <c r="BS92" s="172">
        <f t="shared" si="60"/>
        <v>13.4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878</v>
      </c>
      <c r="B93" s="199">
        <f>F7+F11</f>
        <v>0</v>
      </c>
      <c r="C93" s="23"/>
      <c r="D93" s="200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</v>
      </c>
      <c r="AV93" s="172">
        <f t="shared" si="60"/>
        <v>48.495238095238093</v>
      </c>
      <c r="AW93" s="172">
        <f t="shared" si="60"/>
        <v>42.752380952380953</v>
      </c>
      <c r="AX93" s="172">
        <f t="shared" si="60"/>
        <v>37.009523809523813</v>
      </c>
      <c r="AY93" s="172">
        <f t="shared" si="60"/>
        <v>31.266666666666666</v>
      </c>
      <c r="AZ93" s="172">
        <f t="shared" si="60"/>
        <v>25.523809523809526</v>
      </c>
      <c r="BA93" s="172">
        <f t="shared" si="60"/>
        <v>19.780952380952382</v>
      </c>
      <c r="BB93" s="172">
        <f t="shared" si="60"/>
        <v>14.038095238095238</v>
      </c>
      <c r="BC93" s="172">
        <f t="shared" si="60"/>
        <v>8.295238095238096</v>
      </c>
      <c r="BD93" s="172">
        <f t="shared" si="60"/>
        <v>2.5523809523809522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48.495238095238093</v>
      </c>
      <c r="BS93" s="172">
        <f t="shared" si="60"/>
        <v>48.495238095238093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879</v>
      </c>
      <c r="B94" s="201">
        <f>SUM(B91:B93)</f>
        <v>2129.9299999999998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65.085714285714289</v>
      </c>
      <c r="AW94" s="172">
        <f t="shared" si="60"/>
        <v>65.085714285714289</v>
      </c>
      <c r="AX94" s="172">
        <f t="shared" si="60"/>
        <v>65.085714285714289</v>
      </c>
      <c r="AY94" s="172">
        <f t="shared" si="60"/>
        <v>65.085714285714289</v>
      </c>
      <c r="AZ94" s="172">
        <f t="shared" si="60"/>
        <v>65.085714285714289</v>
      </c>
      <c r="BA94" s="172">
        <f t="shared" si="60"/>
        <v>65.085714285714289</v>
      </c>
      <c r="BB94" s="172">
        <f t="shared" si="60"/>
        <v>65.085714285714289</v>
      </c>
      <c r="BC94" s="172">
        <f t="shared" si="60"/>
        <v>65.085714285714289</v>
      </c>
      <c r="BD94" s="172">
        <f t="shared" si="60"/>
        <v>65.085714285714289</v>
      </c>
      <c r="BE94" s="172">
        <f t="shared" si="60"/>
        <v>65.085714285714289</v>
      </c>
      <c r="BF94" s="172">
        <f t="shared" si="60"/>
        <v>65.085714285714289</v>
      </c>
      <c r="BG94" s="172">
        <f t="shared" si="60"/>
        <v>65.085714285714289</v>
      </c>
      <c r="BH94" s="172">
        <f t="shared" si="60"/>
        <v>65.085714285714289</v>
      </c>
      <c r="BI94" s="172">
        <f t="shared" si="60"/>
        <v>65.085714285714289</v>
      </c>
      <c r="BJ94" s="172">
        <f t="shared" si="60"/>
        <v>65.085714285714289</v>
      </c>
      <c r="BK94" s="172">
        <f t="shared" si="60"/>
        <v>65.085714285714289</v>
      </c>
      <c r="BL94" s="172">
        <f t="shared" si="60"/>
        <v>65.085714285714289</v>
      </c>
      <c r="BM94" s="172">
        <f t="shared" si="60"/>
        <v>65.085714285714289</v>
      </c>
      <c r="BN94" s="172">
        <f t="shared" si="60"/>
        <v>65.085714285714289</v>
      </c>
      <c r="BO94" s="172">
        <f t="shared" si="60"/>
        <v>65.085714285714289</v>
      </c>
      <c r="BP94" s="172">
        <f t="shared" si="60"/>
        <v>0</v>
      </c>
      <c r="BQ94" s="172">
        <f t="shared" si="60"/>
        <v>0</v>
      </c>
      <c r="BR94" s="172">
        <f t="shared" si="60"/>
        <v>65.085714285714289</v>
      </c>
      <c r="BS94" s="172">
        <f t="shared" si="60"/>
        <v>65.085714285714289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880</v>
      </c>
      <c r="B95" s="30">
        <f>F16+F20</f>
        <v>0</v>
      </c>
      <c r="C95" s="5"/>
      <c r="D95" s="200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881</v>
      </c>
      <c r="B96" s="30">
        <f>F17+F21</f>
        <v>0</v>
      </c>
      <c r="C96" s="5"/>
      <c r="D96" s="200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882</v>
      </c>
      <c r="B97" s="30">
        <f>F18+F22</f>
        <v>0</v>
      </c>
      <c r="C97" s="5"/>
      <c r="D97" s="200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883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884</v>
      </c>
      <c r="B99" s="30">
        <f>F31+F35</f>
        <v>1285.7566666666667</v>
      </c>
      <c r="C99" s="5"/>
      <c r="D99" s="200">
        <f>B99/Troupeau!$B$17</f>
        <v>4.7975995024875617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2" t="s">
        <v>13</v>
      </c>
      <c r="AV99" s="62">
        <f>SUM(AV90:AV98)</f>
        <v>338.1904761904762</v>
      </c>
      <c r="AW99" s="62">
        <f t="shared" ref="AW99:BS99" si="68">SUM(AW90:AW98)</f>
        <v>336.27619047619049</v>
      </c>
      <c r="AX99" s="62">
        <f t="shared" si="68"/>
        <v>334.36190476190478</v>
      </c>
      <c r="AY99" s="62">
        <f t="shared" si="68"/>
        <v>315.21904761904761</v>
      </c>
      <c r="AZ99" s="62">
        <f t="shared" si="68"/>
        <v>313.3047619047619</v>
      </c>
      <c r="BA99" s="62">
        <f t="shared" si="68"/>
        <v>312.02857142857147</v>
      </c>
      <c r="BB99" s="62">
        <f t="shared" si="68"/>
        <v>310.75238095238097</v>
      </c>
      <c r="BC99" s="62">
        <f t="shared" si="68"/>
        <v>310.11428571428576</v>
      </c>
      <c r="BD99" s="62">
        <f t="shared" si="68"/>
        <v>308.20000000000005</v>
      </c>
      <c r="BE99" s="62">
        <f t="shared" si="68"/>
        <v>306.92380952380955</v>
      </c>
      <c r="BF99" s="62">
        <f t="shared" si="68"/>
        <v>289.6952380952381</v>
      </c>
      <c r="BG99" s="62">
        <f t="shared" si="68"/>
        <v>289.6952380952381</v>
      </c>
      <c r="BH99" s="62">
        <f t="shared" si="68"/>
        <v>289.6952380952381</v>
      </c>
      <c r="BI99" s="62">
        <f t="shared" si="68"/>
        <v>289.6952380952381</v>
      </c>
      <c r="BJ99" s="62">
        <f t="shared" si="68"/>
        <v>289.6952380952381</v>
      </c>
      <c r="BK99" s="62">
        <f t="shared" si="68"/>
        <v>289.6952380952381</v>
      </c>
      <c r="BL99" s="62">
        <f t="shared" si="68"/>
        <v>289.6952380952381</v>
      </c>
      <c r="BM99" s="62">
        <f t="shared" si="68"/>
        <v>273.10476190476192</v>
      </c>
      <c r="BN99" s="62">
        <f t="shared" si="68"/>
        <v>273.10476190476192</v>
      </c>
      <c r="BO99" s="62">
        <f t="shared" si="68"/>
        <v>273.10476190476192</v>
      </c>
      <c r="BP99" s="62">
        <f t="shared" si="68"/>
        <v>273.10476190476186</v>
      </c>
      <c r="BQ99" s="62">
        <f t="shared" si="68"/>
        <v>273.10476190476186</v>
      </c>
      <c r="BR99" s="62">
        <f t="shared" si="68"/>
        <v>338.1904761904762</v>
      </c>
      <c r="BS99" s="62">
        <f t="shared" si="68"/>
        <v>338.1904761904762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885</v>
      </c>
      <c r="B100" s="30">
        <f>F32+F36</f>
        <v>0</v>
      </c>
      <c r="C100" s="5"/>
      <c r="D100" s="200">
        <f>IF(B100=0,0,B100/Troupeau!$C$17)</f>
        <v>0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886</v>
      </c>
      <c r="AV100" s="172">
        <f>IF($AT$2="OL",AV99/50,AV99/10)</f>
        <v>6.7638095238095239</v>
      </c>
      <c r="AW100" s="172">
        <f t="shared" ref="AW100:BS100" si="71">IF($AT$2="OL",AW99/50,AW99/10)</f>
        <v>6.7255238095238097</v>
      </c>
      <c r="AX100" s="172">
        <f t="shared" si="71"/>
        <v>6.6872380952380954</v>
      </c>
      <c r="AY100" s="172">
        <f t="shared" si="71"/>
        <v>6.304380952380952</v>
      </c>
      <c r="AZ100" s="172">
        <f t="shared" si="71"/>
        <v>6.2660952380952377</v>
      </c>
      <c r="BA100" s="172">
        <f t="shared" si="71"/>
        <v>6.2405714285714291</v>
      </c>
      <c r="BB100" s="172">
        <f t="shared" si="71"/>
        <v>6.2150476190476196</v>
      </c>
      <c r="BC100" s="172">
        <f t="shared" si="71"/>
        <v>6.2022857142857148</v>
      </c>
      <c r="BD100" s="172">
        <f t="shared" si="71"/>
        <v>6.1640000000000006</v>
      </c>
      <c r="BE100" s="172">
        <f t="shared" si="71"/>
        <v>6.1384761904761911</v>
      </c>
      <c r="BF100" s="172">
        <f t="shared" si="71"/>
        <v>5.7939047619047619</v>
      </c>
      <c r="BG100" s="172">
        <f t="shared" si="71"/>
        <v>5.7939047619047619</v>
      </c>
      <c r="BH100" s="172">
        <f t="shared" si="71"/>
        <v>5.7939047619047619</v>
      </c>
      <c r="BI100" s="172">
        <f t="shared" si="71"/>
        <v>5.7939047619047619</v>
      </c>
      <c r="BJ100" s="172">
        <f t="shared" si="71"/>
        <v>5.7939047619047619</v>
      </c>
      <c r="BK100" s="172">
        <f t="shared" si="71"/>
        <v>5.7939047619047619</v>
      </c>
      <c r="BL100" s="172">
        <f t="shared" si="71"/>
        <v>5.7939047619047619</v>
      </c>
      <c r="BM100" s="172">
        <f t="shared" si="71"/>
        <v>5.4620952380952383</v>
      </c>
      <c r="BN100" s="172">
        <f t="shared" si="71"/>
        <v>5.4620952380952383</v>
      </c>
      <c r="BO100" s="172">
        <f t="shared" si="71"/>
        <v>5.4620952380952383</v>
      </c>
      <c r="BP100" s="172">
        <f t="shared" si="71"/>
        <v>5.4620952380952374</v>
      </c>
      <c r="BQ100" s="172">
        <f t="shared" si="71"/>
        <v>5.4620952380952374</v>
      </c>
      <c r="BR100" s="172">
        <f t="shared" si="71"/>
        <v>6.7638095238095239</v>
      </c>
      <c r="BS100" s="172">
        <f t="shared" si="71"/>
        <v>6.7638095238095239</v>
      </c>
      <c r="BZ100" s="32" t="s">
        <v>886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886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887</v>
      </c>
      <c r="B101" s="30">
        <f>F33+F37</f>
        <v>0</v>
      </c>
      <c r="C101" s="5"/>
      <c r="D101" s="200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888</v>
      </c>
      <c r="AV101" s="172">
        <f>IF(AV100&gt;1,AV100-1,0)</f>
        <v>5.7638095238095239</v>
      </c>
      <c r="AW101" s="172">
        <f t="shared" ref="AW101:BS101" si="74">IF(AW100&gt;1,AW100-1,0)</f>
        <v>5.7255238095238097</v>
      </c>
      <c r="AX101" s="172">
        <f t="shared" si="74"/>
        <v>5.6872380952380954</v>
      </c>
      <c r="AY101" s="172">
        <f t="shared" si="74"/>
        <v>5.304380952380952</v>
      </c>
      <c r="AZ101" s="172">
        <f t="shared" si="74"/>
        <v>5.2660952380952377</v>
      </c>
      <c r="BA101" s="172">
        <f t="shared" si="74"/>
        <v>5.2405714285714291</v>
      </c>
      <c r="BB101" s="172">
        <f t="shared" si="74"/>
        <v>5.2150476190476196</v>
      </c>
      <c r="BC101" s="172">
        <f t="shared" si="74"/>
        <v>5.2022857142857148</v>
      </c>
      <c r="BD101" s="172">
        <f t="shared" si="74"/>
        <v>5.1640000000000006</v>
      </c>
      <c r="BE101" s="172">
        <f t="shared" si="74"/>
        <v>5.1384761904761911</v>
      </c>
      <c r="BF101" s="172">
        <f t="shared" si="74"/>
        <v>4.7939047619047619</v>
      </c>
      <c r="BG101" s="172">
        <f t="shared" si="74"/>
        <v>4.7939047619047619</v>
      </c>
      <c r="BH101" s="172">
        <f t="shared" si="74"/>
        <v>4.7939047619047619</v>
      </c>
      <c r="BI101" s="172">
        <f t="shared" si="74"/>
        <v>4.7939047619047619</v>
      </c>
      <c r="BJ101" s="172">
        <f t="shared" si="74"/>
        <v>4.7939047619047619</v>
      </c>
      <c r="BK101" s="172">
        <f t="shared" si="74"/>
        <v>4.7939047619047619</v>
      </c>
      <c r="BL101" s="172">
        <f t="shared" si="74"/>
        <v>4.7939047619047619</v>
      </c>
      <c r="BM101" s="172">
        <f t="shared" si="74"/>
        <v>4.4620952380952383</v>
      </c>
      <c r="BN101" s="172">
        <f t="shared" si="74"/>
        <v>4.4620952380952383</v>
      </c>
      <c r="BO101" s="172">
        <f t="shared" si="74"/>
        <v>4.4620952380952383</v>
      </c>
      <c r="BP101" s="172">
        <f t="shared" si="74"/>
        <v>4.4620952380952374</v>
      </c>
      <c r="BQ101" s="172">
        <f t="shared" si="74"/>
        <v>4.4620952380952374</v>
      </c>
      <c r="BR101" s="172">
        <f t="shared" si="74"/>
        <v>5.7638095238095239</v>
      </c>
      <c r="BS101" s="172">
        <f t="shared" si="74"/>
        <v>5.7638095238095239</v>
      </c>
      <c r="BZ101" s="32" t="s">
        <v>888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888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889</v>
      </c>
      <c r="B102" s="46">
        <f>SUM(B99:B101)</f>
        <v>1285.7566666666667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890</v>
      </c>
      <c r="AV102" s="62">
        <f>AV86+AV87*AV101</f>
        <v>52.086666666666666</v>
      </c>
      <c r="AW102" s="62">
        <f t="shared" ref="AW102:BS102" si="77">AW86+AW87*AW101</f>
        <v>52.019666666666666</v>
      </c>
      <c r="AX102" s="62">
        <f t="shared" si="77"/>
        <v>51.952666666666666</v>
      </c>
      <c r="AY102" s="62">
        <f t="shared" si="77"/>
        <v>51.282666666666664</v>
      </c>
      <c r="AZ102" s="62">
        <f t="shared" si="77"/>
        <v>51.215666666666664</v>
      </c>
      <c r="BA102" s="62">
        <f t="shared" si="77"/>
        <v>51.170999999999999</v>
      </c>
      <c r="BB102" s="62">
        <f t="shared" si="77"/>
        <v>51.126333333333335</v>
      </c>
      <c r="BC102" s="62">
        <f t="shared" si="77"/>
        <v>51.103999999999999</v>
      </c>
      <c r="BD102" s="62">
        <f t="shared" si="77"/>
        <v>51.036999999999999</v>
      </c>
      <c r="BE102" s="62">
        <f t="shared" si="77"/>
        <v>50.992333333333335</v>
      </c>
      <c r="BF102" s="62">
        <f t="shared" si="77"/>
        <v>50.389333333333333</v>
      </c>
      <c r="BG102" s="62">
        <f t="shared" si="77"/>
        <v>50.389333333333333</v>
      </c>
      <c r="BH102" s="62">
        <f t="shared" si="77"/>
        <v>50.389333333333333</v>
      </c>
      <c r="BI102" s="62">
        <f t="shared" si="77"/>
        <v>50.389333333333333</v>
      </c>
      <c r="BJ102" s="62">
        <f t="shared" si="77"/>
        <v>29.389333333333333</v>
      </c>
      <c r="BK102" s="62">
        <f t="shared" si="77"/>
        <v>29.389333333333333</v>
      </c>
      <c r="BL102" s="62">
        <f t="shared" si="77"/>
        <v>29.389333333333333</v>
      </c>
      <c r="BM102" s="62">
        <f t="shared" si="77"/>
        <v>28.808666666666667</v>
      </c>
      <c r="BN102" s="62">
        <f t="shared" si="77"/>
        <v>28.808666666666667</v>
      </c>
      <c r="BO102" s="62">
        <f t="shared" si="77"/>
        <v>28.808666666666667</v>
      </c>
      <c r="BP102" s="62">
        <f t="shared" si="77"/>
        <v>28.808666666666667</v>
      </c>
      <c r="BQ102" s="62">
        <f t="shared" si="77"/>
        <v>28.808666666666667</v>
      </c>
      <c r="BR102" s="62">
        <f t="shared" si="77"/>
        <v>31.086666666666666</v>
      </c>
      <c r="BS102" s="62">
        <f t="shared" si="77"/>
        <v>31.086666666666666</v>
      </c>
      <c r="BZ102" s="40" t="s">
        <v>890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890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891</v>
      </c>
      <c r="B103" s="30">
        <f>F39</f>
        <v>0</v>
      </c>
      <c r="C103" s="5"/>
      <c r="D103" s="200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892</v>
      </c>
      <c r="B104" s="30">
        <f>F40</f>
        <v>0</v>
      </c>
      <c r="C104" s="5"/>
      <c r="D104" s="200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893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894</v>
      </c>
      <c r="B105" s="30">
        <f>F41</f>
        <v>0</v>
      </c>
      <c r="C105" s="5"/>
      <c r="D105" s="200">
        <f>IF(B105=0,0,B105/Troupeau!$D$17)</f>
        <v>0</v>
      </c>
      <c r="F105" s="171"/>
      <c r="G105" s="5"/>
      <c r="H105" s="5"/>
      <c r="AT105" s="147" t="s">
        <v>895</v>
      </c>
      <c r="AU105" s="17">
        <f>VLOOKUP(AU59,[1]Trav!$B$12:$C$31,2)</f>
        <v>2</v>
      </c>
      <c r="BZ105" s="147" t="s">
        <v>895</v>
      </c>
      <c r="CA105" s="17" t="e">
        <f>VLOOKUP(CA59,[1]Trav!$B$12:$C$31,2)</f>
        <v>#N/A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895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896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>lot1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0</v>
      </c>
      <c r="CI106" s="187">
        <f>IF(CI60&gt;0,HLOOKUP(CI60,[1]Trav!$C$11:$O$31,$CA$105),0)</f>
        <v>0</v>
      </c>
      <c r="CJ106" s="187">
        <f>IF(CJ60&gt;0,HLOOKUP(CJ60,[1]Trav!$C$11:$O$31,$CA$105),0)</f>
        <v>0</v>
      </c>
      <c r="CK106" s="187">
        <f>IF(CK60&gt;0,HLOOKUP(CK60,[1]Trav!$C$11:$O$31,$CA$105),0)</f>
        <v>0</v>
      </c>
      <c r="CL106" s="187">
        <f>IF(CL60&gt;0,HLOOKUP(CL60,[1]Trav!$C$11:$O$31,$CA$105),0)</f>
        <v>0</v>
      </c>
      <c r="CM106" s="187">
        <f>IF(CM60&gt;0,HLOOKUP(CM60,[1]Trav!$C$11:$O$31,$CA$105),0)</f>
        <v>0</v>
      </c>
      <c r="CN106" s="187">
        <f>IF(CN60&gt;0,HLOOKUP(CN60,[1]Trav!$C$11:$O$31,$CA$105),0)</f>
        <v>0</v>
      </c>
      <c r="CO106" s="187">
        <f>IF(CO60&gt;0,HLOOKUP(CO60,[1]Trav!$C$11:$O$31,$CA$105),0)</f>
        <v>0</v>
      </c>
      <c r="CP106" s="187">
        <f>IF(CP60&gt;0,HLOOKUP(CP60,[1]Trav!$C$11:$O$31,$CA$105),0)</f>
        <v>0</v>
      </c>
      <c r="CQ106" s="187">
        <f>IF(CQ60&gt;0,HLOOKUP(CQ60,[1]Trav!$C$11:$O$31,$CA$105),0)</f>
        <v>0</v>
      </c>
      <c r="CR106" s="187">
        <f>IF(CR60&gt;0,HLOOKUP(CR60,[1]Trav!$C$11:$O$31,$CA$105),0)</f>
        <v>0</v>
      </c>
      <c r="CS106" s="187">
        <f>IF(CS60&gt;0,HLOOKUP(CS60,[1]Trav!$C$11:$O$31,$CA$105),0)</f>
        <v>0</v>
      </c>
      <c r="CT106" s="187">
        <f>IF(CT60&gt;0,HLOOKUP(CT60,[1]Trav!$C$11:$O$31,$CA$105),0)</f>
        <v>0</v>
      </c>
      <c r="CU106" s="187">
        <f>IF(CU60&gt;0,HLOOKUP(CU60,[1]Trav!$C$11:$O$31,$CA$105),0)</f>
        <v>0</v>
      </c>
      <c r="CV106" s="187">
        <f>IF(CV60&gt;0,HLOOKUP(CV60,[1]Trav!$C$11:$O$31,$CA$105),0)</f>
        <v>0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897</v>
      </c>
      <c r="B107" s="46">
        <f>SUM(F61:F64)</f>
        <v>440</v>
      </c>
      <c r="D107" s="194"/>
      <c r="AT107" s="186" t="str">
        <f t="shared" si="80"/>
        <v>Lot des béliers</v>
      </c>
      <c r="AV107" s="187">
        <f>IF(AV61&gt;0,HLOOKUP(AV61,[1]Trav!$C$11:$O$31,$AU$105),0)</f>
        <v>21</v>
      </c>
      <c r="AW107" s="187">
        <f>IF(AW61&gt;0,HLOOKUP(AW61,[1]Trav!$C$11:$O$31,$AU$105),0)</f>
        <v>21</v>
      </c>
      <c r="AX107" s="187">
        <f>IF(AX61&gt;0,HLOOKUP(AX61,[1]Trav!$C$11:$O$31,$AU$105),0)</f>
        <v>21</v>
      </c>
      <c r="AY107" s="187">
        <f>IF(AY61&gt;0,HLOOKUP(AY61,[1]Trav!$C$11:$O$31,$AU$105),0)</f>
        <v>21</v>
      </c>
      <c r="AZ107" s="187">
        <f>IF(AZ61&gt;0,HLOOKUP(AZ61,[1]Trav!$C$11:$O$31,$AU$105),0)</f>
        <v>21</v>
      </c>
      <c r="BA107" s="187">
        <f>IF(BA61&gt;0,HLOOKUP(BA61,[1]Trav!$C$11:$O$31,$AU$105),0)</f>
        <v>21</v>
      </c>
      <c r="BB107" s="187">
        <f>IF(BB61&gt;0,HLOOKUP(BB61,[1]Trav!$C$11:$O$31,$AU$105),0)</f>
        <v>21</v>
      </c>
      <c r="BC107" s="187">
        <f>IF(BC61&gt;0,HLOOKUP(BC61,[1]Trav!$C$11:$O$31,$AU$105),0)</f>
        <v>21</v>
      </c>
      <c r="BD107" s="187">
        <f>IF(BD61&gt;0,HLOOKUP(BD61,[1]Trav!$C$11:$O$31,$AU$105),0)</f>
        <v>21</v>
      </c>
      <c r="BE107" s="187">
        <f>IF(BE61&gt;0,HLOOKUP(BE61,[1]Trav!$C$11:$O$31,$AU$105),0)</f>
        <v>21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21</v>
      </c>
      <c r="BQ107" s="187">
        <f>IF(BQ61&gt;0,HLOOKUP(BQ61,[1]Trav!$C$11:$O$31,$AU$105),0)</f>
        <v>21</v>
      </c>
      <c r="BR107" s="187">
        <f>IF(BR61&gt;0,HLOOKUP(BR61,[1]Trav!$C$11:$O$31,$AU$105),0)</f>
        <v>21</v>
      </c>
      <c r="BS107" s="187">
        <f>IF(BS61&gt;0,HLOOKUP(BS61,[1]Trav!$C$11:$O$31,$AU$105),0)</f>
        <v>21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898</v>
      </c>
      <c r="B108" s="46">
        <f>SUM(F50:F59)</f>
        <v>274</v>
      </c>
      <c r="D108" s="194"/>
      <c r="AT108" s="186" t="str">
        <f t="shared" si="80"/>
        <v>Lot des vides</v>
      </c>
      <c r="AV108" s="187">
        <f>IF(AV62&gt;0,HLOOKUP(AV62,[1]Trav!$C$11:$O$31,$AU$105),0)</f>
        <v>14</v>
      </c>
      <c r="AW108" s="187">
        <f>IF(AW62&gt;0,HLOOKUP(AW62,[1]Trav!$C$11:$O$31,$AU$105),0)</f>
        <v>14</v>
      </c>
      <c r="AX108" s="187">
        <f>IF(AX62&gt;0,HLOOKUP(AX62,[1]Trav!$C$11:$O$31,$AU$105),0)</f>
        <v>14</v>
      </c>
      <c r="AY108" s="187">
        <f>IF(AY62&gt;0,HLOOKUP(AY62,[1]Trav!$C$11:$O$31,$AU$105),0)</f>
        <v>14</v>
      </c>
      <c r="AZ108" s="187">
        <f>IF(AZ62&gt;0,HLOOKUP(AZ62,[1]Trav!$C$11:$O$31,$AU$105),0)</f>
        <v>14</v>
      </c>
      <c r="BA108" s="187">
        <f>IF(BA62&gt;0,HLOOKUP(BA62,[1]Trav!$C$11:$O$31,$AU$105),0)</f>
        <v>14</v>
      </c>
      <c r="BB108" s="187">
        <f>IF(BB62&gt;0,HLOOKUP(BB62,[1]Trav!$C$11:$O$31,$AU$105),0)</f>
        <v>14</v>
      </c>
      <c r="BC108" s="187">
        <f>IF(BC62&gt;0,HLOOKUP(BC62,[1]Trav!$C$11:$O$31,$AU$105),0)</f>
        <v>14</v>
      </c>
      <c r="BD108" s="187">
        <f>IF(BD62&gt;0,HLOOKUP(BD62,[1]Trav!$C$11:$O$31,$AU$105),0)</f>
        <v>14</v>
      </c>
      <c r="BE108" s="187">
        <f>IF(BE62&gt;0,HLOOKUP(BE62,[1]Trav!$C$11:$O$31,$AU$105),0)</f>
        <v>14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21</v>
      </c>
      <c r="BQ108" s="187">
        <f>IF(BQ62&gt;0,HLOOKUP(BQ62,[1]Trav!$C$11:$O$31,$AU$105),0)</f>
        <v>21</v>
      </c>
      <c r="BR108" s="187">
        <f>IF(BR62&gt;0,HLOOKUP(BR62,[1]Trav!$C$11:$O$31,$AU$105),0)</f>
        <v>21</v>
      </c>
      <c r="BS108" s="187">
        <f>IF(BS62&gt;0,HLOOKUP(BS62,[1]Trav!$C$11:$O$31,$AU$105),0)</f>
        <v>21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899</v>
      </c>
      <c r="B109" s="30">
        <f>F69+F72</f>
        <v>370</v>
      </c>
      <c r="D109" s="194"/>
      <c r="AT109" s="186" t="str">
        <f t="shared" si="80"/>
        <v>Lot des tardives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14</v>
      </c>
      <c r="BS109" s="187">
        <f>IF(BS63&gt;0,HLOOKUP(BS63,[1]Trav!$C$11:$O$31,$AU$105),0)</f>
        <v>14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900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14</v>
      </c>
      <c r="BK110" s="187">
        <f>IF(BK64&gt;0,HLOOKUP(BK64,[1]Trav!$C$11:$O$31,$AU$105),0)</f>
        <v>14</v>
      </c>
      <c r="BL110" s="187">
        <f>IF(BL64&gt;0,HLOOKUP(BL64,[1]Trav!$C$11:$O$31,$AU$105),0)</f>
        <v>14</v>
      </c>
      <c r="BM110" s="187">
        <f>IF(BM64&gt;0,HLOOKUP(BM64,[1]Trav!$C$11:$O$31,$AU$105),0)</f>
        <v>14</v>
      </c>
      <c r="BN110" s="187">
        <f>IF(BN64&gt;0,HLOOKUP(BN64,[1]Trav!$C$11:$O$31,$AU$105),0)</f>
        <v>14</v>
      </c>
      <c r="BO110" s="187">
        <f>IF(BO64&gt;0,HLOOKUP(BO64,[1]Trav!$C$11:$O$31,$AU$105),0)</f>
        <v>14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14</v>
      </c>
      <c r="BS110" s="187">
        <f>IF(BS64&gt;0,HLOOKUP(BS64,[1]Trav!$C$11:$O$31,$AU$105),0)</f>
        <v>14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901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902</v>
      </c>
      <c r="B112" s="46">
        <f>SUM(B109:B111)</f>
        <v>370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903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904</v>
      </c>
      <c r="B114" s="30">
        <f>F81</f>
        <v>46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905</v>
      </c>
      <c r="B115" s="30">
        <f>F83+F84</f>
        <v>6.1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906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907</v>
      </c>
      <c r="AV117" s="172">
        <f>SUM(AV106:AV115)</f>
        <v>63</v>
      </c>
      <c r="AW117" s="172">
        <f t="shared" ref="AW117:BS117" si="83">SUM(AW106:AW115)</f>
        <v>63</v>
      </c>
      <c r="AX117" s="172">
        <f t="shared" si="83"/>
        <v>63</v>
      </c>
      <c r="AY117" s="172">
        <f t="shared" si="83"/>
        <v>63</v>
      </c>
      <c r="AZ117" s="172">
        <f t="shared" si="83"/>
        <v>63</v>
      </c>
      <c r="BA117" s="172">
        <f t="shared" si="83"/>
        <v>63</v>
      </c>
      <c r="BB117" s="172">
        <f t="shared" si="83"/>
        <v>63</v>
      </c>
      <c r="BC117" s="172">
        <f t="shared" si="83"/>
        <v>63</v>
      </c>
      <c r="BD117" s="172">
        <f t="shared" si="83"/>
        <v>63</v>
      </c>
      <c r="BE117" s="172">
        <f t="shared" si="83"/>
        <v>49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28</v>
      </c>
      <c r="BK117" s="172">
        <f t="shared" si="83"/>
        <v>28</v>
      </c>
      <c r="BL117" s="172">
        <f t="shared" si="83"/>
        <v>28</v>
      </c>
      <c r="BM117" s="172">
        <f t="shared" si="83"/>
        <v>28</v>
      </c>
      <c r="BN117" s="172">
        <f t="shared" si="83"/>
        <v>28</v>
      </c>
      <c r="BO117" s="172">
        <f t="shared" si="83"/>
        <v>28</v>
      </c>
      <c r="BP117" s="172">
        <f t="shared" si="83"/>
        <v>56</v>
      </c>
      <c r="BQ117" s="172">
        <f t="shared" si="83"/>
        <v>56</v>
      </c>
      <c r="BR117" s="172">
        <f t="shared" si="83"/>
        <v>84</v>
      </c>
      <c r="BS117" s="172">
        <f t="shared" si="83"/>
        <v>84</v>
      </c>
      <c r="CA117" s="40" t="s">
        <v>907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907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908</v>
      </c>
      <c r="B118" s="199">
        <f>B91+B95+B99+B103</f>
        <v>3415.6866666666665</v>
      </c>
      <c r="D118" s="200">
        <f>B118/Troupeau!$B$17</f>
        <v>12.745099502487562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909</v>
      </c>
      <c r="B119" s="199">
        <f t="shared" ref="B119" si="86">B92+B96+B100+B104</f>
        <v>0</v>
      </c>
      <c r="D119" s="200">
        <f>IF(B119=0,0,B119/Troupeau!$C$17)</f>
        <v>0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910</v>
      </c>
      <c r="B120" s="199">
        <f>B93+B97+B101+B105</f>
        <v>0</v>
      </c>
      <c r="D120" s="200">
        <f>IF(B120=0,0,B120/Troupeau!$D$17)</f>
        <v>0</v>
      </c>
    </row>
    <row r="122" spans="1:132" x14ac:dyDescent="0.25">
      <c r="A122" s="2" t="s">
        <v>911</v>
      </c>
      <c r="B122" s="199">
        <f>SUM(B118:B120)</f>
        <v>3415.6866666666665</v>
      </c>
    </row>
    <row r="123" spans="1:132" x14ac:dyDescent="0.25">
      <c r="A123" s="2" t="s">
        <v>898</v>
      </c>
      <c r="B123" s="30">
        <f>B108</f>
        <v>274</v>
      </c>
    </row>
    <row r="124" spans="1:132" x14ac:dyDescent="0.25">
      <c r="A124" s="2" t="s">
        <v>912</v>
      </c>
      <c r="B124" s="30">
        <f>B107</f>
        <v>440</v>
      </c>
    </row>
    <row r="125" spans="1:132" x14ac:dyDescent="0.25">
      <c r="A125" s="2" t="s">
        <v>913</v>
      </c>
      <c r="B125" s="30">
        <f>B112+B113</f>
        <v>370</v>
      </c>
    </row>
    <row r="126" spans="1:132" x14ac:dyDescent="0.25">
      <c r="A126" s="2" t="s">
        <v>914</v>
      </c>
      <c r="B126" s="30">
        <f>B114+B115+B116</f>
        <v>52.1</v>
      </c>
    </row>
    <row r="128" spans="1:132" x14ac:dyDescent="0.25">
      <c r="A128" s="2" t="s">
        <v>915</v>
      </c>
      <c r="B128" s="199">
        <f>SUM(B122:B126)</f>
        <v>4551.7866666666669</v>
      </c>
    </row>
    <row r="129" spans="1:2" x14ac:dyDescent="0.25">
      <c r="A129" s="2" t="s">
        <v>916</v>
      </c>
      <c r="B129" s="30">
        <f>IF(Scénario!K129=1,Travail!F77+Travail!F86,F86)</f>
        <v>454</v>
      </c>
    </row>
    <row r="130" spans="1:2" x14ac:dyDescent="0.25">
      <c r="A130" s="2" t="s">
        <v>917</v>
      </c>
      <c r="B130" s="199">
        <f>ROUND((B128-B129)/(Scénario!K4+Scénario!K6),0)</f>
        <v>4098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18" zoomScale="90" zoomScaleNormal="90" workbookViewId="0">
      <selection activeCell="T245" sqref="T2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6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3" t="s">
        <v>918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04" t="s">
        <v>919</v>
      </c>
      <c r="R2" s="23" t="s">
        <v>920</v>
      </c>
      <c r="S2" s="23"/>
      <c r="T2" t="s">
        <v>921</v>
      </c>
    </row>
    <row r="3" spans="1:59" ht="18.75" x14ac:dyDescent="0.3">
      <c r="A3" s="205"/>
      <c r="B3" s="33" t="s">
        <v>922</v>
      </c>
      <c r="C3" s="33" t="s">
        <v>923</v>
      </c>
      <c r="D3" s="33" t="s">
        <v>924</v>
      </c>
      <c r="E3" s="170"/>
      <c r="F3" s="33" t="s">
        <v>925</v>
      </c>
      <c r="G3" s="33" t="s">
        <v>926</v>
      </c>
      <c r="H3" s="33" t="s">
        <v>927</v>
      </c>
      <c r="I3" s="171"/>
    </row>
    <row r="4" spans="1:59" x14ac:dyDescent="0.25">
      <c r="B4" s="170" t="str">
        <f>Troupeau!B3</f>
        <v>OL</v>
      </c>
      <c r="C4" s="170">
        <f>Troupeau!C3</f>
        <v>0</v>
      </c>
      <c r="D4" s="170">
        <f>Troupeau!D3</f>
        <v>0</v>
      </c>
      <c r="E4" s="170"/>
      <c r="F4" s="170" t="str">
        <f>+B4</f>
        <v>OL</v>
      </c>
      <c r="G4" s="170">
        <f t="shared" ref="G4:H4" si="0">+C4</f>
        <v>0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>
        <f>Troupeau!C3</f>
        <v>0</v>
      </c>
      <c r="M4" s="170">
        <f>Troupeau!D3</f>
        <v>0</v>
      </c>
      <c r="O4" s="207"/>
      <c r="R4" s="5"/>
      <c r="S4" s="5"/>
      <c r="T4" s="14" t="s">
        <v>928</v>
      </c>
      <c r="U4" s="14"/>
      <c r="V4" s="14"/>
      <c r="W4" s="14"/>
      <c r="AB4" s="2" t="s">
        <v>929</v>
      </c>
    </row>
    <row r="5" spans="1:59" x14ac:dyDescent="0.25">
      <c r="A5" t="s">
        <v>930</v>
      </c>
      <c r="B5" s="172">
        <f>T6-(T5/100*T6)</f>
        <v>50128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53336</v>
      </c>
      <c r="K5" s="172">
        <f>ROUND(B5*F5/1000,0)</f>
        <v>53336</v>
      </c>
      <c r="L5" s="172">
        <f t="shared" ref="L5:M6" si="1">ROUND(C5*G5/1000,0)</f>
        <v>0</v>
      </c>
      <c r="M5" s="172">
        <f t="shared" si="1"/>
        <v>0</v>
      </c>
      <c r="O5" s="208"/>
      <c r="R5" s="209"/>
      <c r="S5" s="209" t="s">
        <v>931</v>
      </c>
      <c r="T5" s="30">
        <f>Scénario!K16</f>
        <v>0</v>
      </c>
      <c r="U5" s="14"/>
      <c r="V5" s="14"/>
      <c r="X5" s="14" t="s">
        <v>932</v>
      </c>
      <c r="Y5" s="30">
        <f>IF(Scénario!K17=1,[1]Eco!$B$51,[1]Eco!$B$52)</f>
        <v>1064</v>
      </c>
      <c r="AB5" t="s">
        <v>933</v>
      </c>
      <c r="AC5" t="s">
        <v>17</v>
      </c>
      <c r="AD5" t="s">
        <v>279</v>
      </c>
      <c r="AF5" s="170" t="s">
        <v>934</v>
      </c>
      <c r="AG5" s="170" t="s">
        <v>935</v>
      </c>
      <c r="AH5" s="170" t="s">
        <v>936</v>
      </c>
      <c r="AI5" s="170" t="s">
        <v>937</v>
      </c>
      <c r="AJ5" s="170" t="s">
        <v>938</v>
      </c>
    </row>
    <row r="6" spans="1:59" x14ac:dyDescent="0.25">
      <c r="A6" t="s">
        <v>939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8"/>
      <c r="P6" s="5"/>
      <c r="R6" s="209"/>
      <c r="S6" s="209" t="s">
        <v>940</v>
      </c>
      <c r="T6" s="30">
        <f>Troupeau!B35</f>
        <v>50128</v>
      </c>
      <c r="U6" s="14"/>
      <c r="V6" s="14"/>
      <c r="X6" s="14" t="s">
        <v>941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8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942</v>
      </c>
      <c r="B9" s="172">
        <f>Troupeau!B43</f>
        <v>168</v>
      </c>
      <c r="C9" s="172">
        <f>Troupeau!C43</f>
        <v>0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8</v>
      </c>
      <c r="H9" s="187">
        <f>HLOOKUP(Troupeau!$L$17,[1]Anx!$A$122:$CO$164,'Calcul éco'!$O9)</f>
        <v>8</v>
      </c>
      <c r="I9" s="171"/>
      <c r="J9" s="172">
        <f>ROUND((B9*F9+C9*G9+D9*H9+E9*I9),0)</f>
        <v>6544</v>
      </c>
      <c r="K9" s="172">
        <f>ROUND(B9*F9,0)</f>
        <v>6544</v>
      </c>
      <c r="L9" s="172">
        <f t="shared" ref="L9:M16" si="5">ROUND(C9*G9,0)</f>
        <v>0</v>
      </c>
      <c r="M9" s="172">
        <f t="shared" si="5"/>
        <v>0</v>
      </c>
      <c r="O9" s="210">
        <v>8</v>
      </c>
      <c r="P9" s="5"/>
      <c r="S9" s="37" t="s">
        <v>943</v>
      </c>
      <c r="T9" s="36" t="s">
        <v>928</v>
      </c>
      <c r="U9" s="170" t="s">
        <v>944</v>
      </c>
      <c r="V9" s="36" t="s">
        <v>945</v>
      </c>
      <c r="W9" s="170" t="s">
        <v>946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947</v>
      </c>
      <c r="B10" s="172">
        <f>Troupeau!B39</f>
        <v>104</v>
      </c>
      <c r="C10" s="172">
        <f>Troupeau!C39</f>
        <v>0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13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4051</v>
      </c>
      <c r="K10" s="172">
        <f t="shared" ref="K10:K16" si="7">ROUND(B10*F10,0)</f>
        <v>4051</v>
      </c>
      <c r="L10" s="172">
        <f t="shared" si="5"/>
        <v>0</v>
      </c>
      <c r="M10" s="172">
        <f t="shared" si="5"/>
        <v>0</v>
      </c>
      <c r="O10" s="210">
        <v>13</v>
      </c>
      <c r="P10" s="5"/>
      <c r="Q10" s="5"/>
      <c r="R10" s="5"/>
      <c r="S10" s="32" t="s">
        <v>948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949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18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0">
        <v>18</v>
      </c>
      <c r="P11" s="5"/>
      <c r="Q11" s="5"/>
      <c r="R11" s="32"/>
      <c r="S11" s="32" t="s">
        <v>950</v>
      </c>
      <c r="T11" s="172">
        <f>Troupeau!B37</f>
        <v>51</v>
      </c>
      <c r="U11" s="172">
        <f>Troupeau!C37</f>
        <v>0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951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23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0">
        <v>23</v>
      </c>
      <c r="S12" s="32" t="s">
        <v>952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953</v>
      </c>
      <c r="B13" s="172">
        <f>T11-B14</f>
        <v>51</v>
      </c>
      <c r="C13" s="172">
        <f>U11-C14</f>
        <v>0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28</v>
      </c>
      <c r="H13" s="187">
        <f>HLOOKUP(Troupeau!$L$17,[1]Anx!$A$122:$CO$164,'Calcul éco'!$O13)</f>
        <v>28</v>
      </c>
      <c r="I13" s="171"/>
      <c r="J13" s="172">
        <f t="shared" si="6"/>
        <v>1352</v>
      </c>
      <c r="K13" s="172">
        <f t="shared" si="7"/>
        <v>1352</v>
      </c>
      <c r="L13" s="172">
        <f t="shared" si="5"/>
        <v>0</v>
      </c>
      <c r="M13" s="172">
        <f t="shared" si="5"/>
        <v>0</v>
      </c>
      <c r="N13"/>
      <c r="O13" s="210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954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33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0">
        <v>33</v>
      </c>
      <c r="Q14" s="23" t="s">
        <v>929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955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38</v>
      </c>
      <c r="H15" s="187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0">
        <v>38</v>
      </c>
      <c r="R15" s="5" t="s">
        <v>956</v>
      </c>
      <c r="S15" s="32" t="s">
        <v>957</v>
      </c>
      <c r="T15" s="5" t="s">
        <v>958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959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450</v>
      </c>
      <c r="G16" s="187">
        <f>HLOOKUP(Troupeau!$K$17,[1]Anx!$A$122:$CO$164,'Calcul éco'!$O16)</f>
        <v>43</v>
      </c>
      <c r="H16" s="187">
        <f>HLOOKUP(Troupeau!$L$17,[1]Anx!$A$122:$CO$164,'Calcul éco'!$O16)</f>
        <v>43</v>
      </c>
      <c r="I16" s="171"/>
      <c r="J16" s="172">
        <f t="shared" si="6"/>
        <v>1350</v>
      </c>
      <c r="K16" s="172">
        <f t="shared" si="7"/>
        <v>1350</v>
      </c>
      <c r="L16" s="172">
        <f t="shared" si="5"/>
        <v>0</v>
      </c>
      <c r="M16" s="172">
        <f t="shared" si="5"/>
        <v>0</v>
      </c>
      <c r="N16"/>
      <c r="O16" s="210">
        <v>43</v>
      </c>
      <c r="Q16" s="5" t="s">
        <v>934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960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956</v>
      </c>
      <c r="AE17" s="172" t="s">
        <v>961</v>
      </c>
      <c r="AF17" s="172" t="s">
        <v>962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963</v>
      </c>
      <c r="B18" s="170"/>
      <c r="C18" s="36" t="s">
        <v>964</v>
      </c>
      <c r="D18" s="33" t="s">
        <v>965</v>
      </c>
      <c r="E18" s="171"/>
      <c r="F18" s="36" t="s">
        <v>966</v>
      </c>
      <c r="G18" s="36" t="s">
        <v>967</v>
      </c>
      <c r="H18" s="171"/>
      <c r="I18" s="171"/>
      <c r="J18" s="5"/>
      <c r="K18" s="5"/>
      <c r="L18" s="5"/>
      <c r="M18" s="5"/>
      <c r="N18" s="5"/>
      <c r="P18" s="5"/>
      <c r="Q18" s="5" t="s">
        <v>968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934</v>
      </c>
      <c r="AC18" s="172">
        <f>SUM(AF6:AF15)</f>
        <v>0</v>
      </c>
      <c r="AD18" s="172">
        <f>'Alim -Surf'!K13</f>
        <v>-36.400000000000006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934</v>
      </c>
      <c r="B19" s="172"/>
      <c r="C19" s="172">
        <f>AE18</f>
        <v>0</v>
      </c>
      <c r="D19" s="172">
        <f>AF18</f>
        <v>0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969</v>
      </c>
      <c r="AC19" s="172">
        <f>SUM(AG6:AI15)</f>
        <v>0</v>
      </c>
      <c r="AD19" s="172">
        <f>'Alim -Surf'!K14</f>
        <v>-8.1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969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970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938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8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8"/>
      <c r="P22"/>
      <c r="U22"/>
      <c r="V22"/>
      <c r="W22"/>
      <c r="X22"/>
      <c r="Y22"/>
      <c r="Z22" t="s">
        <v>971</v>
      </c>
      <c r="AA22"/>
      <c r="AB22"/>
      <c r="AC22"/>
      <c r="AD22"/>
      <c r="AE22" t="s">
        <v>972</v>
      </c>
      <c r="AF22"/>
      <c r="AG22"/>
      <c r="AH22"/>
      <c r="AI22" t="s">
        <v>973</v>
      </c>
      <c r="AJ22"/>
      <c r="AK22"/>
      <c r="AM22"/>
      <c r="AN22" t="s">
        <v>974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8"/>
      <c r="Q23" s="18"/>
      <c r="R23" s="5"/>
      <c r="S23" s="5"/>
      <c r="T23" s="5"/>
      <c r="Z23" s="5" t="s">
        <v>975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8"/>
      <c r="Q24" s="18"/>
      <c r="R24" s="2" t="s">
        <v>976</v>
      </c>
      <c r="S24" s="18"/>
      <c r="T24" s="5" t="s">
        <v>977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8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8"/>
      <c r="P26" s="5"/>
      <c r="R26" t="s">
        <v>978</v>
      </c>
      <c r="X26" t="s">
        <v>979</v>
      </c>
      <c r="AA26" s="170" t="s">
        <v>980</v>
      </c>
      <c r="AB26" s="170" t="s">
        <v>981</v>
      </c>
      <c r="AC26" s="170" t="s">
        <v>730</v>
      </c>
      <c r="AD26" s="5"/>
      <c r="AE26" s="170" t="s">
        <v>980</v>
      </c>
      <c r="AF26" s="170" t="s">
        <v>982</v>
      </c>
      <c r="AG26" s="170" t="s">
        <v>730</v>
      </c>
      <c r="AI26" s="170" t="s">
        <v>980</v>
      </c>
      <c r="AJ26" s="170" t="s">
        <v>983</v>
      </c>
      <c r="AK26" s="170" t="s">
        <v>730</v>
      </c>
      <c r="AL26" s="171"/>
      <c r="AN26" s="170" t="s">
        <v>980</v>
      </c>
      <c r="AO26" s="170" t="s">
        <v>984</v>
      </c>
      <c r="AP26" s="170" t="s">
        <v>730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8"/>
      <c r="P27" s="5"/>
      <c r="R27" s="170" t="s">
        <v>928</v>
      </c>
      <c r="S27" s="170" t="s">
        <v>944</v>
      </c>
      <c r="T27" s="170" t="s">
        <v>945</v>
      </c>
      <c r="U27" s="170" t="s">
        <v>946</v>
      </c>
      <c r="V27" s="170" t="s">
        <v>13</v>
      </c>
      <c r="X27" s="15" t="s">
        <v>985</v>
      </c>
      <c r="Z27" s="211" t="s">
        <v>986</v>
      </c>
      <c r="AA27" s="187">
        <f>[1]Eco!$F$4</f>
        <v>166</v>
      </c>
      <c r="AB27" s="212">
        <f>IF(X28&gt;50,50,X28)</f>
        <v>0</v>
      </c>
      <c r="AC27" s="172">
        <f>AA27*AB27</f>
        <v>0</v>
      </c>
      <c r="AD27" s="5" t="s">
        <v>987</v>
      </c>
      <c r="AE27" s="187">
        <f>[1]Eco!$F$9</f>
        <v>24.3</v>
      </c>
      <c r="AF27" s="212">
        <f>IF(X30&gt;500,500,X30)</f>
        <v>268</v>
      </c>
      <c r="AG27" s="212">
        <f>AE27*AF27</f>
        <v>6512.4000000000005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988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8"/>
      <c r="Q28" s="14" t="s">
        <v>481</v>
      </c>
      <c r="R28" s="172">
        <f>IF(Troupeau!B$3="BV",Troupeau!B$17,0)</f>
        <v>0</v>
      </c>
      <c r="S28" s="172">
        <f>IF(Troupeau!C$3="BV",Troupeau!C$17,0)</f>
        <v>0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0</v>
      </c>
      <c r="W28" s="14" t="s">
        <v>481</v>
      </c>
      <c r="X28" s="172">
        <f>V28/$T$25</f>
        <v>0</v>
      </c>
      <c r="Z28" s="14" t="s">
        <v>989</v>
      </c>
      <c r="AA28" s="187">
        <f>[1]Eco!$F$5</f>
        <v>121</v>
      </c>
      <c r="AB28" s="212">
        <f>IF(X28&lt;51,0,IF(X28&gt;99,49,X28-50))</f>
        <v>0</v>
      </c>
      <c r="AC28" s="172">
        <f t="shared" ref="AC28:AC29" si="15">AA28*AB28</f>
        <v>0</v>
      </c>
      <c r="AD28" s="5" t="s">
        <v>990</v>
      </c>
      <c r="AE28" s="187">
        <f>[1]Eco!$F$10</f>
        <v>22.3</v>
      </c>
      <c r="AF28" s="212">
        <f>IF(X30&gt;500,X30-500,0)</f>
        <v>0</v>
      </c>
      <c r="AG28" s="212">
        <f>AE28*AF28</f>
        <v>0</v>
      </c>
      <c r="AJ28" s="40" t="s">
        <v>991</v>
      </c>
      <c r="AK28" s="62">
        <f>AK27*T25</f>
        <v>0</v>
      </c>
      <c r="AL28" s="36"/>
      <c r="AM28" s="14" t="s">
        <v>992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993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8"/>
      <c r="Q29" s="14" t="s">
        <v>510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510</v>
      </c>
      <c r="X29" s="172">
        <f>V29/$T$25</f>
        <v>0</v>
      </c>
      <c r="Z29" s="14" t="s">
        <v>994</v>
      </c>
      <c r="AA29" s="187">
        <f>[1]Eco!$F$6</f>
        <v>62</v>
      </c>
      <c r="AB29" s="212">
        <f>IF(X28&gt;139,40,IF(X28&gt;99,X28-99,0))</f>
        <v>0</v>
      </c>
      <c r="AC29" s="172">
        <f t="shared" si="15"/>
        <v>0</v>
      </c>
      <c r="AF29" s="40" t="s">
        <v>991</v>
      </c>
      <c r="AG29" s="62">
        <f>SUM(AG27:AG28)*T25</f>
        <v>6512.4000000000005</v>
      </c>
      <c r="AO29" s="40" t="s">
        <v>991</v>
      </c>
      <c r="AP29" s="62">
        <f>IF(Scénario!K10=1,'Calcul éco'!AP27,'Calcul éco'!AP28)*T25</f>
        <v>0</v>
      </c>
    </row>
    <row r="30" spans="1:143" x14ac:dyDescent="0.25">
      <c r="A30" s="15" t="s">
        <v>995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8"/>
      <c r="Q30" s="14" t="s">
        <v>480</v>
      </c>
      <c r="R30" s="172">
        <f>IF(Troupeau!B$3="OL",Troupeau!B$17,0)</f>
        <v>268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268</v>
      </c>
      <c r="W30" s="14" t="s">
        <v>996</v>
      </c>
      <c r="X30" s="172">
        <f>(V30+V31)/$T$25</f>
        <v>268</v>
      </c>
      <c r="AB30" s="40" t="s">
        <v>991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6"/>
      <c r="P31"/>
      <c r="Q31" s="14" t="s">
        <v>997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84"/>
      <c r="AF31" s="284"/>
      <c r="AG31" s="285" t="s">
        <v>1455</v>
      </c>
      <c r="AH31" s="285"/>
      <c r="AI31" s="285"/>
      <c r="AJ31" s="285" t="s">
        <v>1456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998</v>
      </c>
      <c r="Q32" s="14" t="s">
        <v>999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999</v>
      </c>
      <c r="X32" s="172">
        <f>V32/T25</f>
        <v>0</v>
      </c>
      <c r="AE32" s="284"/>
      <c r="AF32" s="284"/>
      <c r="AG32" s="284" t="s">
        <v>1457</v>
      </c>
      <c r="AH32" s="284" t="s">
        <v>1458</v>
      </c>
      <c r="AI32" s="284" t="s">
        <v>170</v>
      </c>
      <c r="AJ32" s="284" t="s">
        <v>1459</v>
      </c>
    </row>
    <row r="33" spans="1:143" x14ac:dyDescent="0.25">
      <c r="A33" s="2" t="s">
        <v>1000</v>
      </c>
      <c r="Q33" s="170"/>
      <c r="R33" s="170"/>
      <c r="S33" s="170"/>
      <c r="T33" s="170"/>
      <c r="U33" s="170"/>
      <c r="X33" s="171"/>
      <c r="AE33" s="284"/>
      <c r="AF33" s="284" t="s">
        <v>481</v>
      </c>
      <c r="AG33" s="284">
        <f>V28</f>
        <v>0</v>
      </c>
      <c r="AH33" s="284">
        <f>ROUND(AG33*0.24,0)</f>
        <v>0</v>
      </c>
      <c r="AI33" s="284">
        <f>AG33+AH33*1.5*0.6</f>
        <v>0</v>
      </c>
      <c r="AJ33" s="284"/>
    </row>
    <row r="34" spans="1:143" x14ac:dyDescent="0.25">
      <c r="A34" t="s">
        <v>1001</v>
      </c>
      <c r="J34" s="172">
        <f>AC30</f>
        <v>0</v>
      </c>
      <c r="K34" s="172"/>
      <c r="L34" s="172"/>
      <c r="M34" s="172"/>
      <c r="N34" s="172"/>
      <c r="O34" s="208"/>
      <c r="Q34" s="202" t="s">
        <v>1002</v>
      </c>
      <c r="R34" s="172">
        <f>AB228</f>
        <v>0</v>
      </c>
      <c r="S34" s="170"/>
      <c r="T34" s="152"/>
      <c r="U34" s="170"/>
      <c r="X34" s="171"/>
      <c r="AB34" s="14"/>
      <c r="AE34" s="284"/>
      <c r="AF34" s="284" t="s">
        <v>510</v>
      </c>
      <c r="AG34" s="284">
        <f t="shared" ref="AG34:AG35" si="18">V29</f>
        <v>0</v>
      </c>
      <c r="AH34" s="284">
        <f>ROUND(AG34*0.3,0)</f>
        <v>0</v>
      </c>
      <c r="AI34" s="284">
        <f t="shared" ref="AI34" si="19">AG34+AH34*1.5*0.6</f>
        <v>0</v>
      </c>
      <c r="AJ34" s="284"/>
    </row>
    <row r="35" spans="1:143" x14ac:dyDescent="0.25">
      <c r="A35" t="s">
        <v>1003</v>
      </c>
      <c r="J35" s="172">
        <f>AP29</f>
        <v>0</v>
      </c>
      <c r="K35" s="172"/>
      <c r="L35" s="172"/>
      <c r="M35" s="172"/>
      <c r="N35" s="172"/>
      <c r="O35" s="208"/>
      <c r="X35" s="2" t="s">
        <v>1004</v>
      </c>
      <c r="Y35" s="14" t="s">
        <v>1005</v>
      </c>
      <c r="Z35" s="62" t="str">
        <f>Scénario!K9</f>
        <v>M2</v>
      </c>
      <c r="AE35" s="284"/>
      <c r="AF35" s="284" t="s">
        <v>480</v>
      </c>
      <c r="AG35" s="284">
        <f t="shared" si="18"/>
        <v>268</v>
      </c>
      <c r="AH35" s="284"/>
      <c r="AI35" s="284">
        <f>AG35*0.15</f>
        <v>40.199999999999996</v>
      </c>
      <c r="AJ35" s="284"/>
    </row>
    <row r="36" spans="1:143" x14ac:dyDescent="0.25">
      <c r="A36" t="s">
        <v>1006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1007</v>
      </c>
      <c r="Z36" s="62" t="str">
        <f>IF(Y53&gt;50,CONCATENATE(Z35,"O"),Z35)</f>
        <v>M2O</v>
      </c>
      <c r="AA36" s="5"/>
      <c r="AB36" s="14" t="s">
        <v>1008</v>
      </c>
      <c r="AC36" s="187">
        <f>VLOOKUP(Z36,[1]Eco!$A$36:$B$45,2)</f>
        <v>245</v>
      </c>
      <c r="AD36" s="5"/>
      <c r="AE36" s="284"/>
      <c r="AF36" s="286" t="s">
        <v>1047</v>
      </c>
      <c r="AG36" s="284"/>
      <c r="AH36" s="284"/>
      <c r="AI36" s="284">
        <f>SUM(AI33:AI35)</f>
        <v>40.199999999999996</v>
      </c>
      <c r="AJ36" s="286">
        <f>ROUND(AI36/V46,2)</f>
        <v>1.6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1009</v>
      </c>
      <c r="J37" s="172">
        <f>AG29</f>
        <v>6512.4000000000005</v>
      </c>
      <c r="K37" s="172"/>
      <c r="L37" s="172"/>
      <c r="M37" s="172"/>
      <c r="N37" s="172"/>
      <c r="O37" s="208"/>
      <c r="S37" s="40" t="s">
        <v>1010</v>
      </c>
      <c r="T37" t="s">
        <v>1011</v>
      </c>
      <c r="U37" t="s">
        <v>1012</v>
      </c>
      <c r="V37" t="s">
        <v>1013</v>
      </c>
      <c r="X37" s="171"/>
      <c r="AB37" s="170" t="s">
        <v>1014</v>
      </c>
      <c r="AC37" s="170" t="s">
        <v>980</v>
      </c>
      <c r="AD37" s="170" t="s">
        <v>730</v>
      </c>
      <c r="AE37" s="287" t="s">
        <v>1460</v>
      </c>
      <c r="AF37" s="284"/>
      <c r="AG37" s="284"/>
      <c r="AH37" s="284"/>
      <c r="AI37" s="284"/>
      <c r="AJ37" s="285" t="s">
        <v>1461</v>
      </c>
    </row>
    <row r="38" spans="1:143" x14ac:dyDescent="0.25">
      <c r="A38" t="s">
        <v>1015</v>
      </c>
      <c r="J38" s="172">
        <f>AK28</f>
        <v>0</v>
      </c>
      <c r="K38" s="172"/>
      <c r="L38" s="172"/>
      <c r="M38" s="172"/>
      <c r="N38" s="172"/>
      <c r="O38" s="208"/>
      <c r="S38" s="14" t="s">
        <v>1016</v>
      </c>
      <c r="T38" s="172">
        <f>SUM('Alim -Surf'!E34:E43)-'Alim -Surf'!E34</f>
        <v>0</v>
      </c>
      <c r="U38" s="172">
        <v>1</v>
      </c>
      <c r="V38" s="172">
        <f>T38*U38</f>
        <v>0</v>
      </c>
      <c r="Y38" s="14" t="s">
        <v>1017</v>
      </c>
      <c r="Z38" s="30">
        <f>V46</f>
        <v>25.12</v>
      </c>
      <c r="AA38" s="14" t="s">
        <v>1018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86">
        <f>IF($AJ$40=0,AB38*$AC$40,AD38*$AJ$40/100)</f>
        <v>7875</v>
      </c>
      <c r="AF38" s="284"/>
      <c r="AG38" s="284"/>
      <c r="AH38" s="284"/>
      <c r="AI38" s="288" t="s">
        <v>1462</v>
      </c>
      <c r="AJ38" s="286">
        <f>VLOOKUP(Z35,[1]Eco!$I$37:$K$41,2)</f>
        <v>1.7</v>
      </c>
    </row>
    <row r="39" spans="1:143" x14ac:dyDescent="0.25">
      <c r="A39" t="s">
        <v>1019</v>
      </c>
      <c r="B39" s="30">
        <f>R34</f>
        <v>0</v>
      </c>
      <c r="C39" s="213">
        <f>[1]Eco!$B$17</f>
        <v>141</v>
      </c>
      <c r="J39" s="172">
        <f>B39*C39</f>
        <v>0</v>
      </c>
      <c r="K39" s="172"/>
      <c r="L39" s="172"/>
      <c r="M39" s="172"/>
      <c r="N39" s="172"/>
      <c r="O39" s="208"/>
      <c r="S39" s="14" t="s">
        <v>269</v>
      </c>
      <c r="T39" s="172">
        <f>'Alim -Surf'!O7</f>
        <v>17.850000000000001</v>
      </c>
      <c r="U39" s="172">
        <f>[1]Eco!$B$20/100</f>
        <v>1</v>
      </c>
      <c r="V39" s="172">
        <f t="shared" ref="V39:V41" si="20">T39*U39</f>
        <v>17.850000000000001</v>
      </c>
      <c r="Y39" s="14" t="s">
        <v>1020</v>
      </c>
      <c r="Z39" s="30">
        <f>Z38/T25</f>
        <v>25.12</v>
      </c>
      <c r="AA39" s="14" t="s">
        <v>1021</v>
      </c>
      <c r="AB39" s="172">
        <f>IF(Z39&gt;50,25,IF(Z39&gt;25,Z39-25,0))</f>
        <v>0.12000000000000099</v>
      </c>
      <c r="AC39" s="172">
        <f>AC40+0.66*AC36</f>
        <v>231.70000000000002</v>
      </c>
      <c r="AD39" s="172">
        <f t="shared" ref="AD39:AD40" si="21">AB39*AC39</f>
        <v>27.804000000000233</v>
      </c>
      <c r="AE39" s="286">
        <f>IF($AJ$40=0,AB39*$AC$40,AD39*$AJ$40/100)</f>
        <v>27.804000000000233</v>
      </c>
      <c r="AF39" s="284"/>
      <c r="AG39" s="284"/>
      <c r="AH39" s="284"/>
      <c r="AI39" s="288" t="s">
        <v>1463</v>
      </c>
      <c r="AJ39" s="286">
        <f>VLOOKUP(Z36,[1]Eco!$I$37:$K$41,3)</f>
        <v>2.5</v>
      </c>
    </row>
    <row r="40" spans="1:143" x14ac:dyDescent="0.25">
      <c r="A40" t="s">
        <v>567</v>
      </c>
      <c r="B40" s="30">
        <f>Scénario!K38</f>
        <v>0</v>
      </c>
      <c r="C40" s="213">
        <f>[1]Eco!$B$18</f>
        <v>35</v>
      </c>
      <c r="J40" s="172">
        <f>B40*C40</f>
        <v>0</v>
      </c>
      <c r="K40" s="172"/>
      <c r="L40" s="172"/>
      <c r="M40" s="172"/>
      <c r="N40" s="172"/>
      <c r="O40" s="208"/>
      <c r="S40" s="14" t="s">
        <v>270</v>
      </c>
      <c r="T40" s="172">
        <f>'Alim -Surf'!O29</f>
        <v>1.27</v>
      </c>
      <c r="U40" s="172">
        <f>[1]Eco!$B$21/100</f>
        <v>1</v>
      </c>
      <c r="V40" s="172">
        <f t="shared" si="20"/>
        <v>1.27</v>
      </c>
      <c r="AA40" s="14" t="s">
        <v>1022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86">
        <f>IF($AJ$40=0,AB40*$AC$40,AD40*$AJ$40/100)</f>
        <v>0</v>
      </c>
      <c r="AF40" s="284"/>
      <c r="AG40" s="284"/>
      <c r="AH40" s="284"/>
      <c r="AI40" s="288" t="s">
        <v>1464</v>
      </c>
      <c r="AJ40" s="286">
        <f>IF(AJ36&lt;=AJ38,100,IF(AJ36&lt;=AJ39,90,0))</f>
        <v>100</v>
      </c>
    </row>
    <row r="41" spans="1:143" x14ac:dyDescent="0.25">
      <c r="A41" s="23" t="s">
        <v>1023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8"/>
      <c r="S41" s="14" t="s">
        <v>271</v>
      </c>
      <c r="T41" s="172">
        <f>'Alim -Surf'!O51</f>
        <v>10</v>
      </c>
      <c r="U41" s="172">
        <f>[1]Eco!$B$22/100</f>
        <v>0.6</v>
      </c>
      <c r="V41" s="172">
        <f t="shared" si="20"/>
        <v>6</v>
      </c>
      <c r="AC41" s="40" t="s">
        <v>991</v>
      </c>
      <c r="AD41" s="62">
        <f>SUM(AD38:AD40)*T25</f>
        <v>7902.8040000000001</v>
      </c>
      <c r="AE41" s="289">
        <f>ROUND(SUM(AE38:AE40)*T25,0)</f>
        <v>7903</v>
      </c>
      <c r="AF41" s="284"/>
      <c r="AG41" s="284"/>
      <c r="AH41" s="284"/>
      <c r="AI41" s="284"/>
      <c r="AJ41" s="284"/>
    </row>
    <row r="42" spans="1:143" x14ac:dyDescent="0.25">
      <c r="A42" t="s">
        <v>1024</v>
      </c>
      <c r="B42" s="30">
        <f>V46</f>
        <v>25.12</v>
      </c>
      <c r="C42" s="213">
        <f>[1]Eco!$B$24</f>
        <v>97</v>
      </c>
      <c r="J42" s="172">
        <f>B42*C42</f>
        <v>2436.64</v>
      </c>
      <c r="K42" s="172"/>
      <c r="L42" s="172"/>
      <c r="M42" s="172"/>
      <c r="N42" s="172"/>
      <c r="O42" s="208"/>
      <c r="R42" s="214"/>
      <c r="S42" s="209" t="s">
        <v>1025</v>
      </c>
      <c r="T42" s="172">
        <f>AA228</f>
        <v>0</v>
      </c>
      <c r="X42" s="215"/>
      <c r="Y42" s="215"/>
      <c r="Z42" s="215"/>
      <c r="AA42" s="215"/>
      <c r="AB42" s="215"/>
      <c r="AC42" s="215"/>
      <c r="AD42" s="215"/>
      <c r="AE42" s="215"/>
      <c r="AF42" s="215" t="s">
        <v>1026</v>
      </c>
      <c r="AG42" s="215" t="s">
        <v>1027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6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</row>
    <row r="43" spans="1:143" x14ac:dyDescent="0.25">
      <c r="A43" s="5" t="s">
        <v>1028</v>
      </c>
      <c r="B43" s="30">
        <f>IF(Z39&gt;52,52,Z39)*T25</f>
        <v>25.12</v>
      </c>
      <c r="C43" s="213">
        <f>[1]Eco!$B$31</f>
        <v>49</v>
      </c>
      <c r="D43" s="5"/>
      <c r="E43" s="5"/>
      <c r="F43" s="5"/>
      <c r="G43" s="5"/>
      <c r="H43" s="5"/>
      <c r="I43" s="5"/>
      <c r="J43" s="172">
        <f>B43*C43</f>
        <v>1230.8800000000001</v>
      </c>
      <c r="K43" s="172"/>
      <c r="L43" s="172"/>
      <c r="M43" s="172"/>
      <c r="N43" s="172"/>
      <c r="O43" s="208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6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</row>
    <row r="44" spans="1:143" x14ac:dyDescent="0.25">
      <c r="A44" s="5" t="s">
        <v>1029</v>
      </c>
      <c r="B44" s="30">
        <f>B42</f>
        <v>25.12</v>
      </c>
      <c r="C44" s="213">
        <f>[1]Eco!$B$29</f>
        <v>67</v>
      </c>
      <c r="D44" s="5"/>
      <c r="E44" s="5"/>
      <c r="F44" s="5"/>
      <c r="G44" s="283">
        <f>(J48-J45)*0.13</f>
        <v>11155.346799999999</v>
      </c>
      <c r="H44" s="5"/>
      <c r="I44" s="5"/>
      <c r="J44" s="172">
        <f>B44*C44</f>
        <v>1683.04</v>
      </c>
      <c r="K44" s="172"/>
      <c r="L44" s="172"/>
      <c r="M44" s="172"/>
      <c r="N44" s="172"/>
      <c r="O44" s="208"/>
      <c r="U44" s="40" t="s">
        <v>1030</v>
      </c>
      <c r="V44" s="62">
        <f>SUM(V38:V41)-T42</f>
        <v>25.12</v>
      </c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6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</row>
    <row r="45" spans="1:143" x14ac:dyDescent="0.25">
      <c r="A45" s="2" t="s">
        <v>1031</v>
      </c>
      <c r="G45">
        <f>G44*0.3</f>
        <v>3346.6040399999997</v>
      </c>
      <c r="J45" s="172">
        <f>IF(Scénario!K9=0,0,AD41)</f>
        <v>7902.8040000000001</v>
      </c>
      <c r="K45" s="172"/>
      <c r="L45" s="172"/>
      <c r="M45" s="172"/>
      <c r="N45" s="172"/>
      <c r="O45" s="208"/>
      <c r="U45" s="14" t="s">
        <v>1032</v>
      </c>
      <c r="V45" s="172">
        <f>S55</f>
        <v>0</v>
      </c>
      <c r="X45" s="215" t="s">
        <v>1033</v>
      </c>
      <c r="Y45" s="215"/>
      <c r="Z45" s="215"/>
      <c r="AA45" s="215"/>
      <c r="AB45" s="215"/>
      <c r="AC45" s="215"/>
      <c r="AD45" s="215"/>
      <c r="AE45" s="215"/>
      <c r="AF45" s="217" t="s">
        <v>577</v>
      </c>
      <c r="AG45" s="215"/>
      <c r="AH45" s="215" t="s">
        <v>1034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7" t="s">
        <v>591</v>
      </c>
      <c r="BH45" s="215"/>
      <c r="BI45" s="215" t="s">
        <v>1034</v>
      </c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7" t="s">
        <v>598</v>
      </c>
      <c r="CJ45" s="217"/>
      <c r="CK45" s="217" t="s">
        <v>1034</v>
      </c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7" t="s">
        <v>1035</v>
      </c>
      <c r="DL45" s="217"/>
      <c r="DM45" s="217" t="s">
        <v>1034</v>
      </c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</row>
    <row r="46" spans="1:143" s="221" customFormat="1" x14ac:dyDescent="0.25">
      <c r="A46" s="2" t="s">
        <v>1036</v>
      </c>
      <c r="B46"/>
      <c r="C46"/>
      <c r="D46"/>
      <c r="E46"/>
      <c r="F46"/>
      <c r="G46"/>
      <c r="H46"/>
      <c r="I46"/>
      <c r="J46" s="172">
        <f>V263</f>
        <v>7234.4000000000005</v>
      </c>
      <c r="K46" s="172"/>
      <c r="L46" s="172"/>
      <c r="M46" s="172"/>
      <c r="N46" s="172"/>
      <c r="O46" s="218"/>
      <c r="P46"/>
      <c r="Q46"/>
      <c r="R46"/>
      <c r="S46"/>
      <c r="T46"/>
      <c r="U46" s="40" t="s">
        <v>1037</v>
      </c>
      <c r="V46" s="62">
        <f>V44+V45</f>
        <v>25.12</v>
      </c>
      <c r="W46"/>
      <c r="X46" s="215"/>
      <c r="Y46" s="219" t="s">
        <v>928</v>
      </c>
      <c r="Z46" s="219" t="s">
        <v>944</v>
      </c>
      <c r="AA46" s="219" t="s">
        <v>945</v>
      </c>
      <c r="AB46" s="219" t="s">
        <v>946</v>
      </c>
      <c r="AC46" s="219" t="s">
        <v>13</v>
      </c>
      <c r="AD46" s="215"/>
      <c r="AE46" s="215"/>
      <c r="AF46" s="215"/>
      <c r="AG46" s="215"/>
      <c r="AH46" s="220">
        <v>1</v>
      </c>
      <c r="AI46" s="220">
        <v>2</v>
      </c>
      <c r="AJ46" s="220">
        <v>3</v>
      </c>
      <c r="AK46" s="220">
        <v>4</v>
      </c>
      <c r="AL46" s="220">
        <v>5</v>
      </c>
      <c r="AM46" s="220">
        <v>6</v>
      </c>
      <c r="AN46" s="220">
        <v>7</v>
      </c>
      <c r="AO46" s="220">
        <v>8</v>
      </c>
      <c r="AP46" s="220">
        <v>9</v>
      </c>
      <c r="AQ46" s="220">
        <v>10</v>
      </c>
      <c r="AR46" s="220">
        <v>11</v>
      </c>
      <c r="AS46" s="220">
        <v>12</v>
      </c>
      <c r="AT46" s="220">
        <v>13</v>
      </c>
      <c r="AU46" s="220">
        <v>14</v>
      </c>
      <c r="AV46" s="220">
        <v>15</v>
      </c>
      <c r="AW46" s="220">
        <v>16</v>
      </c>
      <c r="AX46" s="220">
        <v>17</v>
      </c>
      <c r="AY46" s="220">
        <v>18</v>
      </c>
      <c r="AZ46" s="220">
        <v>19</v>
      </c>
      <c r="BA46" s="220">
        <v>20</v>
      </c>
      <c r="BB46" s="220">
        <v>21</v>
      </c>
      <c r="BC46" s="220">
        <v>22</v>
      </c>
      <c r="BD46" s="220">
        <v>23</v>
      </c>
      <c r="BE46" s="220">
        <v>24</v>
      </c>
      <c r="BF46" s="215"/>
      <c r="BG46" s="216"/>
      <c r="BH46" s="215"/>
      <c r="BI46" s="219">
        <v>1</v>
      </c>
      <c r="BJ46" s="219">
        <v>2</v>
      </c>
      <c r="BK46" s="219">
        <v>3</v>
      </c>
      <c r="BL46" s="219">
        <v>4</v>
      </c>
      <c r="BM46" s="219">
        <v>5</v>
      </c>
      <c r="BN46" s="219">
        <v>6</v>
      </c>
      <c r="BO46" s="219">
        <v>7</v>
      </c>
      <c r="BP46" s="219">
        <v>8</v>
      </c>
      <c r="BQ46" s="219">
        <v>9</v>
      </c>
      <c r="BR46" s="219">
        <v>10</v>
      </c>
      <c r="BS46" s="219">
        <v>11</v>
      </c>
      <c r="BT46" s="219">
        <v>12</v>
      </c>
      <c r="BU46" s="219">
        <v>13</v>
      </c>
      <c r="BV46" s="219">
        <v>14</v>
      </c>
      <c r="BW46" s="219">
        <v>15</v>
      </c>
      <c r="BX46" s="219">
        <v>16</v>
      </c>
      <c r="BY46" s="219">
        <v>17</v>
      </c>
      <c r="BZ46" s="219">
        <v>18</v>
      </c>
      <c r="CA46" s="219">
        <v>19</v>
      </c>
      <c r="CB46" s="219">
        <v>20</v>
      </c>
      <c r="CC46" s="219">
        <v>21</v>
      </c>
      <c r="CD46" s="219">
        <v>22</v>
      </c>
      <c r="CE46" s="219">
        <v>23</v>
      </c>
      <c r="CF46" s="219">
        <v>24</v>
      </c>
      <c r="CG46" s="215"/>
      <c r="CH46" s="215"/>
      <c r="CI46" s="216"/>
      <c r="CJ46" s="215"/>
      <c r="CK46" s="219">
        <v>1</v>
      </c>
      <c r="CL46" s="219">
        <v>2</v>
      </c>
      <c r="CM46" s="219">
        <v>3</v>
      </c>
      <c r="CN46" s="219">
        <v>4</v>
      </c>
      <c r="CO46" s="219">
        <v>5</v>
      </c>
      <c r="CP46" s="219">
        <v>6</v>
      </c>
      <c r="CQ46" s="219">
        <v>7</v>
      </c>
      <c r="CR46" s="219">
        <v>8</v>
      </c>
      <c r="CS46" s="219">
        <v>9</v>
      </c>
      <c r="CT46" s="219">
        <v>10</v>
      </c>
      <c r="CU46" s="219">
        <v>11</v>
      </c>
      <c r="CV46" s="219">
        <v>12</v>
      </c>
      <c r="CW46" s="219">
        <v>13</v>
      </c>
      <c r="CX46" s="219">
        <v>14</v>
      </c>
      <c r="CY46" s="219">
        <v>15</v>
      </c>
      <c r="CZ46" s="219">
        <v>16</v>
      </c>
      <c r="DA46" s="219">
        <v>17</v>
      </c>
      <c r="DB46" s="219">
        <v>18</v>
      </c>
      <c r="DC46" s="219">
        <v>19</v>
      </c>
      <c r="DD46" s="219">
        <v>20</v>
      </c>
      <c r="DE46" s="219">
        <v>21</v>
      </c>
      <c r="DF46" s="219">
        <v>22</v>
      </c>
      <c r="DG46" s="219">
        <v>23</v>
      </c>
      <c r="DH46" s="219">
        <v>24</v>
      </c>
      <c r="DI46" s="219"/>
      <c r="DJ46" s="215"/>
      <c r="DK46" s="216"/>
      <c r="DL46" s="215"/>
      <c r="DM46" s="219">
        <v>1</v>
      </c>
      <c r="DN46" s="219">
        <v>2</v>
      </c>
      <c r="DO46" s="219">
        <v>3</v>
      </c>
      <c r="DP46" s="219">
        <v>4</v>
      </c>
      <c r="DQ46" s="219">
        <v>5</v>
      </c>
      <c r="DR46" s="219">
        <v>6</v>
      </c>
      <c r="DS46" s="219">
        <v>7</v>
      </c>
      <c r="DT46" s="219">
        <v>8</v>
      </c>
      <c r="DU46" s="219">
        <v>9</v>
      </c>
      <c r="DV46" s="219">
        <v>10</v>
      </c>
      <c r="DW46" s="219">
        <v>11</v>
      </c>
      <c r="DX46" s="219">
        <v>12</v>
      </c>
      <c r="DY46" s="219">
        <v>13</v>
      </c>
      <c r="DZ46" s="219">
        <v>14</v>
      </c>
      <c r="EA46" s="219">
        <v>15</v>
      </c>
      <c r="EB46" s="219">
        <v>16</v>
      </c>
      <c r="EC46" s="219">
        <v>17</v>
      </c>
      <c r="ED46" s="219">
        <v>18</v>
      </c>
      <c r="EE46" s="219">
        <v>19</v>
      </c>
      <c r="EF46" s="219">
        <v>20</v>
      </c>
      <c r="EG46" s="219">
        <v>21</v>
      </c>
      <c r="EH46" s="219">
        <v>22</v>
      </c>
      <c r="EI46" s="219">
        <v>23</v>
      </c>
      <c r="EJ46" s="219">
        <v>24</v>
      </c>
      <c r="EK46" s="170"/>
      <c r="EL46" s="170"/>
      <c r="EM46" s="170"/>
    </row>
    <row r="47" spans="1:143" x14ac:dyDescent="0.25">
      <c r="X47" s="216" t="s">
        <v>481</v>
      </c>
      <c r="Y47" s="219">
        <f>IF(Troupeau!B$3="BV",Troupeau!B$49,0)</f>
        <v>0</v>
      </c>
      <c r="Z47" s="219">
        <f>IF(Troupeau!C$3="BV",Troupeau!C$49,0)</f>
        <v>0</v>
      </c>
      <c r="AA47" s="219">
        <f>IF(Troupeau!D$3="BV",Troupeau!D$49,0)</f>
        <v>0</v>
      </c>
      <c r="AB47" s="219">
        <f>IF(Troupeau!E$3="BV",Troupeau!E$49,0)</f>
        <v>0</v>
      </c>
      <c r="AC47" s="219">
        <f>SUM(Y47:AB47)</f>
        <v>0</v>
      </c>
      <c r="AD47" s="215"/>
      <c r="AE47" s="215"/>
      <c r="AF47" s="222" t="s">
        <v>1038</v>
      </c>
      <c r="AG47" s="215" t="str">
        <f>CdTrp1!A39</f>
        <v>Lot principal de brebis traites</v>
      </c>
      <c r="AH47" s="219">
        <f>CdTrp1!B39</f>
        <v>28.85466666666667</v>
      </c>
      <c r="AI47" s="219">
        <f>CdTrp1!C39</f>
        <v>29.390666666666672</v>
      </c>
      <c r="AJ47" s="219">
        <f>CdTrp1!D39</f>
        <v>29.926666666666669</v>
      </c>
      <c r="AK47" s="219">
        <f>CdTrp1!E39</f>
        <v>28.050666666666668</v>
      </c>
      <c r="AL47" s="219">
        <f>CdTrp1!F39</f>
        <v>28.58666666666667</v>
      </c>
      <c r="AM47" s="219">
        <f>CdTrp1!G39</f>
        <v>29.212</v>
      </c>
      <c r="AN47" s="219">
        <f>CdTrp1!H39</f>
        <v>29.837333333333333</v>
      </c>
      <c r="AO47" s="219">
        <f>CdTrp1!I39</f>
        <v>30.552000000000003</v>
      </c>
      <c r="AP47" s="219">
        <f>CdTrp1!J39</f>
        <v>31.088000000000001</v>
      </c>
      <c r="AQ47" s="219">
        <f>CdTrp1!K39</f>
        <v>31.266666666666669</v>
      </c>
      <c r="AR47" s="219">
        <f>CdTrp1!L39</f>
        <v>31.445333333333338</v>
      </c>
      <c r="AS47" s="219">
        <f>CdTrp1!M39</f>
        <v>31.445333333333338</v>
      </c>
      <c r="AT47" s="219">
        <f>CdTrp1!N39</f>
        <v>31.445333333333338</v>
      </c>
      <c r="AU47" s="219">
        <f>CdTrp1!O39</f>
        <v>31.445333333333338</v>
      </c>
      <c r="AV47" s="219">
        <f>CdTrp1!P39</f>
        <v>31.445333333333338</v>
      </c>
      <c r="AW47" s="219">
        <f>CdTrp1!Q39</f>
        <v>31.445333333333338</v>
      </c>
      <c r="AX47" s="219">
        <f>CdTrp1!R39</f>
        <v>31.445333333333338</v>
      </c>
      <c r="AY47" s="219">
        <f>CdTrp1!S39</f>
        <v>29.122666666666671</v>
      </c>
      <c r="AZ47" s="219">
        <f>CdTrp1!T39</f>
        <v>29.122666666666671</v>
      </c>
      <c r="BA47" s="219">
        <f>CdTrp1!U39</f>
        <v>29.122666666666671</v>
      </c>
      <c r="BB47" s="219">
        <f>CdTrp1!V39</f>
        <v>35.644000000000005</v>
      </c>
      <c r="BC47" s="219">
        <f>CdTrp1!W39</f>
        <v>35.644000000000005</v>
      </c>
      <c r="BD47" s="219">
        <f>CdTrp1!X39</f>
        <v>28.85466666666667</v>
      </c>
      <c r="BE47" s="219">
        <f>CdTrp1!Y39</f>
        <v>28.85466666666667</v>
      </c>
      <c r="BF47" s="215"/>
      <c r="BG47" s="216" t="s">
        <v>1038</v>
      </c>
      <c r="BH47" s="215" t="str">
        <f>CdTrp2!A39</f>
        <v>lot1</v>
      </c>
      <c r="BI47" s="215">
        <f>CdTrp2!B39</f>
        <v>0</v>
      </c>
      <c r="BJ47" s="215">
        <f>CdTrp2!C39</f>
        <v>0</v>
      </c>
      <c r="BK47" s="215">
        <f>CdTrp2!D39</f>
        <v>0</v>
      </c>
      <c r="BL47" s="215">
        <f>CdTrp2!E39</f>
        <v>0</v>
      </c>
      <c r="BM47" s="215">
        <f>CdTrp2!F39</f>
        <v>0</v>
      </c>
      <c r="BN47" s="215">
        <f>CdTrp2!G39</f>
        <v>0</v>
      </c>
      <c r="BO47" s="215">
        <f>CdTrp2!H39</f>
        <v>0</v>
      </c>
      <c r="BP47" s="215">
        <f>CdTrp2!I39</f>
        <v>0</v>
      </c>
      <c r="BQ47" s="215">
        <f>CdTrp2!J39</f>
        <v>0</v>
      </c>
      <c r="BR47" s="215">
        <f>CdTrp2!K39</f>
        <v>0</v>
      </c>
      <c r="BS47" s="215">
        <f>CdTrp2!L39</f>
        <v>0</v>
      </c>
      <c r="BT47" s="215">
        <f>CdTrp2!M39</f>
        <v>0</v>
      </c>
      <c r="BU47" s="215">
        <f>CdTrp2!N39</f>
        <v>0</v>
      </c>
      <c r="BV47" s="215">
        <f>CdTrp2!O39</f>
        <v>0</v>
      </c>
      <c r="BW47" s="215">
        <f>CdTrp2!P39</f>
        <v>0</v>
      </c>
      <c r="BX47" s="215">
        <f>CdTrp2!Q39</f>
        <v>0</v>
      </c>
      <c r="BY47" s="215">
        <f>CdTrp2!R39</f>
        <v>0</v>
      </c>
      <c r="BZ47" s="215">
        <f>CdTrp2!S39</f>
        <v>0</v>
      </c>
      <c r="CA47" s="215">
        <f>CdTrp2!T39</f>
        <v>0</v>
      </c>
      <c r="CB47" s="215">
        <f>CdTrp2!U39</f>
        <v>0</v>
      </c>
      <c r="CC47" s="215">
        <f>CdTrp2!V39</f>
        <v>0</v>
      </c>
      <c r="CD47" s="215">
        <f>CdTrp2!W39</f>
        <v>0</v>
      </c>
      <c r="CE47" s="215">
        <f>CdTrp2!X39</f>
        <v>0</v>
      </c>
      <c r="CF47" s="215">
        <f>CdTrp2!Y39</f>
        <v>0</v>
      </c>
      <c r="CG47" s="215"/>
      <c r="CH47" s="215"/>
      <c r="CI47" s="216" t="s">
        <v>1038</v>
      </c>
      <c r="CJ47" s="215" t="str">
        <f>CdTrp3!A39</f>
        <v>lot1</v>
      </c>
      <c r="CK47" s="219">
        <f>CdTrp3!B39</f>
        <v>0</v>
      </c>
      <c r="CL47" s="219">
        <f>CdTrp3!C39</f>
        <v>0</v>
      </c>
      <c r="CM47" s="219">
        <f>CdTrp3!D39</f>
        <v>0</v>
      </c>
      <c r="CN47" s="219">
        <f>CdTrp3!E39</f>
        <v>0</v>
      </c>
      <c r="CO47" s="219">
        <f>CdTrp3!F39</f>
        <v>0</v>
      </c>
      <c r="CP47" s="219">
        <f>CdTrp3!G39</f>
        <v>0</v>
      </c>
      <c r="CQ47" s="219">
        <f>CdTrp3!H39</f>
        <v>0</v>
      </c>
      <c r="CR47" s="219">
        <f>CdTrp3!I39</f>
        <v>0</v>
      </c>
      <c r="CS47" s="219">
        <f>CdTrp3!J39</f>
        <v>0</v>
      </c>
      <c r="CT47" s="219">
        <f>CdTrp3!K39</f>
        <v>0</v>
      </c>
      <c r="CU47" s="219">
        <f>CdTrp3!L39</f>
        <v>0</v>
      </c>
      <c r="CV47" s="219">
        <f>CdTrp3!M39</f>
        <v>0</v>
      </c>
      <c r="CW47" s="219">
        <f>CdTrp3!N39</f>
        <v>0</v>
      </c>
      <c r="CX47" s="219">
        <f>CdTrp3!O39</f>
        <v>0</v>
      </c>
      <c r="CY47" s="219">
        <f>CdTrp3!P39</f>
        <v>0</v>
      </c>
      <c r="CZ47" s="219">
        <f>CdTrp3!Q39</f>
        <v>0</v>
      </c>
      <c r="DA47" s="219">
        <f>CdTrp3!R39</f>
        <v>0</v>
      </c>
      <c r="DB47" s="219">
        <f>CdTrp3!S39</f>
        <v>0</v>
      </c>
      <c r="DC47" s="219">
        <f>CdTrp3!T39</f>
        <v>0</v>
      </c>
      <c r="DD47" s="219">
        <f>CdTrp3!U39</f>
        <v>0</v>
      </c>
      <c r="DE47" s="219">
        <f>CdTrp3!V39</f>
        <v>0</v>
      </c>
      <c r="DF47" s="219">
        <f>CdTrp3!W39</f>
        <v>0</v>
      </c>
      <c r="DG47" s="219">
        <f>CdTrp3!X39</f>
        <v>0</v>
      </c>
      <c r="DH47" s="219">
        <f>CdTrp3!Y39</f>
        <v>0</v>
      </c>
      <c r="DI47" s="215"/>
      <c r="DJ47" s="215"/>
      <c r="DK47" s="216" t="s">
        <v>1038</v>
      </c>
      <c r="DL47" s="215" t="str">
        <f>CdTrp4!A39</f>
        <v>lot1</v>
      </c>
      <c r="DM47" s="219">
        <f>CdTrp4!B39</f>
        <v>0</v>
      </c>
      <c r="DN47" s="219">
        <f>CdTrp4!C39</f>
        <v>0</v>
      </c>
      <c r="DO47" s="219">
        <f>CdTrp4!D39</f>
        <v>0</v>
      </c>
      <c r="DP47" s="219">
        <f>CdTrp4!E39</f>
        <v>0</v>
      </c>
      <c r="DQ47" s="219">
        <f>CdTrp4!F39</f>
        <v>0</v>
      </c>
      <c r="DR47" s="219">
        <f>CdTrp4!G39</f>
        <v>0</v>
      </c>
      <c r="DS47" s="219">
        <f>CdTrp4!H39</f>
        <v>0</v>
      </c>
      <c r="DT47" s="219">
        <f>CdTrp4!I39</f>
        <v>0</v>
      </c>
      <c r="DU47" s="219">
        <f>CdTrp4!J39</f>
        <v>0</v>
      </c>
      <c r="DV47" s="219">
        <f>CdTrp4!K39</f>
        <v>0</v>
      </c>
      <c r="DW47" s="219">
        <f>CdTrp4!L39</f>
        <v>0</v>
      </c>
      <c r="DX47" s="219">
        <f>CdTrp4!M39</f>
        <v>0</v>
      </c>
      <c r="DY47" s="219">
        <f>CdTrp4!N39</f>
        <v>0</v>
      </c>
      <c r="DZ47" s="219">
        <f>CdTrp4!O39</f>
        <v>0</v>
      </c>
      <c r="EA47" s="219">
        <f>CdTrp4!P39</f>
        <v>0</v>
      </c>
      <c r="EB47" s="219">
        <f>CdTrp4!Q39</f>
        <v>0</v>
      </c>
      <c r="EC47" s="219">
        <f>CdTrp4!R39</f>
        <v>0</v>
      </c>
      <c r="ED47" s="219">
        <f>CdTrp4!S39</f>
        <v>0</v>
      </c>
      <c r="EE47" s="219">
        <f>CdTrp4!T39</f>
        <v>0</v>
      </c>
      <c r="EF47" s="219">
        <f>CdTrp4!U39</f>
        <v>0</v>
      </c>
      <c r="EG47" s="219">
        <f>CdTrp4!V39</f>
        <v>0</v>
      </c>
      <c r="EH47" s="219">
        <f>CdTrp4!W39</f>
        <v>0</v>
      </c>
      <c r="EI47" s="219">
        <f>CdTrp4!X39</f>
        <v>0</v>
      </c>
      <c r="EJ47" s="219">
        <f>CdTrp4!Y39</f>
        <v>0</v>
      </c>
    </row>
    <row r="48" spans="1:143" x14ac:dyDescent="0.25">
      <c r="A48" s="223" t="s">
        <v>1039</v>
      </c>
      <c r="B48" s="223"/>
      <c r="C48" s="223"/>
      <c r="D48" s="223"/>
      <c r="E48" s="223"/>
      <c r="F48" s="223"/>
      <c r="G48" s="223"/>
      <c r="H48" s="223"/>
      <c r="I48" s="223"/>
      <c r="J48" s="224">
        <f>SUM(J5:J46)</f>
        <v>93713.16399999999</v>
      </c>
      <c r="K48" s="224"/>
      <c r="L48" s="224"/>
      <c r="M48" s="224"/>
      <c r="N48" s="224"/>
      <c r="O48" s="225"/>
      <c r="X48" s="216" t="s">
        <v>510</v>
      </c>
      <c r="Y48" s="219">
        <f>IF(Troupeau!B$3="BL",Troupeau!B$49,0)</f>
        <v>0</v>
      </c>
      <c r="Z48" s="219">
        <f>IF(Troupeau!C$3="BL",Troupeau!C$49,0)</f>
        <v>0</v>
      </c>
      <c r="AA48" s="219">
        <f>IF(Troupeau!D$3="BL",Troupeau!D$49,0)</f>
        <v>0</v>
      </c>
      <c r="AB48" s="219">
        <f>IF(Troupeau!E$3="BL",Troupeau!E$49,0)</f>
        <v>0</v>
      </c>
      <c r="AC48" s="219">
        <f>SUM(Y48:AB48)</f>
        <v>0</v>
      </c>
      <c r="AD48" s="215"/>
      <c r="AE48" s="215"/>
      <c r="AF48" s="215"/>
      <c r="AG48" s="272" t="str">
        <f>CdTrp1!A40</f>
        <v>Lot des béliers</v>
      </c>
      <c r="AH48" s="219">
        <f>CdTrp1!B40</f>
        <v>0.71466666666666667</v>
      </c>
      <c r="AI48" s="219">
        <f>CdTrp1!C40</f>
        <v>0.71466666666666667</v>
      </c>
      <c r="AJ48" s="219">
        <f>CdTrp1!D40</f>
        <v>0.71466666666666667</v>
      </c>
      <c r="AK48" s="219">
        <f>CdTrp1!E40</f>
        <v>0.71466666666666667</v>
      </c>
      <c r="AL48" s="219">
        <f>CdTrp1!F40</f>
        <v>0.71466666666666667</v>
      </c>
      <c r="AM48" s="219">
        <f>CdTrp1!G40</f>
        <v>0.71466666666666667</v>
      </c>
      <c r="AN48" s="219">
        <f>CdTrp1!H40</f>
        <v>0.71466666666666667</v>
      </c>
      <c r="AO48" s="219">
        <f>CdTrp1!I40</f>
        <v>0.71466666666666667</v>
      </c>
      <c r="AP48" s="219">
        <f>CdTrp1!J40</f>
        <v>0.71466666666666667</v>
      </c>
      <c r="AQ48" s="219">
        <f>CdTrp1!K40</f>
        <v>0.71466666666666667</v>
      </c>
      <c r="AR48" s="219">
        <f>CdTrp1!L40</f>
        <v>0</v>
      </c>
      <c r="AS48" s="219">
        <f>CdTrp1!M40</f>
        <v>0</v>
      </c>
      <c r="AT48" s="219">
        <f>CdTrp1!N40</f>
        <v>0</v>
      </c>
      <c r="AU48" s="219">
        <f>CdTrp1!O40</f>
        <v>0</v>
      </c>
      <c r="AV48" s="219">
        <f>IF(CdTrp1!B76=1,1,IF(CdTrp1!B76=2,2,IF(CdTrp1!B76=3,2,0)))</f>
        <v>1</v>
      </c>
      <c r="AW48" s="219">
        <f>IF(CdTrp1!C76=1,1,IF(CdTrp1!C76=2,2,IF(CdTrp1!C76=3,2,0)))</f>
        <v>1</v>
      </c>
      <c r="AX48" s="219">
        <f>IF(CdTrp1!D76=1,1,IF(CdTrp1!D76=2,2,IF(CdTrp1!D76=3,2,0)))</f>
        <v>1</v>
      </c>
      <c r="AY48" s="219">
        <f>IF(CdTrp1!E76=1,1,IF(CdTrp1!E76=2,2,IF(CdTrp1!E76=3,2,0)))</f>
        <v>1</v>
      </c>
      <c r="AZ48" s="219">
        <f>IF(CdTrp1!F76=1,1,IF(CdTrp1!F76=2,2,IF(CdTrp1!F76=3,2,0)))</f>
        <v>1</v>
      </c>
      <c r="BA48" s="219">
        <f>IF(CdTrp1!G76=1,1,IF(CdTrp1!G76=2,2,IF(CdTrp1!G76=3,2,0)))</f>
        <v>1</v>
      </c>
      <c r="BB48" s="219">
        <f>IF(CdTrp1!H76=1,1,IF(CdTrp1!H76=2,2,IF(CdTrp1!H76=3,2,0)))</f>
        <v>1</v>
      </c>
      <c r="BC48" s="219">
        <f>IF(CdTrp1!I76=1,1,IF(CdTrp1!I76=2,2,IF(CdTrp1!I76=3,2,0)))</f>
        <v>1</v>
      </c>
      <c r="BD48" s="219">
        <f>IF(CdTrp1!J76=1,1,IF(CdTrp1!J76=2,2,IF(CdTrp1!J76=3,2,0)))</f>
        <v>1</v>
      </c>
      <c r="BE48" s="219">
        <f>IF(CdTrp1!K76=1,1,IF(CdTrp1!K76=2,2,IF(CdTrp1!K76=3,2,0)))</f>
        <v>1</v>
      </c>
      <c r="BF48" s="219">
        <f>IF(CdTrp1!L76=1,1,IF(CdTrp1!L76=2,2,IF(CdTrp1!L76=3,2,0)))</f>
        <v>1</v>
      </c>
      <c r="BG48" s="219">
        <f>IF(CdTrp1!M76=1,1,IF(CdTrp1!M76=2,2,IF(CdTrp1!M76=3,2,0)))</f>
        <v>1</v>
      </c>
      <c r="BH48" s="219">
        <f>IF(CdTrp1!N76=1,1,IF(CdTrp1!N76=2,2,IF(CdTrp1!N76=3,2,0)))</f>
        <v>1</v>
      </c>
      <c r="BI48" s="219">
        <f>IF(CdTrp1!O76=1,1,IF(CdTrp1!O76=2,2,IF(CdTrp1!O76=3,2,0)))</f>
        <v>1</v>
      </c>
      <c r="BJ48" s="219">
        <f>IF(CdTrp1!P76=1,1,IF(CdTrp1!P76=2,2,IF(CdTrp1!P76=3,2,0)))</f>
        <v>1</v>
      </c>
      <c r="BK48" s="219">
        <f>IF(CdTrp1!Q76=1,1,IF(CdTrp1!Q76=2,2,IF(CdTrp1!Q76=3,2,0)))</f>
        <v>1</v>
      </c>
      <c r="BL48" s="219">
        <f>IF(CdTrp1!R76=1,1,IF(CdTrp1!R76=2,2,IF(CdTrp1!R76=3,2,0)))</f>
        <v>1</v>
      </c>
      <c r="BM48" s="219">
        <f>IF(CdTrp1!S76=1,1,IF(CdTrp1!S76=2,2,IF(CdTrp1!S76=3,2,0)))</f>
        <v>1</v>
      </c>
      <c r="BN48" s="219">
        <f>IF(CdTrp1!T76=1,1,IF(CdTrp1!T76=2,2,IF(CdTrp1!T76=3,2,0)))</f>
        <v>1</v>
      </c>
      <c r="BO48" s="219">
        <f>IF(CdTrp1!U76=1,1,IF(CdTrp1!U76=2,2,IF(CdTrp1!U76=3,2,0)))</f>
        <v>1</v>
      </c>
      <c r="BP48" s="219">
        <f>IF(CdTrp1!V76=1,1,IF(CdTrp1!V76=2,2,IF(CdTrp1!V76=3,2,0)))</f>
        <v>1</v>
      </c>
      <c r="BQ48" s="219">
        <f>IF(CdTrp1!W76=1,1,IF(CdTrp1!W76=2,2,IF(CdTrp1!W76=3,2,0)))</f>
        <v>1</v>
      </c>
      <c r="BR48" s="219">
        <f>IF(CdTrp1!X76=1,1,IF(CdTrp1!X76=2,2,IF(CdTrp1!X76=3,2,0)))</f>
        <v>1</v>
      </c>
      <c r="BS48" s="219">
        <f>IF(CdTrp1!Y76=1,1,IF(CdTrp1!Y76=2,2,IF(CdTrp1!Y76=3,2,0)))</f>
        <v>1</v>
      </c>
      <c r="BT48" s="215">
        <f>CdTrp2!M40</f>
        <v>0</v>
      </c>
      <c r="BU48" s="215">
        <f>CdTrp2!N40</f>
        <v>0</v>
      </c>
      <c r="BV48" s="215">
        <f>CdTrp2!O40</f>
        <v>0</v>
      </c>
      <c r="BW48" s="215">
        <f>CdTrp2!P40</f>
        <v>0</v>
      </c>
      <c r="BX48" s="215">
        <f>CdTrp2!Q40</f>
        <v>0</v>
      </c>
      <c r="BY48" s="215">
        <f>CdTrp2!R40</f>
        <v>0</v>
      </c>
      <c r="BZ48" s="215">
        <f>CdTrp2!S40</f>
        <v>0</v>
      </c>
      <c r="CA48" s="215">
        <f>CdTrp2!T40</f>
        <v>0</v>
      </c>
      <c r="CB48" s="215">
        <f>IF(CdTrp2!B76=1,1,IF(CdTrp2!B76=2,2,IF(CdTrp2!B76=3,2,0)))</f>
        <v>0</v>
      </c>
      <c r="CC48" s="215">
        <f>IF(CdTrp2!C76=1,1,IF(CdTrp2!C76=2,2,IF(CdTrp2!C76=3,2,0)))</f>
        <v>0</v>
      </c>
      <c r="CD48" s="215">
        <f>IF(CdTrp2!D76=1,1,IF(CdTrp2!D76=2,2,IF(CdTrp2!D76=3,2,0)))</f>
        <v>0</v>
      </c>
      <c r="CE48" s="215">
        <f>IF(CdTrp2!E76=1,1,IF(CdTrp2!E76=2,2,IF(CdTrp2!E76=3,2,0)))</f>
        <v>0</v>
      </c>
      <c r="CF48" s="215">
        <f>IF(CdTrp2!F76=1,1,IF(CdTrp2!F76=2,2,IF(CdTrp2!F76=3,2,0)))</f>
        <v>0</v>
      </c>
      <c r="CG48" s="215">
        <f>IF(CdTrp2!G76=1,1,IF(CdTrp2!G76=2,2,IF(CdTrp2!G76=3,2,0)))</f>
        <v>0</v>
      </c>
      <c r="CH48" s="215">
        <f>IF(CdTrp2!H76=1,1,IF(CdTrp2!H76=2,2,IF(CdTrp2!H76=3,2,0)))</f>
        <v>0</v>
      </c>
      <c r="CI48" s="215">
        <f>IF(CdTrp2!I76=1,1,IF(CdTrp2!I76=2,2,IF(CdTrp2!I76=3,2,0)))</f>
        <v>0</v>
      </c>
      <c r="CJ48" s="215">
        <f>IF(CdTrp2!J76=1,1,IF(CdTrp2!J76=2,2,IF(CdTrp2!J76=3,2,0)))</f>
        <v>0</v>
      </c>
      <c r="CK48" s="215">
        <f>IF(CdTrp2!K76=1,1,IF(CdTrp2!K76=2,2,IF(CdTrp2!K76=3,2,0)))</f>
        <v>0</v>
      </c>
      <c r="CL48" s="215">
        <f>IF(CdTrp2!L76=1,1,IF(CdTrp2!L76=2,2,IF(CdTrp2!L76=3,2,0)))</f>
        <v>0</v>
      </c>
      <c r="CM48" s="215">
        <f>IF(CdTrp2!M76=1,1,IF(CdTrp2!M76=2,2,IF(CdTrp2!M76=3,2,0)))</f>
        <v>0</v>
      </c>
      <c r="CN48" s="215">
        <f>IF(CdTrp2!N76=1,1,IF(CdTrp2!N76=2,2,IF(CdTrp2!N76=3,2,0)))</f>
        <v>0</v>
      </c>
      <c r="CO48" s="215">
        <f>IF(CdTrp2!O76=1,1,IF(CdTrp2!O76=2,2,IF(CdTrp2!O76=3,2,0)))</f>
        <v>0</v>
      </c>
      <c r="CP48" s="215">
        <f>IF(CdTrp2!P76=1,1,IF(CdTrp2!P76=2,2,IF(CdTrp2!P76=3,2,0)))</f>
        <v>0</v>
      </c>
      <c r="CQ48" s="215">
        <f>IF(CdTrp2!Q76=1,1,IF(CdTrp2!Q76=2,2,IF(CdTrp2!Q76=3,2,0)))</f>
        <v>0</v>
      </c>
      <c r="CR48" s="215">
        <f>IF(CdTrp2!R76=1,1,IF(CdTrp2!R76=2,2,IF(CdTrp2!R76=3,2,0)))</f>
        <v>0</v>
      </c>
      <c r="CS48" s="215">
        <f>IF(CdTrp2!S76=1,1,IF(CdTrp2!S76=2,2,IF(CdTrp2!S76=3,2,0)))</f>
        <v>0</v>
      </c>
      <c r="CT48" s="215">
        <f>IF(CdTrp2!T76=1,1,IF(CdTrp2!T76=2,2,IF(CdTrp2!T76=3,2,0)))</f>
        <v>0</v>
      </c>
      <c r="CU48" s="215">
        <f>IF(CdTrp2!U76=1,1,IF(CdTrp2!U76=2,2,IF(CdTrp2!U76=3,2,0)))</f>
        <v>0</v>
      </c>
      <c r="CV48" s="215">
        <f>IF(CdTrp2!V76=1,1,IF(CdTrp2!V76=2,2,IF(CdTrp2!V76=3,2,0)))</f>
        <v>0</v>
      </c>
      <c r="CW48" s="215">
        <f>IF(CdTrp2!W76=1,1,IF(CdTrp2!W76=2,2,IF(CdTrp2!W76=3,2,0)))</f>
        <v>0</v>
      </c>
      <c r="CX48" s="215">
        <f>IF(CdTrp2!X76=1,1,IF(CdTrp2!X76=2,2,IF(CdTrp2!X76=3,2,0)))</f>
        <v>0</v>
      </c>
      <c r="CY48" s="215">
        <f>IF(CdTrp2!Y76=1,1,IF(CdTrp2!Y76=2,2,IF(CdTrp2!Y76=3,2,0)))</f>
        <v>0</v>
      </c>
      <c r="CZ48" s="219">
        <f>CdTrp3!Q40</f>
        <v>0</v>
      </c>
      <c r="DA48" s="219">
        <f>CdTrp3!R40</f>
        <v>0</v>
      </c>
      <c r="DB48" s="219">
        <f>CdTrp3!S40</f>
        <v>0</v>
      </c>
      <c r="DC48" s="219">
        <f>CdTrp3!T40</f>
        <v>0</v>
      </c>
      <c r="DD48" s="219">
        <f>CdTrp3!U40</f>
        <v>0</v>
      </c>
      <c r="DE48" s="219">
        <f>IF(CdTrp3!B76=1,1,IF(CdTrp3!B76=2,2,IF(CdTrp3!B76=3,2,0)))</f>
        <v>0</v>
      </c>
      <c r="DF48" s="219">
        <f>IF(CdTrp3!C76=1,1,IF(CdTrp3!C76=2,2,IF(CdTrp3!C76=3,2,0)))</f>
        <v>0</v>
      </c>
      <c r="DG48" s="219">
        <f>IF(CdTrp3!D76=1,1,IF(CdTrp3!D76=2,2,IF(CdTrp3!D76=3,2,0)))</f>
        <v>0</v>
      </c>
      <c r="DH48" s="219">
        <f>IF(CdTrp3!E76=1,1,IF(CdTrp3!E76=2,2,IF(CdTrp3!E76=3,2,0)))</f>
        <v>0</v>
      </c>
      <c r="DI48" s="219">
        <f>IF(CdTrp3!F76=1,1,IF(CdTrp3!F76=2,2,IF(CdTrp3!F76=3,2,0)))</f>
        <v>0</v>
      </c>
      <c r="DJ48" s="219">
        <f>IF(CdTrp3!G76=1,1,IF(CdTrp3!G76=2,2,IF(CdTrp3!G76=3,2,0)))</f>
        <v>0</v>
      </c>
      <c r="DK48" s="219">
        <f>IF(CdTrp3!H76=1,1,IF(CdTrp3!H76=2,2,IF(CdTrp3!H76=3,2,0)))</f>
        <v>0</v>
      </c>
      <c r="DL48" s="219">
        <f>IF(CdTrp3!I76=1,1,IF(CdTrp3!I76=2,2,IF(CdTrp3!I76=3,2,0)))</f>
        <v>0</v>
      </c>
      <c r="DM48" s="219">
        <f>IF(CdTrp3!J76=1,1,IF(CdTrp3!J76=2,2,IF(CdTrp3!J76=3,2,0)))</f>
        <v>0</v>
      </c>
      <c r="DN48" s="219">
        <f>IF(CdTrp3!K76=1,1,IF(CdTrp3!K76=2,2,IF(CdTrp3!K76=3,2,0)))</f>
        <v>0</v>
      </c>
      <c r="DO48" s="219">
        <f>IF(CdTrp3!L76=1,1,IF(CdTrp3!L76=2,2,IF(CdTrp3!L76=3,2,0)))</f>
        <v>0</v>
      </c>
      <c r="DP48" s="219">
        <f>IF(CdTrp3!M76=1,1,IF(CdTrp3!M76=2,2,IF(CdTrp3!M76=3,2,0)))</f>
        <v>0</v>
      </c>
      <c r="DQ48" s="219">
        <f>IF(CdTrp3!N76=1,1,IF(CdTrp3!N76=2,2,IF(CdTrp3!N76=3,2,0)))</f>
        <v>0</v>
      </c>
      <c r="DR48" s="219">
        <f>IF(CdTrp3!O76=1,1,IF(CdTrp3!O76=2,2,IF(CdTrp3!O76=3,2,0)))</f>
        <v>0</v>
      </c>
      <c r="DS48" s="219">
        <f>IF(CdTrp3!P76=1,1,IF(CdTrp3!P76=2,2,IF(CdTrp3!P76=3,2,0)))</f>
        <v>0</v>
      </c>
      <c r="DT48" s="219">
        <f>IF(CdTrp3!Q76=1,1,IF(CdTrp3!Q76=2,2,IF(CdTrp3!Q76=3,2,0)))</f>
        <v>0</v>
      </c>
      <c r="DU48" s="219">
        <f>IF(CdTrp3!R76=1,1,IF(CdTrp3!R76=2,2,IF(CdTrp3!R76=3,2,0)))</f>
        <v>0</v>
      </c>
      <c r="DV48" s="219">
        <f>IF(CdTrp3!S76=1,1,IF(CdTrp3!S76=2,2,IF(CdTrp3!S76=3,2,0)))</f>
        <v>0</v>
      </c>
      <c r="DW48" s="219">
        <f>IF(CdTrp3!T76=1,1,IF(CdTrp3!T76=2,2,IF(CdTrp3!T76=3,2,0)))</f>
        <v>0</v>
      </c>
      <c r="DX48" s="219">
        <f>IF(CdTrp3!U76=1,1,IF(CdTrp3!U76=2,2,IF(CdTrp3!U76=3,2,0)))</f>
        <v>0</v>
      </c>
      <c r="DY48" s="219">
        <f>IF(CdTrp3!V76=1,1,IF(CdTrp3!V76=2,2,IF(CdTrp3!V76=3,2,0)))</f>
        <v>0</v>
      </c>
      <c r="DZ48" s="219">
        <f>IF(CdTrp3!W76=1,1,IF(CdTrp3!W76=2,2,IF(CdTrp3!W76=3,2,0)))</f>
        <v>0</v>
      </c>
      <c r="EA48" s="219">
        <f>IF(CdTrp3!X76=1,1,IF(CdTrp3!X76=2,2,IF(CdTrp3!X76=3,2,0)))</f>
        <v>0</v>
      </c>
      <c r="EB48" s="219">
        <f>IF(CdTrp3!Y76=1,1,IF(CdTrp3!Y76=2,2,IF(CdTrp3!Y76=3,2,0)))</f>
        <v>0</v>
      </c>
      <c r="EC48" s="219">
        <f>CdTrp4!R40</f>
        <v>0</v>
      </c>
      <c r="ED48" s="219">
        <f>CdTrp4!S40</f>
        <v>0</v>
      </c>
      <c r="EE48" s="219">
        <f>CdTrp4!T40</f>
        <v>0</v>
      </c>
      <c r="EF48" s="219">
        <f>CdTrp4!U40</f>
        <v>0</v>
      </c>
      <c r="EG48" s="219">
        <f>CdTrp4!V40</f>
        <v>0</v>
      </c>
      <c r="EH48" s="219">
        <f>CdTrp4!W40</f>
        <v>0</v>
      </c>
      <c r="EI48" s="219">
        <f>CdTrp4!X40</f>
        <v>0</v>
      </c>
      <c r="EJ48" s="219">
        <f>CdTrp4!Y40</f>
        <v>0</v>
      </c>
    </row>
    <row r="49" spans="1:143" x14ac:dyDescent="0.25">
      <c r="R49" s="2" t="s">
        <v>1040</v>
      </c>
      <c r="X49" s="216" t="s">
        <v>480</v>
      </c>
      <c r="Y49" s="219">
        <f>IF(Troupeau!B$3="OL",Troupeau!B$49,0)</f>
        <v>49.112000000000009</v>
      </c>
      <c r="Z49" s="219">
        <f>IF(Troupeau!C$3="OL",Troupeau!C$49,0)</f>
        <v>0</v>
      </c>
      <c r="AA49" s="219">
        <f>IF(Troupeau!D$3="OL",Troupeau!D$49,0)</f>
        <v>0</v>
      </c>
      <c r="AB49" s="219">
        <f>IF(Troupeau!E$3="OL",Troupeau!E$49,0)</f>
        <v>0</v>
      </c>
      <c r="AC49" s="219">
        <f>SUM(Y49:AB49)</f>
        <v>49.112000000000009</v>
      </c>
      <c r="AD49" s="215"/>
      <c r="AE49" s="215"/>
      <c r="AF49" s="215"/>
      <c r="AG49" s="272" t="str">
        <f>CdTrp1!A41</f>
        <v>Lot des vides</v>
      </c>
      <c r="AH49" s="219">
        <f>CdTrp1!B41</f>
        <v>1.8760000000000003</v>
      </c>
      <c r="AI49" s="219">
        <f>CdTrp1!C41</f>
        <v>1.8760000000000003</v>
      </c>
      <c r="AJ49" s="219">
        <f>CdTrp1!D41</f>
        <v>1.8760000000000003</v>
      </c>
      <c r="AK49" s="219">
        <f>CdTrp1!E41</f>
        <v>1.8760000000000003</v>
      </c>
      <c r="AL49" s="219">
        <f>CdTrp1!F41</f>
        <v>1.8760000000000003</v>
      </c>
      <c r="AM49" s="219">
        <f>CdTrp1!G41</f>
        <v>1.8760000000000003</v>
      </c>
      <c r="AN49" s="219">
        <f>CdTrp1!H41</f>
        <v>1.8760000000000003</v>
      </c>
      <c r="AO49" s="219">
        <f>CdTrp1!I41</f>
        <v>1.8760000000000003</v>
      </c>
      <c r="AP49" s="219">
        <f>CdTrp1!J41</f>
        <v>1.8760000000000003</v>
      </c>
      <c r="AQ49" s="219">
        <f>CdTrp1!K41</f>
        <v>1.8760000000000003</v>
      </c>
      <c r="AR49" s="219">
        <f>CdTrp1!L41</f>
        <v>0</v>
      </c>
      <c r="AS49" s="219">
        <f>CdTrp1!M41</f>
        <v>0</v>
      </c>
      <c r="AT49" s="219">
        <f>CdTrp1!N41</f>
        <v>0</v>
      </c>
      <c r="AU49" s="219">
        <f>CdTrp1!O41</f>
        <v>0</v>
      </c>
      <c r="AV49" s="219">
        <f>IF(CdTrp1!B77=1,1,IF(CdTrp1!B77=2,2,IF(CdTrp1!B77=3,2,0)))</f>
        <v>2</v>
      </c>
      <c r="AW49" s="219">
        <f>IF(CdTrp1!C77=1,1,IF(CdTrp1!C77=2,2,IF(CdTrp1!C77=3,2,0)))</f>
        <v>2</v>
      </c>
      <c r="AX49" s="219">
        <f>IF(CdTrp1!D77=1,1,IF(CdTrp1!D77=2,2,IF(CdTrp1!D77=3,2,0)))</f>
        <v>2</v>
      </c>
      <c r="AY49" s="219">
        <f>IF(CdTrp1!E77=1,1,IF(CdTrp1!E77=2,2,IF(CdTrp1!E77=3,2,0)))</f>
        <v>2</v>
      </c>
      <c r="AZ49" s="219">
        <f>IF(CdTrp1!F77=1,1,IF(CdTrp1!F77=2,2,IF(CdTrp1!F77=3,2,0)))</f>
        <v>2</v>
      </c>
      <c r="BA49" s="219">
        <f>IF(CdTrp1!G77=1,1,IF(CdTrp1!G77=2,2,IF(CdTrp1!G77=3,2,0)))</f>
        <v>2</v>
      </c>
      <c r="BB49" s="219">
        <f>IF(CdTrp1!H77=1,1,IF(CdTrp1!H77=2,2,IF(CdTrp1!H77=3,2,0)))</f>
        <v>2</v>
      </c>
      <c r="BC49" s="219">
        <f>IF(CdTrp1!I77=1,1,IF(CdTrp1!I77=2,2,IF(CdTrp1!I77=3,2,0)))</f>
        <v>2</v>
      </c>
      <c r="BD49" s="219">
        <f>IF(CdTrp1!J77=1,1,IF(CdTrp1!J77=2,2,IF(CdTrp1!J77=3,2,0)))</f>
        <v>2</v>
      </c>
      <c r="BE49" s="219">
        <f>IF(CdTrp1!K77=1,1,IF(CdTrp1!K77=2,2,IF(CdTrp1!K77=3,2,0)))</f>
        <v>2</v>
      </c>
      <c r="BF49" s="219">
        <f>IF(CdTrp1!L77=1,1,IF(CdTrp1!L77=2,2,IF(CdTrp1!L77=3,2,0)))</f>
        <v>0</v>
      </c>
      <c r="BG49" s="219">
        <f>IF(CdTrp1!M77=1,1,IF(CdTrp1!M77=2,2,IF(CdTrp1!M77=3,2,0)))</f>
        <v>0</v>
      </c>
      <c r="BH49" s="219">
        <f>IF(CdTrp1!N77=1,1,IF(CdTrp1!N77=2,2,IF(CdTrp1!N77=3,2,0)))</f>
        <v>0</v>
      </c>
      <c r="BI49" s="219">
        <f>IF(CdTrp1!O77=1,1,IF(CdTrp1!O77=2,2,IF(CdTrp1!O77=3,2,0)))</f>
        <v>0</v>
      </c>
      <c r="BJ49" s="219">
        <f>IF(CdTrp1!P77=1,1,IF(CdTrp1!P77=2,2,IF(CdTrp1!P77=3,2,0)))</f>
        <v>0</v>
      </c>
      <c r="BK49" s="219">
        <f>IF(CdTrp1!Q77=1,1,IF(CdTrp1!Q77=2,2,IF(CdTrp1!Q77=3,2,0)))</f>
        <v>0</v>
      </c>
      <c r="BL49" s="219">
        <f>IF(CdTrp1!R77=1,1,IF(CdTrp1!R77=2,2,IF(CdTrp1!R77=3,2,0)))</f>
        <v>0</v>
      </c>
      <c r="BM49" s="219">
        <f>IF(CdTrp1!S77=1,1,IF(CdTrp1!S77=2,2,IF(CdTrp1!S77=3,2,0)))</f>
        <v>0</v>
      </c>
      <c r="BN49" s="219">
        <f>IF(CdTrp1!T77=1,1,IF(CdTrp1!T77=2,2,IF(CdTrp1!T77=3,2,0)))</f>
        <v>0</v>
      </c>
      <c r="BO49" s="219">
        <f>IF(CdTrp1!U77=1,1,IF(CdTrp1!U77=2,2,IF(CdTrp1!U77=3,2,0)))</f>
        <v>0</v>
      </c>
      <c r="BP49" s="219">
        <f>IF(CdTrp1!V77=1,1,IF(CdTrp1!V77=2,2,IF(CdTrp1!V77=3,2,0)))</f>
        <v>2</v>
      </c>
      <c r="BQ49" s="219">
        <f>IF(CdTrp1!W77=1,1,IF(CdTrp1!W77=2,2,IF(CdTrp1!W77=3,2,0)))</f>
        <v>2</v>
      </c>
      <c r="BR49" s="219">
        <f>IF(CdTrp1!X77=1,1,IF(CdTrp1!X77=2,2,IF(CdTrp1!X77=3,2,0)))</f>
        <v>2</v>
      </c>
      <c r="BS49" s="219">
        <f>IF(CdTrp1!Y77=1,1,IF(CdTrp1!Y77=2,2,IF(CdTrp1!Y77=3,2,0)))</f>
        <v>2</v>
      </c>
      <c r="BT49" s="215">
        <f>CdTrp2!M41</f>
        <v>0</v>
      </c>
      <c r="BU49" s="215">
        <f>CdTrp2!N41</f>
        <v>0</v>
      </c>
      <c r="BV49" s="215">
        <f>CdTrp2!O41</f>
        <v>0</v>
      </c>
      <c r="BW49" s="215">
        <f>CdTrp2!P41</f>
        <v>0</v>
      </c>
      <c r="BX49" s="215">
        <f>CdTrp2!Q41</f>
        <v>0</v>
      </c>
      <c r="BY49" s="215">
        <f>CdTrp2!R41</f>
        <v>0</v>
      </c>
      <c r="BZ49" s="215">
        <f>CdTrp2!S41</f>
        <v>0</v>
      </c>
      <c r="CA49" s="215">
        <f>CdTrp2!T41</f>
        <v>0</v>
      </c>
      <c r="CB49" s="215">
        <f>IF(CdTrp2!B77=1,1,IF(CdTrp2!B77=2,2,IF(CdTrp2!B77=3,2,0)))</f>
        <v>0</v>
      </c>
      <c r="CC49" s="215">
        <f>IF(CdTrp2!C77=1,1,IF(CdTrp2!C77=2,2,IF(CdTrp2!C77=3,2,0)))</f>
        <v>0</v>
      </c>
      <c r="CD49" s="215">
        <f>IF(CdTrp2!D77=1,1,IF(CdTrp2!D77=2,2,IF(CdTrp2!D77=3,2,0)))</f>
        <v>0</v>
      </c>
      <c r="CE49" s="215">
        <f>IF(CdTrp2!E77=1,1,IF(CdTrp2!E77=2,2,IF(CdTrp2!E77=3,2,0)))</f>
        <v>0</v>
      </c>
      <c r="CF49" s="215">
        <f>IF(CdTrp2!F77=1,1,IF(CdTrp2!F77=2,2,IF(CdTrp2!F77=3,2,0)))</f>
        <v>0</v>
      </c>
      <c r="CG49" s="215">
        <f>IF(CdTrp2!G77=1,1,IF(CdTrp2!G77=2,2,IF(CdTrp2!G77=3,2,0)))</f>
        <v>0</v>
      </c>
      <c r="CH49" s="215">
        <f>IF(CdTrp2!H77=1,1,IF(CdTrp2!H77=2,2,IF(CdTrp2!H77=3,2,0)))</f>
        <v>0</v>
      </c>
      <c r="CI49" s="215">
        <f>IF(CdTrp2!I77=1,1,IF(CdTrp2!I77=2,2,IF(CdTrp2!I77=3,2,0)))</f>
        <v>0</v>
      </c>
      <c r="CJ49" s="215">
        <f>IF(CdTrp2!J77=1,1,IF(CdTrp2!J77=2,2,IF(CdTrp2!J77=3,2,0)))</f>
        <v>0</v>
      </c>
      <c r="CK49" s="215">
        <f>IF(CdTrp2!K77=1,1,IF(CdTrp2!K77=2,2,IF(CdTrp2!K77=3,2,0)))</f>
        <v>0</v>
      </c>
      <c r="CL49" s="215">
        <f>IF(CdTrp2!L77=1,1,IF(CdTrp2!L77=2,2,IF(CdTrp2!L77=3,2,0)))</f>
        <v>0</v>
      </c>
      <c r="CM49" s="215">
        <f>IF(CdTrp2!M77=1,1,IF(CdTrp2!M77=2,2,IF(CdTrp2!M77=3,2,0)))</f>
        <v>0</v>
      </c>
      <c r="CN49" s="215">
        <f>IF(CdTrp2!N77=1,1,IF(CdTrp2!N77=2,2,IF(CdTrp2!N77=3,2,0)))</f>
        <v>0</v>
      </c>
      <c r="CO49" s="215">
        <f>IF(CdTrp2!O77=1,1,IF(CdTrp2!O77=2,2,IF(CdTrp2!O77=3,2,0)))</f>
        <v>0</v>
      </c>
      <c r="CP49" s="215">
        <f>IF(CdTrp2!P77=1,1,IF(CdTrp2!P77=2,2,IF(CdTrp2!P77=3,2,0)))</f>
        <v>0</v>
      </c>
      <c r="CQ49" s="215">
        <f>IF(CdTrp2!Q77=1,1,IF(CdTrp2!Q77=2,2,IF(CdTrp2!Q77=3,2,0)))</f>
        <v>0</v>
      </c>
      <c r="CR49" s="215">
        <f>IF(CdTrp2!R77=1,1,IF(CdTrp2!R77=2,2,IF(CdTrp2!R77=3,2,0)))</f>
        <v>0</v>
      </c>
      <c r="CS49" s="215">
        <f>IF(CdTrp2!S77=1,1,IF(CdTrp2!S77=2,2,IF(CdTrp2!S77=3,2,0)))</f>
        <v>0</v>
      </c>
      <c r="CT49" s="215">
        <f>IF(CdTrp2!T77=1,1,IF(CdTrp2!T77=2,2,IF(CdTrp2!T77=3,2,0)))</f>
        <v>0</v>
      </c>
      <c r="CU49" s="215">
        <f>IF(CdTrp2!U77=1,1,IF(CdTrp2!U77=2,2,IF(CdTrp2!U77=3,2,0)))</f>
        <v>0</v>
      </c>
      <c r="CV49" s="215">
        <f>IF(CdTrp2!V77=1,1,IF(CdTrp2!V77=2,2,IF(CdTrp2!V77=3,2,0)))</f>
        <v>0</v>
      </c>
      <c r="CW49" s="215">
        <f>IF(CdTrp2!W77=1,1,IF(CdTrp2!W77=2,2,IF(CdTrp2!W77=3,2,0)))</f>
        <v>0</v>
      </c>
      <c r="CX49" s="215">
        <f>IF(CdTrp2!X77=1,1,IF(CdTrp2!X77=2,2,IF(CdTrp2!X77=3,2,0)))</f>
        <v>0</v>
      </c>
      <c r="CY49" s="215">
        <f>IF(CdTrp2!Y77=1,1,IF(CdTrp2!Y77=2,2,IF(CdTrp2!Y77=3,2,0)))</f>
        <v>0</v>
      </c>
      <c r="CZ49" s="219">
        <f>CdTrp3!Q41</f>
        <v>0</v>
      </c>
      <c r="DA49" s="219">
        <f>CdTrp3!R41</f>
        <v>0</v>
      </c>
      <c r="DB49" s="219">
        <f>CdTrp3!S41</f>
        <v>0</v>
      </c>
      <c r="DC49" s="219">
        <f>CdTrp3!T41</f>
        <v>0</v>
      </c>
      <c r="DD49" s="219">
        <f>CdTrp3!U41</f>
        <v>0</v>
      </c>
      <c r="DE49" s="219">
        <f>IF(CdTrp3!B77=1,1,IF(CdTrp3!B77=2,2,IF(CdTrp3!B77=3,2,0)))</f>
        <v>0</v>
      </c>
      <c r="DF49" s="219">
        <f>IF(CdTrp3!C77=1,1,IF(CdTrp3!C77=2,2,IF(CdTrp3!C77=3,2,0)))</f>
        <v>0</v>
      </c>
      <c r="DG49" s="219">
        <f>IF(CdTrp3!D77=1,1,IF(CdTrp3!D77=2,2,IF(CdTrp3!D77=3,2,0)))</f>
        <v>0</v>
      </c>
      <c r="DH49" s="219">
        <f>IF(CdTrp3!E77=1,1,IF(CdTrp3!E77=2,2,IF(CdTrp3!E77=3,2,0)))</f>
        <v>0</v>
      </c>
      <c r="DI49" s="219">
        <f>IF(CdTrp3!F77=1,1,IF(CdTrp3!F77=2,2,IF(CdTrp3!F77=3,2,0)))</f>
        <v>0</v>
      </c>
      <c r="DJ49" s="219">
        <f>IF(CdTrp3!G77=1,1,IF(CdTrp3!G77=2,2,IF(CdTrp3!G77=3,2,0)))</f>
        <v>0</v>
      </c>
      <c r="DK49" s="219">
        <f>IF(CdTrp3!H77=1,1,IF(CdTrp3!H77=2,2,IF(CdTrp3!H77=3,2,0)))</f>
        <v>0</v>
      </c>
      <c r="DL49" s="219">
        <f>IF(CdTrp3!I77=1,1,IF(CdTrp3!I77=2,2,IF(CdTrp3!I77=3,2,0)))</f>
        <v>0</v>
      </c>
      <c r="DM49" s="219">
        <f>IF(CdTrp3!J77=1,1,IF(CdTrp3!J77=2,2,IF(CdTrp3!J77=3,2,0)))</f>
        <v>0</v>
      </c>
      <c r="DN49" s="219">
        <f>IF(CdTrp3!K77=1,1,IF(CdTrp3!K77=2,2,IF(CdTrp3!K77=3,2,0)))</f>
        <v>0</v>
      </c>
      <c r="DO49" s="219">
        <f>IF(CdTrp3!L77=1,1,IF(CdTrp3!L77=2,2,IF(CdTrp3!L77=3,2,0)))</f>
        <v>0</v>
      </c>
      <c r="DP49" s="219">
        <f>IF(CdTrp3!M77=1,1,IF(CdTrp3!M77=2,2,IF(CdTrp3!M77=3,2,0)))</f>
        <v>0</v>
      </c>
      <c r="DQ49" s="219">
        <f>IF(CdTrp3!N77=1,1,IF(CdTrp3!N77=2,2,IF(CdTrp3!N77=3,2,0)))</f>
        <v>0</v>
      </c>
      <c r="DR49" s="219">
        <f>IF(CdTrp3!O77=1,1,IF(CdTrp3!O77=2,2,IF(CdTrp3!O77=3,2,0)))</f>
        <v>0</v>
      </c>
      <c r="DS49" s="219">
        <f>IF(CdTrp3!P77=1,1,IF(CdTrp3!P77=2,2,IF(CdTrp3!P77=3,2,0)))</f>
        <v>0</v>
      </c>
      <c r="DT49" s="219">
        <f>IF(CdTrp3!Q77=1,1,IF(CdTrp3!Q77=2,2,IF(CdTrp3!Q77=3,2,0)))</f>
        <v>0</v>
      </c>
      <c r="DU49" s="219">
        <f>IF(CdTrp3!R77=1,1,IF(CdTrp3!R77=2,2,IF(CdTrp3!R77=3,2,0)))</f>
        <v>0</v>
      </c>
      <c r="DV49" s="219">
        <f>IF(CdTrp3!S77=1,1,IF(CdTrp3!S77=2,2,IF(CdTrp3!S77=3,2,0)))</f>
        <v>0</v>
      </c>
      <c r="DW49" s="219">
        <f>IF(CdTrp3!T77=1,1,IF(CdTrp3!T77=2,2,IF(CdTrp3!T77=3,2,0)))</f>
        <v>0</v>
      </c>
      <c r="DX49" s="219">
        <f>IF(CdTrp3!U77=1,1,IF(CdTrp3!U77=2,2,IF(CdTrp3!U77=3,2,0)))</f>
        <v>0</v>
      </c>
      <c r="DY49" s="219">
        <f>IF(CdTrp3!V77=1,1,IF(CdTrp3!V77=2,2,IF(CdTrp3!V77=3,2,0)))</f>
        <v>0</v>
      </c>
      <c r="DZ49" s="219">
        <f>IF(CdTrp3!W77=1,1,IF(CdTrp3!W77=2,2,IF(CdTrp3!W77=3,2,0)))</f>
        <v>0</v>
      </c>
      <c r="EA49" s="219">
        <f>IF(CdTrp3!X77=1,1,IF(CdTrp3!X77=2,2,IF(CdTrp3!X77=3,2,0)))</f>
        <v>0</v>
      </c>
      <c r="EB49" s="219">
        <f>IF(CdTrp3!Y77=1,1,IF(CdTrp3!Y77=2,2,IF(CdTrp3!Y77=3,2,0)))</f>
        <v>0</v>
      </c>
      <c r="EC49" s="219">
        <f>CdTrp4!R41</f>
        <v>0</v>
      </c>
      <c r="ED49" s="219">
        <f>CdTrp4!S41</f>
        <v>0</v>
      </c>
      <c r="EE49" s="219">
        <f>CdTrp4!T41</f>
        <v>0</v>
      </c>
      <c r="EF49" s="219">
        <f>CdTrp4!U41</f>
        <v>0</v>
      </c>
      <c r="EG49" s="219">
        <f>CdTrp4!V41</f>
        <v>0</v>
      </c>
      <c r="EH49" s="219">
        <f>CdTrp4!W41</f>
        <v>0</v>
      </c>
      <c r="EI49" s="219">
        <f>CdTrp4!X41</f>
        <v>0</v>
      </c>
      <c r="EJ49" s="219">
        <f>CdTrp4!Y41</f>
        <v>0</v>
      </c>
    </row>
    <row r="50" spans="1:143" x14ac:dyDescent="0.25">
      <c r="A50" s="5"/>
      <c r="B50" s="5"/>
      <c r="C50" s="5"/>
      <c r="D50" s="5"/>
      <c r="Q50" t="s">
        <v>577</v>
      </c>
      <c r="R50" t="str">
        <f>Troupeau!B3</f>
        <v>OL</v>
      </c>
      <c r="S50" s="30">
        <f>Scénario!K54*Scénario!K55+Scénario!K76*Scénario!K77</f>
        <v>0</v>
      </c>
      <c r="X50" s="216" t="s">
        <v>997</v>
      </c>
      <c r="Y50" s="219">
        <f>IF(Troupeau!B$3="OV",Troupeau!B$49,0)</f>
        <v>0</v>
      </c>
      <c r="Z50" s="219">
        <f>IF(Troupeau!C$3="OV",Troupeau!C$49,0)</f>
        <v>0</v>
      </c>
      <c r="AA50" s="219">
        <f>IF(Troupeau!D$3="OV",Troupeau!D$49,0)</f>
        <v>0</v>
      </c>
      <c r="AB50" s="219">
        <f>IF(Troupeau!E$3="OV",Troupeau!E$49,0)</f>
        <v>0</v>
      </c>
      <c r="AC50" s="219">
        <f>SUM(Y50:AB50)</f>
        <v>0</v>
      </c>
      <c r="AD50" s="215"/>
      <c r="AE50" s="215"/>
      <c r="AF50" s="215"/>
      <c r="AG50" s="215" t="str">
        <f>CdTrp1!A42</f>
        <v>Lot des tardives</v>
      </c>
      <c r="AH50" s="219">
        <f>CdTrp1!B42</f>
        <v>6.7893333333333334</v>
      </c>
      <c r="AI50" s="219">
        <f>CdTrp1!C42</f>
        <v>5.9853333333333341</v>
      </c>
      <c r="AJ50" s="219">
        <f>CdTrp1!D42</f>
        <v>5.1813333333333347</v>
      </c>
      <c r="AK50" s="219">
        <f>CdTrp1!E42</f>
        <v>4.3773333333333335</v>
      </c>
      <c r="AL50" s="219">
        <f>CdTrp1!F42</f>
        <v>3.5733333333333337</v>
      </c>
      <c r="AM50" s="219">
        <f>CdTrp1!G42</f>
        <v>2.7693333333333339</v>
      </c>
      <c r="AN50" s="219">
        <f>CdTrp1!H42</f>
        <v>1.9653333333333336</v>
      </c>
      <c r="AO50" s="219">
        <f>CdTrp1!I42</f>
        <v>1.1613333333333336</v>
      </c>
      <c r="AP50" s="219">
        <f>CdTrp1!J42</f>
        <v>0.35733333333333334</v>
      </c>
      <c r="AQ50" s="219">
        <f>CdTrp1!K42</f>
        <v>0</v>
      </c>
      <c r="AR50" s="219">
        <f>CdTrp1!L42</f>
        <v>0</v>
      </c>
      <c r="AS50" s="219">
        <f>CdTrp1!M42</f>
        <v>0</v>
      </c>
      <c r="AT50" s="219">
        <f>CdTrp1!N42</f>
        <v>0</v>
      </c>
      <c r="AU50" s="219">
        <f>CdTrp1!O42</f>
        <v>0</v>
      </c>
      <c r="AV50" s="219">
        <f>IF(CdTrp1!B78=1,1,IF(CdTrp1!B78=2,2,IF(CdTrp1!B78=3,2,0)))</f>
        <v>1</v>
      </c>
      <c r="AW50" s="219">
        <f>IF(CdTrp1!C78=1,1,IF(CdTrp1!C78=2,2,IF(CdTrp1!C78=3,2,0)))</f>
        <v>1</v>
      </c>
      <c r="AX50" s="219">
        <f>IF(CdTrp1!D78=1,1,IF(CdTrp1!D78=2,2,IF(CdTrp1!D78=3,2,0)))</f>
        <v>1</v>
      </c>
      <c r="AY50" s="219">
        <f>IF(CdTrp1!E78=1,1,IF(CdTrp1!E78=2,2,IF(CdTrp1!E78=3,2,0)))</f>
        <v>1</v>
      </c>
      <c r="AZ50" s="219">
        <f>IF(CdTrp1!F78=1,1,IF(CdTrp1!F78=2,2,IF(CdTrp1!F78=3,2,0)))</f>
        <v>1</v>
      </c>
      <c r="BA50" s="219">
        <f>IF(CdTrp1!G78=1,1,IF(CdTrp1!G78=2,2,IF(CdTrp1!G78=3,2,0)))</f>
        <v>1</v>
      </c>
      <c r="BB50" s="219">
        <f>IF(CdTrp1!H78=1,1,IF(CdTrp1!H78=2,2,IF(CdTrp1!H78=3,2,0)))</f>
        <v>1</v>
      </c>
      <c r="BC50" s="219">
        <f>IF(CdTrp1!I78=1,1,IF(CdTrp1!I78=2,2,IF(CdTrp1!I78=3,2,0)))</f>
        <v>1</v>
      </c>
      <c r="BD50" s="219">
        <f>IF(CdTrp1!J78=1,1,IF(CdTrp1!J78=2,2,IF(CdTrp1!J78=3,2,0)))</f>
        <v>1</v>
      </c>
      <c r="BE50" s="219">
        <f>IF(CdTrp1!K78=1,1,IF(CdTrp1!K78=2,2,IF(CdTrp1!K78=3,2,0)))</f>
        <v>1</v>
      </c>
      <c r="BF50" s="219">
        <f>IF(CdTrp1!L78=1,1,IF(CdTrp1!L78=2,2,IF(CdTrp1!L78=3,2,0)))</f>
        <v>0</v>
      </c>
      <c r="BG50" s="219">
        <f>IF(CdTrp1!M78=1,1,IF(CdTrp1!M78=2,2,IF(CdTrp1!M78=3,2,0)))</f>
        <v>0</v>
      </c>
      <c r="BH50" s="219">
        <f>IF(CdTrp1!N78=1,1,IF(CdTrp1!N78=2,2,IF(CdTrp1!N78=3,2,0)))</f>
        <v>0</v>
      </c>
      <c r="BI50" s="219">
        <f>IF(CdTrp1!O78=1,1,IF(CdTrp1!O78=2,2,IF(CdTrp1!O78=3,2,0)))</f>
        <v>0</v>
      </c>
      <c r="BJ50" s="219">
        <f>IF(CdTrp1!P78=1,1,IF(CdTrp1!P78=2,2,IF(CdTrp1!P78=3,2,0)))</f>
        <v>0</v>
      </c>
      <c r="BK50" s="219">
        <f>IF(CdTrp1!Q78=1,1,IF(CdTrp1!Q78=2,2,IF(CdTrp1!Q78=3,2,0)))</f>
        <v>0</v>
      </c>
      <c r="BL50" s="219">
        <f>IF(CdTrp1!R78=1,1,IF(CdTrp1!R78=2,2,IF(CdTrp1!R78=3,2,0)))</f>
        <v>0</v>
      </c>
      <c r="BM50" s="219">
        <f>IF(CdTrp1!S78=1,1,IF(CdTrp1!S78=2,2,IF(CdTrp1!S78=3,2,0)))</f>
        <v>0</v>
      </c>
      <c r="BN50" s="219">
        <f>IF(CdTrp1!T78=1,1,IF(CdTrp1!T78=2,2,IF(CdTrp1!T78=3,2,0)))</f>
        <v>0</v>
      </c>
      <c r="BO50" s="219">
        <f>IF(CdTrp1!U78=1,1,IF(CdTrp1!U78=2,2,IF(CdTrp1!U78=3,2,0)))</f>
        <v>0</v>
      </c>
      <c r="BP50" s="219">
        <f>IF(CdTrp1!V78=1,1,IF(CdTrp1!V78=2,2,IF(CdTrp1!V78=3,2,0)))</f>
        <v>2</v>
      </c>
      <c r="BQ50" s="219">
        <f>IF(CdTrp1!W78=1,1,IF(CdTrp1!W78=2,2,IF(CdTrp1!W78=3,2,0)))</f>
        <v>2</v>
      </c>
      <c r="BR50" s="219">
        <f>IF(CdTrp1!X78=1,1,IF(CdTrp1!X78=2,2,IF(CdTrp1!X78=3,2,0)))</f>
        <v>2</v>
      </c>
      <c r="BS50" s="219">
        <f>IF(CdTrp1!Y78=1,1,IF(CdTrp1!Y78=2,2,IF(CdTrp1!Y78=3,2,0)))</f>
        <v>2</v>
      </c>
      <c r="BT50" s="215">
        <f>CdTrp2!M42</f>
        <v>0</v>
      </c>
      <c r="BU50" s="215">
        <f>CdTrp2!N42</f>
        <v>0</v>
      </c>
      <c r="BV50" s="215">
        <f>CdTrp2!O42</f>
        <v>0</v>
      </c>
      <c r="BW50" s="215">
        <f>CdTrp2!P42</f>
        <v>0</v>
      </c>
      <c r="BX50" s="215">
        <f>CdTrp2!Q42</f>
        <v>0</v>
      </c>
      <c r="BY50" s="215">
        <f>CdTrp2!R42</f>
        <v>0</v>
      </c>
      <c r="BZ50" s="215">
        <f>CdTrp2!S42</f>
        <v>0</v>
      </c>
      <c r="CA50" s="215">
        <f>CdTrp2!T42</f>
        <v>0</v>
      </c>
      <c r="CB50" s="215">
        <f>IF(CdTrp2!B78=1,1,IF(CdTrp2!B78=2,2,IF(CdTrp2!B78=3,2,0)))</f>
        <v>0</v>
      </c>
      <c r="CC50" s="215">
        <f>IF(CdTrp2!C78=1,1,IF(CdTrp2!C78=2,2,IF(CdTrp2!C78=3,2,0)))</f>
        <v>0</v>
      </c>
      <c r="CD50" s="215">
        <f>IF(CdTrp2!D78=1,1,IF(CdTrp2!D78=2,2,IF(CdTrp2!D78=3,2,0)))</f>
        <v>0</v>
      </c>
      <c r="CE50" s="215">
        <f>IF(CdTrp2!E78=1,1,IF(CdTrp2!E78=2,2,IF(CdTrp2!E78=3,2,0)))</f>
        <v>0</v>
      </c>
      <c r="CF50" s="215">
        <f>IF(CdTrp2!F78=1,1,IF(CdTrp2!F78=2,2,IF(CdTrp2!F78=3,2,0)))</f>
        <v>0</v>
      </c>
      <c r="CG50" s="215">
        <f>IF(CdTrp2!G78=1,1,IF(CdTrp2!G78=2,2,IF(CdTrp2!G78=3,2,0)))</f>
        <v>0</v>
      </c>
      <c r="CH50" s="215">
        <f>IF(CdTrp2!H78=1,1,IF(CdTrp2!H78=2,2,IF(CdTrp2!H78=3,2,0)))</f>
        <v>0</v>
      </c>
      <c r="CI50" s="215">
        <f>IF(CdTrp2!I78=1,1,IF(CdTrp2!I78=2,2,IF(CdTrp2!I78=3,2,0)))</f>
        <v>0</v>
      </c>
      <c r="CJ50" s="215">
        <f>IF(CdTrp2!J78=1,1,IF(CdTrp2!J78=2,2,IF(CdTrp2!J78=3,2,0)))</f>
        <v>0</v>
      </c>
      <c r="CK50" s="215">
        <f>IF(CdTrp2!K78=1,1,IF(CdTrp2!K78=2,2,IF(CdTrp2!K78=3,2,0)))</f>
        <v>0</v>
      </c>
      <c r="CL50" s="215">
        <f>IF(CdTrp2!L78=1,1,IF(CdTrp2!L78=2,2,IF(CdTrp2!L78=3,2,0)))</f>
        <v>0</v>
      </c>
      <c r="CM50" s="215">
        <f>IF(CdTrp2!M78=1,1,IF(CdTrp2!M78=2,2,IF(CdTrp2!M78=3,2,0)))</f>
        <v>0</v>
      </c>
      <c r="CN50" s="215">
        <f>IF(CdTrp2!N78=1,1,IF(CdTrp2!N78=2,2,IF(CdTrp2!N78=3,2,0)))</f>
        <v>0</v>
      </c>
      <c r="CO50" s="215">
        <f>IF(CdTrp2!O78=1,1,IF(CdTrp2!O78=2,2,IF(CdTrp2!O78=3,2,0)))</f>
        <v>0</v>
      </c>
      <c r="CP50" s="215">
        <f>IF(CdTrp2!P78=1,1,IF(CdTrp2!P78=2,2,IF(CdTrp2!P78=3,2,0)))</f>
        <v>0</v>
      </c>
      <c r="CQ50" s="215">
        <f>IF(CdTrp2!Q78=1,1,IF(CdTrp2!Q78=2,2,IF(CdTrp2!Q78=3,2,0)))</f>
        <v>0</v>
      </c>
      <c r="CR50" s="215">
        <f>IF(CdTrp2!R78=1,1,IF(CdTrp2!R78=2,2,IF(CdTrp2!R78=3,2,0)))</f>
        <v>0</v>
      </c>
      <c r="CS50" s="215">
        <f>IF(CdTrp2!S78=1,1,IF(CdTrp2!S78=2,2,IF(CdTrp2!S78=3,2,0)))</f>
        <v>0</v>
      </c>
      <c r="CT50" s="215">
        <f>IF(CdTrp2!T78=1,1,IF(CdTrp2!T78=2,2,IF(CdTrp2!T78=3,2,0)))</f>
        <v>0</v>
      </c>
      <c r="CU50" s="215">
        <f>IF(CdTrp2!U78=1,1,IF(CdTrp2!U78=2,2,IF(CdTrp2!U78=3,2,0)))</f>
        <v>0</v>
      </c>
      <c r="CV50" s="215">
        <f>IF(CdTrp2!V78=1,1,IF(CdTrp2!V78=2,2,IF(CdTrp2!V78=3,2,0)))</f>
        <v>0</v>
      </c>
      <c r="CW50" s="215">
        <f>IF(CdTrp2!W78=1,1,IF(CdTrp2!W78=2,2,IF(CdTrp2!W78=3,2,0)))</f>
        <v>0</v>
      </c>
      <c r="CX50" s="215">
        <f>IF(CdTrp2!X78=1,1,IF(CdTrp2!X78=2,2,IF(CdTrp2!X78=3,2,0)))</f>
        <v>0</v>
      </c>
      <c r="CY50" s="215">
        <f>IF(CdTrp2!Y78=1,1,IF(CdTrp2!Y78=2,2,IF(CdTrp2!Y78=3,2,0)))</f>
        <v>0</v>
      </c>
      <c r="CZ50" s="219">
        <f>CdTrp3!Q42</f>
        <v>0</v>
      </c>
      <c r="DA50" s="219">
        <f>CdTrp3!R42</f>
        <v>0</v>
      </c>
      <c r="DB50" s="219">
        <f>CdTrp3!S42</f>
        <v>0</v>
      </c>
      <c r="DC50" s="219">
        <f>CdTrp3!T42</f>
        <v>0</v>
      </c>
      <c r="DD50" s="219">
        <f>CdTrp3!U42</f>
        <v>0</v>
      </c>
      <c r="DE50" s="219">
        <f>IF(CdTrp3!B78=1,1,IF(CdTrp3!B78=2,2,IF(CdTrp3!B78=3,2,0)))</f>
        <v>0</v>
      </c>
      <c r="DF50" s="219">
        <f>IF(CdTrp3!C78=1,1,IF(CdTrp3!C78=2,2,IF(CdTrp3!C78=3,2,0)))</f>
        <v>0</v>
      </c>
      <c r="DG50" s="219">
        <f>IF(CdTrp3!D78=1,1,IF(CdTrp3!D78=2,2,IF(CdTrp3!D78=3,2,0)))</f>
        <v>0</v>
      </c>
      <c r="DH50" s="219">
        <f>IF(CdTrp3!E78=1,1,IF(CdTrp3!E78=2,2,IF(CdTrp3!E78=3,2,0)))</f>
        <v>0</v>
      </c>
      <c r="DI50" s="219">
        <f>IF(CdTrp3!F78=1,1,IF(CdTrp3!F78=2,2,IF(CdTrp3!F78=3,2,0)))</f>
        <v>0</v>
      </c>
      <c r="DJ50" s="219">
        <f>IF(CdTrp3!G78=1,1,IF(CdTrp3!G78=2,2,IF(CdTrp3!G78=3,2,0)))</f>
        <v>0</v>
      </c>
      <c r="DK50" s="219">
        <f>IF(CdTrp3!H78=1,1,IF(CdTrp3!H78=2,2,IF(CdTrp3!H78=3,2,0)))</f>
        <v>0</v>
      </c>
      <c r="DL50" s="219">
        <f>IF(CdTrp3!I78=1,1,IF(CdTrp3!I78=2,2,IF(CdTrp3!I78=3,2,0)))</f>
        <v>0</v>
      </c>
      <c r="DM50" s="219">
        <f>IF(CdTrp3!J78=1,1,IF(CdTrp3!J78=2,2,IF(CdTrp3!J78=3,2,0)))</f>
        <v>0</v>
      </c>
      <c r="DN50" s="219">
        <f>IF(CdTrp3!K78=1,1,IF(CdTrp3!K78=2,2,IF(CdTrp3!K78=3,2,0)))</f>
        <v>0</v>
      </c>
      <c r="DO50" s="219">
        <f>IF(CdTrp3!L78=1,1,IF(CdTrp3!L78=2,2,IF(CdTrp3!L78=3,2,0)))</f>
        <v>0</v>
      </c>
      <c r="DP50" s="219">
        <f>IF(CdTrp3!M78=1,1,IF(CdTrp3!M78=2,2,IF(CdTrp3!M78=3,2,0)))</f>
        <v>0</v>
      </c>
      <c r="DQ50" s="219">
        <f>IF(CdTrp3!N78=1,1,IF(CdTrp3!N78=2,2,IF(CdTrp3!N78=3,2,0)))</f>
        <v>0</v>
      </c>
      <c r="DR50" s="219">
        <f>IF(CdTrp3!O78=1,1,IF(CdTrp3!O78=2,2,IF(CdTrp3!O78=3,2,0)))</f>
        <v>0</v>
      </c>
      <c r="DS50" s="219">
        <f>IF(CdTrp3!P78=1,1,IF(CdTrp3!P78=2,2,IF(CdTrp3!P78=3,2,0)))</f>
        <v>0</v>
      </c>
      <c r="DT50" s="219">
        <f>IF(CdTrp3!Q78=1,1,IF(CdTrp3!Q78=2,2,IF(CdTrp3!Q78=3,2,0)))</f>
        <v>0</v>
      </c>
      <c r="DU50" s="219">
        <f>IF(CdTrp3!R78=1,1,IF(CdTrp3!R78=2,2,IF(CdTrp3!R78=3,2,0)))</f>
        <v>0</v>
      </c>
      <c r="DV50" s="219">
        <f>IF(CdTrp3!S78=1,1,IF(CdTrp3!S78=2,2,IF(CdTrp3!S78=3,2,0)))</f>
        <v>0</v>
      </c>
      <c r="DW50" s="219">
        <f>IF(CdTrp3!T78=1,1,IF(CdTrp3!T78=2,2,IF(CdTrp3!T78=3,2,0)))</f>
        <v>0</v>
      </c>
      <c r="DX50" s="219">
        <f>IF(CdTrp3!U78=1,1,IF(CdTrp3!U78=2,2,IF(CdTrp3!U78=3,2,0)))</f>
        <v>0</v>
      </c>
      <c r="DY50" s="219">
        <f>IF(CdTrp3!V78=1,1,IF(CdTrp3!V78=2,2,IF(CdTrp3!V78=3,2,0)))</f>
        <v>0</v>
      </c>
      <c r="DZ50" s="219">
        <f>IF(CdTrp3!W78=1,1,IF(CdTrp3!W78=2,2,IF(CdTrp3!W78=3,2,0)))</f>
        <v>0</v>
      </c>
      <c r="EA50" s="219">
        <f>IF(CdTrp3!X78=1,1,IF(CdTrp3!X78=2,2,IF(CdTrp3!X78=3,2,0)))</f>
        <v>0</v>
      </c>
      <c r="EB50" s="219">
        <f>IF(CdTrp3!Y78=1,1,IF(CdTrp3!Y78=2,2,IF(CdTrp3!Y78=3,2,0)))</f>
        <v>0</v>
      </c>
      <c r="EC50" s="219">
        <f>CdTrp4!R42</f>
        <v>0</v>
      </c>
      <c r="ED50" s="219">
        <f>CdTrp4!S42</f>
        <v>0</v>
      </c>
      <c r="EE50" s="219">
        <f>CdTrp4!T42</f>
        <v>0</v>
      </c>
      <c r="EF50" s="219">
        <f>CdTrp4!U42</f>
        <v>0</v>
      </c>
      <c r="EG50" s="219">
        <f>CdTrp4!V42</f>
        <v>0</v>
      </c>
      <c r="EH50" s="219">
        <f>CdTrp4!W42</f>
        <v>0</v>
      </c>
      <c r="EI50" s="219">
        <f>CdTrp4!X42</f>
        <v>0</v>
      </c>
      <c r="EJ50" s="219">
        <f>CdTrp4!Y42</f>
        <v>0</v>
      </c>
    </row>
    <row r="51" spans="1:143" x14ac:dyDescent="0.25">
      <c r="A51" s="5"/>
      <c r="B51" s="5"/>
      <c r="C51" s="5"/>
      <c r="D51" s="5"/>
      <c r="P51" s="221"/>
      <c r="Q51" s="221" t="s">
        <v>591</v>
      </c>
      <c r="R51" s="221">
        <f>Troupeau!C3</f>
        <v>0</v>
      </c>
      <c r="S51" s="48">
        <f>Scénario!K61*Scénario!K62+Scénario!K79*Scénario!K80</f>
        <v>0</v>
      </c>
      <c r="T51" s="221"/>
      <c r="U51" s="221"/>
      <c r="V51" s="221"/>
      <c r="W51" s="221"/>
      <c r="X51" s="216" t="s">
        <v>999</v>
      </c>
      <c r="Y51" s="219">
        <f>IF(Troupeau!B$3="CP",Troupeau!B$49,0)</f>
        <v>0</v>
      </c>
      <c r="Z51" s="219">
        <f>IF(Troupeau!C$3="CP",Troupeau!C$49,0)</f>
        <v>0</v>
      </c>
      <c r="AA51" s="219">
        <f>IF(Troupeau!D$3="CP",Troupeau!D$49,0)</f>
        <v>0</v>
      </c>
      <c r="AB51" s="219">
        <f>IF(Troupeau!E$3="CP",Troupeau!E$49,0)</f>
        <v>0</v>
      </c>
      <c r="AC51" s="219">
        <f>SUM(Y51:AB51)</f>
        <v>0</v>
      </c>
      <c r="AD51" s="215"/>
      <c r="AE51" s="215"/>
      <c r="AF51" s="215"/>
      <c r="AG51" s="272" t="str">
        <f>CdTrp1!A43</f>
        <v>Lot des agnelles</v>
      </c>
      <c r="AH51" s="219">
        <f>CdTrp1!B43</f>
        <v>1.8224</v>
      </c>
      <c r="AI51" s="219">
        <f>CdTrp1!C43</f>
        <v>1.8224</v>
      </c>
      <c r="AJ51" s="219">
        <f>CdTrp1!D43</f>
        <v>4.5560000000000009</v>
      </c>
      <c r="AK51" s="219">
        <f>CdTrp1!E43</f>
        <v>4.5560000000000009</v>
      </c>
      <c r="AL51" s="219">
        <f>CdTrp1!F43</f>
        <v>4.5560000000000009</v>
      </c>
      <c r="AM51" s="219">
        <f>CdTrp1!G43</f>
        <v>4.5560000000000009</v>
      </c>
      <c r="AN51" s="219">
        <f>CdTrp1!H43</f>
        <v>4.5560000000000009</v>
      </c>
      <c r="AO51" s="219">
        <f>CdTrp1!I43</f>
        <v>4.5560000000000009</v>
      </c>
      <c r="AP51" s="219">
        <f>CdTrp1!J43</f>
        <v>4.5560000000000009</v>
      </c>
      <c r="AQ51" s="219">
        <f>CdTrp1!K43</f>
        <v>4.5560000000000009</v>
      </c>
      <c r="AR51" s="219">
        <f>CdTrp1!L43</f>
        <v>4.5560000000000009</v>
      </c>
      <c r="AS51" s="219">
        <f>CdTrp1!M43</f>
        <v>4.5560000000000009</v>
      </c>
      <c r="AT51" s="219">
        <f>CdTrp1!N43</f>
        <v>4.5560000000000009</v>
      </c>
      <c r="AU51" s="219">
        <f>CdTrp1!O43</f>
        <v>9.1120000000000019</v>
      </c>
      <c r="AV51" s="219">
        <f>IF(CdTrp1!B79=1,1,IF(CdTrp1!B79=2,2,IF(CdTrp1!B79=3,2,0)))</f>
        <v>1</v>
      </c>
      <c r="AW51" s="219">
        <f>IF(CdTrp1!C79=1,1,IF(CdTrp1!C79=2,2,IF(CdTrp1!C79=3,2,0)))</f>
        <v>1</v>
      </c>
      <c r="AX51" s="219">
        <f>IF(CdTrp1!D79=1,1,IF(CdTrp1!D79=2,2,IF(CdTrp1!D79=3,2,0)))</f>
        <v>1</v>
      </c>
      <c r="AY51" s="219">
        <f>IF(CdTrp1!E79=1,1,IF(CdTrp1!E79=2,2,IF(CdTrp1!E79=3,2,0)))</f>
        <v>1</v>
      </c>
      <c r="AZ51" s="219">
        <f>IF(CdTrp1!F79=1,1,IF(CdTrp1!F79=2,2,IF(CdTrp1!F79=3,2,0)))</f>
        <v>1</v>
      </c>
      <c r="BA51" s="219">
        <f>IF(CdTrp1!G79=1,1,IF(CdTrp1!G79=2,2,IF(CdTrp1!G79=3,2,0)))</f>
        <v>1</v>
      </c>
      <c r="BB51" s="219">
        <f>IF(CdTrp1!H79=1,1,IF(CdTrp1!H79=2,2,IF(CdTrp1!H79=3,2,0)))</f>
        <v>1</v>
      </c>
      <c r="BC51" s="219">
        <f>IF(CdTrp1!I79=1,1,IF(CdTrp1!I79=2,2,IF(CdTrp1!I79=3,2,0)))</f>
        <v>1</v>
      </c>
      <c r="BD51" s="219">
        <f>IF(CdTrp1!J79=1,1,IF(CdTrp1!J79=2,2,IF(CdTrp1!J79=3,2,0)))</f>
        <v>1</v>
      </c>
      <c r="BE51" s="219">
        <f>IF(CdTrp1!K79=1,1,IF(CdTrp1!K79=2,2,IF(CdTrp1!K79=3,2,0)))</f>
        <v>1</v>
      </c>
      <c r="BF51" s="219">
        <f>IF(CdTrp1!L79=1,1,IF(CdTrp1!L79=2,2,IF(CdTrp1!L79=3,2,0)))</f>
        <v>0</v>
      </c>
      <c r="BG51" s="219">
        <f>IF(CdTrp1!M79=1,1,IF(CdTrp1!M79=2,2,IF(CdTrp1!M79=3,2,0)))</f>
        <v>0</v>
      </c>
      <c r="BH51" s="219">
        <f>IF(CdTrp1!N79=1,1,IF(CdTrp1!N79=2,2,IF(CdTrp1!N79=3,2,0)))</f>
        <v>0</v>
      </c>
      <c r="BI51" s="219">
        <f>IF(CdTrp1!O79=1,1,IF(CdTrp1!O79=2,2,IF(CdTrp1!O79=3,2,0)))</f>
        <v>0</v>
      </c>
      <c r="BJ51" s="219">
        <f>IF(CdTrp1!P79=1,1,IF(CdTrp1!P79=2,2,IF(CdTrp1!P79=3,2,0)))</f>
        <v>0</v>
      </c>
      <c r="BK51" s="219">
        <f>IF(CdTrp1!Q79=1,1,IF(CdTrp1!Q79=2,2,IF(CdTrp1!Q79=3,2,0)))</f>
        <v>0</v>
      </c>
      <c r="BL51" s="219">
        <f>IF(CdTrp1!R79=1,1,IF(CdTrp1!R79=2,2,IF(CdTrp1!R79=3,2,0)))</f>
        <v>0</v>
      </c>
      <c r="BM51" s="219">
        <f>IF(CdTrp1!S79=1,1,IF(CdTrp1!S79=2,2,IF(CdTrp1!S79=3,2,0)))</f>
        <v>0</v>
      </c>
      <c r="BN51" s="219">
        <f>IF(CdTrp1!T79=1,1,IF(CdTrp1!T79=2,2,IF(CdTrp1!T79=3,2,0)))</f>
        <v>0</v>
      </c>
      <c r="BO51" s="219">
        <f>IF(CdTrp1!U79=1,1,IF(CdTrp1!U79=2,2,IF(CdTrp1!U79=3,2,0)))</f>
        <v>0</v>
      </c>
      <c r="BP51" s="219">
        <f>IF(CdTrp1!V79=1,1,IF(CdTrp1!V79=2,2,IF(CdTrp1!V79=3,2,0)))</f>
        <v>0</v>
      </c>
      <c r="BQ51" s="219">
        <f>IF(CdTrp1!W79=1,1,IF(CdTrp1!W79=2,2,IF(CdTrp1!W79=3,2,0)))</f>
        <v>0</v>
      </c>
      <c r="BR51" s="219">
        <f>IF(CdTrp1!X79=1,1,IF(CdTrp1!X79=2,2,IF(CdTrp1!X79=3,2,0)))</f>
        <v>1</v>
      </c>
      <c r="BS51" s="219">
        <f>IF(CdTrp1!Y79=1,1,IF(CdTrp1!Y79=2,2,IF(CdTrp1!Y79=3,2,0)))</f>
        <v>1</v>
      </c>
      <c r="BT51" s="215">
        <f>CdTrp2!M43</f>
        <v>0</v>
      </c>
      <c r="BU51" s="215">
        <f>CdTrp2!N43</f>
        <v>0</v>
      </c>
      <c r="BV51" s="215">
        <f>CdTrp2!O43</f>
        <v>0</v>
      </c>
      <c r="BW51" s="215">
        <f>CdTrp2!P43</f>
        <v>0</v>
      </c>
      <c r="BX51" s="215">
        <f>CdTrp2!Q43</f>
        <v>0</v>
      </c>
      <c r="BY51" s="215">
        <f>CdTrp2!R43</f>
        <v>0</v>
      </c>
      <c r="BZ51" s="215">
        <f>CdTrp2!S43</f>
        <v>0</v>
      </c>
      <c r="CA51" s="215">
        <f>CdTrp2!T43</f>
        <v>0</v>
      </c>
      <c r="CB51" s="215">
        <f>IF(CdTrp2!B79=1,1,IF(CdTrp2!B79=2,2,IF(CdTrp2!B79=3,2,0)))</f>
        <v>0</v>
      </c>
      <c r="CC51" s="215">
        <f>IF(CdTrp2!C79=1,1,IF(CdTrp2!C79=2,2,IF(CdTrp2!C79=3,2,0)))</f>
        <v>0</v>
      </c>
      <c r="CD51" s="215">
        <f>IF(CdTrp2!D79=1,1,IF(CdTrp2!D79=2,2,IF(CdTrp2!D79=3,2,0)))</f>
        <v>0</v>
      </c>
      <c r="CE51" s="215">
        <f>IF(CdTrp2!E79=1,1,IF(CdTrp2!E79=2,2,IF(CdTrp2!E79=3,2,0)))</f>
        <v>0</v>
      </c>
      <c r="CF51" s="215">
        <f>IF(CdTrp2!F79=1,1,IF(CdTrp2!F79=2,2,IF(CdTrp2!F79=3,2,0)))</f>
        <v>0</v>
      </c>
      <c r="CG51" s="215">
        <f>IF(CdTrp2!G79=1,1,IF(CdTrp2!G79=2,2,IF(CdTrp2!G79=3,2,0)))</f>
        <v>0</v>
      </c>
      <c r="CH51" s="215">
        <f>IF(CdTrp2!H79=1,1,IF(CdTrp2!H79=2,2,IF(CdTrp2!H79=3,2,0)))</f>
        <v>0</v>
      </c>
      <c r="CI51" s="215">
        <f>IF(CdTrp2!I79=1,1,IF(CdTrp2!I79=2,2,IF(CdTrp2!I79=3,2,0)))</f>
        <v>0</v>
      </c>
      <c r="CJ51" s="215">
        <f>IF(CdTrp2!J79=1,1,IF(CdTrp2!J79=2,2,IF(CdTrp2!J79=3,2,0)))</f>
        <v>0</v>
      </c>
      <c r="CK51" s="215">
        <f>IF(CdTrp2!K79=1,1,IF(CdTrp2!K79=2,2,IF(CdTrp2!K79=3,2,0)))</f>
        <v>0</v>
      </c>
      <c r="CL51" s="215">
        <f>IF(CdTrp2!L79=1,1,IF(CdTrp2!L79=2,2,IF(CdTrp2!L79=3,2,0)))</f>
        <v>0</v>
      </c>
      <c r="CM51" s="215">
        <f>IF(CdTrp2!M79=1,1,IF(CdTrp2!M79=2,2,IF(CdTrp2!M79=3,2,0)))</f>
        <v>0</v>
      </c>
      <c r="CN51" s="215">
        <f>IF(CdTrp2!N79=1,1,IF(CdTrp2!N79=2,2,IF(CdTrp2!N79=3,2,0)))</f>
        <v>0</v>
      </c>
      <c r="CO51" s="215">
        <f>IF(CdTrp2!O79=1,1,IF(CdTrp2!O79=2,2,IF(CdTrp2!O79=3,2,0)))</f>
        <v>0</v>
      </c>
      <c r="CP51" s="215">
        <f>IF(CdTrp2!P79=1,1,IF(CdTrp2!P79=2,2,IF(CdTrp2!P79=3,2,0)))</f>
        <v>0</v>
      </c>
      <c r="CQ51" s="215">
        <f>IF(CdTrp2!Q79=1,1,IF(CdTrp2!Q79=2,2,IF(CdTrp2!Q79=3,2,0)))</f>
        <v>0</v>
      </c>
      <c r="CR51" s="215">
        <f>IF(CdTrp2!R79=1,1,IF(CdTrp2!R79=2,2,IF(CdTrp2!R79=3,2,0)))</f>
        <v>0</v>
      </c>
      <c r="CS51" s="215">
        <f>IF(CdTrp2!S79=1,1,IF(CdTrp2!S79=2,2,IF(CdTrp2!S79=3,2,0)))</f>
        <v>0</v>
      </c>
      <c r="CT51" s="215">
        <f>IF(CdTrp2!T79=1,1,IF(CdTrp2!T79=2,2,IF(CdTrp2!T79=3,2,0)))</f>
        <v>0</v>
      </c>
      <c r="CU51" s="215">
        <f>IF(CdTrp2!U79=1,1,IF(CdTrp2!U79=2,2,IF(CdTrp2!U79=3,2,0)))</f>
        <v>0</v>
      </c>
      <c r="CV51" s="215">
        <f>IF(CdTrp2!V79=1,1,IF(CdTrp2!V79=2,2,IF(CdTrp2!V79=3,2,0)))</f>
        <v>0</v>
      </c>
      <c r="CW51" s="215">
        <f>IF(CdTrp2!W79=1,1,IF(CdTrp2!W79=2,2,IF(CdTrp2!W79=3,2,0)))</f>
        <v>0</v>
      </c>
      <c r="CX51" s="215">
        <f>IF(CdTrp2!X79=1,1,IF(CdTrp2!X79=2,2,IF(CdTrp2!X79=3,2,0)))</f>
        <v>0</v>
      </c>
      <c r="CY51" s="215">
        <f>IF(CdTrp2!Y79=1,1,IF(CdTrp2!Y79=2,2,IF(CdTrp2!Y79=3,2,0)))</f>
        <v>0</v>
      </c>
      <c r="CZ51" s="219">
        <f>CdTrp3!Q43</f>
        <v>0</v>
      </c>
      <c r="DA51" s="219">
        <f>CdTrp3!R43</f>
        <v>0</v>
      </c>
      <c r="DB51" s="219">
        <f>CdTrp3!S43</f>
        <v>0</v>
      </c>
      <c r="DC51" s="219">
        <f>CdTrp3!T43</f>
        <v>0</v>
      </c>
      <c r="DD51" s="219">
        <f>CdTrp3!U43</f>
        <v>0</v>
      </c>
      <c r="DE51" s="219">
        <f>IF(CdTrp3!B79=1,1,IF(CdTrp3!B79=2,2,IF(CdTrp3!B79=3,2,0)))</f>
        <v>0</v>
      </c>
      <c r="DF51" s="219">
        <f>IF(CdTrp3!C79=1,1,IF(CdTrp3!C79=2,2,IF(CdTrp3!C79=3,2,0)))</f>
        <v>0</v>
      </c>
      <c r="DG51" s="219">
        <f>IF(CdTrp3!D79=1,1,IF(CdTrp3!D79=2,2,IF(CdTrp3!D79=3,2,0)))</f>
        <v>0</v>
      </c>
      <c r="DH51" s="219">
        <f>IF(CdTrp3!E79=1,1,IF(CdTrp3!E79=2,2,IF(CdTrp3!E79=3,2,0)))</f>
        <v>0</v>
      </c>
      <c r="DI51" s="219">
        <f>IF(CdTrp3!F79=1,1,IF(CdTrp3!F79=2,2,IF(CdTrp3!F79=3,2,0)))</f>
        <v>0</v>
      </c>
      <c r="DJ51" s="219">
        <f>IF(CdTrp3!G79=1,1,IF(CdTrp3!G79=2,2,IF(CdTrp3!G79=3,2,0)))</f>
        <v>0</v>
      </c>
      <c r="DK51" s="219">
        <f>IF(CdTrp3!H79=1,1,IF(CdTrp3!H79=2,2,IF(CdTrp3!H79=3,2,0)))</f>
        <v>0</v>
      </c>
      <c r="DL51" s="219">
        <f>IF(CdTrp3!I79=1,1,IF(CdTrp3!I79=2,2,IF(CdTrp3!I79=3,2,0)))</f>
        <v>0</v>
      </c>
      <c r="DM51" s="219">
        <f>IF(CdTrp3!J79=1,1,IF(CdTrp3!J79=2,2,IF(CdTrp3!J79=3,2,0)))</f>
        <v>0</v>
      </c>
      <c r="DN51" s="219">
        <f>IF(CdTrp3!K79=1,1,IF(CdTrp3!K79=2,2,IF(CdTrp3!K79=3,2,0)))</f>
        <v>0</v>
      </c>
      <c r="DO51" s="219">
        <f>IF(CdTrp3!L79=1,1,IF(CdTrp3!L79=2,2,IF(CdTrp3!L79=3,2,0)))</f>
        <v>0</v>
      </c>
      <c r="DP51" s="219">
        <f>IF(CdTrp3!M79=1,1,IF(CdTrp3!M79=2,2,IF(CdTrp3!M79=3,2,0)))</f>
        <v>0</v>
      </c>
      <c r="DQ51" s="219">
        <f>IF(CdTrp3!N79=1,1,IF(CdTrp3!N79=2,2,IF(CdTrp3!N79=3,2,0)))</f>
        <v>0</v>
      </c>
      <c r="DR51" s="219">
        <f>IF(CdTrp3!O79=1,1,IF(CdTrp3!O79=2,2,IF(CdTrp3!O79=3,2,0)))</f>
        <v>0</v>
      </c>
      <c r="DS51" s="219">
        <f>IF(CdTrp3!P79=1,1,IF(CdTrp3!P79=2,2,IF(CdTrp3!P79=3,2,0)))</f>
        <v>0</v>
      </c>
      <c r="DT51" s="219">
        <f>IF(CdTrp3!Q79=1,1,IF(CdTrp3!Q79=2,2,IF(CdTrp3!Q79=3,2,0)))</f>
        <v>0</v>
      </c>
      <c r="DU51" s="219">
        <f>IF(CdTrp3!R79=1,1,IF(CdTrp3!R79=2,2,IF(CdTrp3!R79=3,2,0)))</f>
        <v>0</v>
      </c>
      <c r="DV51" s="219">
        <f>IF(CdTrp3!S79=1,1,IF(CdTrp3!S79=2,2,IF(CdTrp3!S79=3,2,0)))</f>
        <v>0</v>
      </c>
      <c r="DW51" s="219">
        <f>IF(CdTrp3!T79=1,1,IF(CdTrp3!T79=2,2,IF(CdTrp3!T79=3,2,0)))</f>
        <v>0</v>
      </c>
      <c r="DX51" s="219">
        <f>IF(CdTrp3!U79=1,1,IF(CdTrp3!U79=2,2,IF(CdTrp3!U79=3,2,0)))</f>
        <v>0</v>
      </c>
      <c r="DY51" s="219">
        <f>IF(CdTrp3!V79=1,1,IF(CdTrp3!V79=2,2,IF(CdTrp3!V79=3,2,0)))</f>
        <v>0</v>
      </c>
      <c r="DZ51" s="219">
        <f>IF(CdTrp3!W79=1,1,IF(CdTrp3!W79=2,2,IF(CdTrp3!W79=3,2,0)))</f>
        <v>0</v>
      </c>
      <c r="EA51" s="219">
        <f>IF(CdTrp3!X79=1,1,IF(CdTrp3!X79=2,2,IF(CdTrp3!X79=3,2,0)))</f>
        <v>0</v>
      </c>
      <c r="EB51" s="219">
        <f>IF(CdTrp3!Y79=1,1,IF(CdTrp3!Y79=2,2,IF(CdTrp3!Y79=3,2,0)))</f>
        <v>0</v>
      </c>
      <c r="EC51" s="219">
        <f>CdTrp4!R43</f>
        <v>0</v>
      </c>
      <c r="ED51" s="219">
        <f>CdTrp4!S43</f>
        <v>0</v>
      </c>
      <c r="EE51" s="219">
        <f>CdTrp4!T43</f>
        <v>0</v>
      </c>
      <c r="EF51" s="219">
        <f>CdTrp4!U43</f>
        <v>0</v>
      </c>
      <c r="EG51" s="219">
        <f>CdTrp4!V43</f>
        <v>0</v>
      </c>
      <c r="EH51" s="219">
        <f>CdTrp4!W43</f>
        <v>0</v>
      </c>
      <c r="EI51" s="219">
        <f>CdTrp4!X43</f>
        <v>0</v>
      </c>
      <c r="EJ51" s="219">
        <f>CdTrp4!Y43</f>
        <v>0</v>
      </c>
      <c r="EK51" s="221"/>
      <c r="EL51" s="221"/>
      <c r="EM51" s="221"/>
    </row>
    <row r="52" spans="1:143" x14ac:dyDescent="0.25">
      <c r="Q52" t="s">
        <v>598</v>
      </c>
      <c r="R52">
        <f>Troupeau!D3</f>
        <v>0</v>
      </c>
      <c r="S52" s="30">
        <f>Scénario!K66*Scénario!K67+Scénario!K82*Scénario!K83</f>
        <v>0</v>
      </c>
      <c r="X52" s="215"/>
      <c r="Y52" s="215"/>
      <c r="Z52" s="215"/>
      <c r="AA52" s="215"/>
      <c r="AB52" s="215"/>
      <c r="AC52" s="215"/>
      <c r="AD52" s="215"/>
      <c r="AE52" s="215"/>
      <c r="AF52" s="215"/>
      <c r="AG52" s="215" t="str">
        <f>CdTrp1!A44</f>
        <v>lot6</v>
      </c>
      <c r="AH52" s="219">
        <f>CdTrp1!B44</f>
        <v>0</v>
      </c>
      <c r="AI52" s="219">
        <f>CdTrp1!C44</f>
        <v>0</v>
      </c>
      <c r="AJ52" s="219">
        <f>CdTrp1!D44</f>
        <v>0</v>
      </c>
      <c r="AK52" s="219">
        <f>CdTrp1!E44</f>
        <v>0</v>
      </c>
      <c r="AL52" s="219">
        <f>CdTrp1!F44</f>
        <v>0</v>
      </c>
      <c r="AM52" s="219">
        <f>CdTrp1!G44</f>
        <v>0</v>
      </c>
      <c r="AN52" s="219">
        <f>CdTrp1!H44</f>
        <v>0</v>
      </c>
      <c r="AO52" s="219">
        <f>CdTrp1!I44</f>
        <v>0</v>
      </c>
      <c r="AP52" s="219">
        <f>CdTrp1!J44</f>
        <v>0</v>
      </c>
      <c r="AQ52" s="219">
        <f>CdTrp1!K44</f>
        <v>0</v>
      </c>
      <c r="AR52" s="219">
        <f>CdTrp1!L44</f>
        <v>0</v>
      </c>
      <c r="AS52" s="219">
        <f>CdTrp1!M44</f>
        <v>0</v>
      </c>
      <c r="AT52" s="219">
        <f>CdTrp1!N44</f>
        <v>0</v>
      </c>
      <c r="AU52" s="219">
        <f>CdTrp1!O44</f>
        <v>0</v>
      </c>
      <c r="AV52" s="219">
        <f>IF(CdTrp1!B80=1,1,IF(CdTrp1!B80=2,2,IF(CdTrp1!B80=3,2,0)))</f>
        <v>0</v>
      </c>
      <c r="AW52" s="219">
        <f>IF(CdTrp1!C80=1,1,IF(CdTrp1!C80=2,2,IF(CdTrp1!C80=3,2,0)))</f>
        <v>0</v>
      </c>
      <c r="AX52" s="219">
        <f>IF(CdTrp1!D80=1,1,IF(CdTrp1!D80=2,2,IF(CdTrp1!D80=3,2,0)))</f>
        <v>0</v>
      </c>
      <c r="AY52" s="219">
        <f>IF(CdTrp1!E80=1,1,IF(CdTrp1!E80=2,2,IF(CdTrp1!E80=3,2,0)))</f>
        <v>0</v>
      </c>
      <c r="AZ52" s="219">
        <f>IF(CdTrp1!F80=1,1,IF(CdTrp1!F80=2,2,IF(CdTrp1!F80=3,2,0)))</f>
        <v>0</v>
      </c>
      <c r="BA52" s="219">
        <f>IF(CdTrp1!G80=1,1,IF(CdTrp1!G80=2,2,IF(CdTrp1!G80=3,2,0)))</f>
        <v>0</v>
      </c>
      <c r="BB52" s="219">
        <f>IF(CdTrp1!H80=1,1,IF(CdTrp1!H80=2,2,IF(CdTrp1!H80=3,2,0)))</f>
        <v>0</v>
      </c>
      <c r="BC52" s="219">
        <f>IF(CdTrp1!I80=1,1,IF(CdTrp1!I80=2,2,IF(CdTrp1!I80=3,2,0)))</f>
        <v>0</v>
      </c>
      <c r="BD52" s="219">
        <f>IF(CdTrp1!J80=1,1,IF(CdTrp1!J80=2,2,IF(CdTrp1!J80=3,2,0)))</f>
        <v>0</v>
      </c>
      <c r="BE52" s="219">
        <f>IF(CdTrp1!K80=1,1,IF(CdTrp1!K80=2,2,IF(CdTrp1!K80=3,2,0)))</f>
        <v>0</v>
      </c>
      <c r="BF52" s="219">
        <f>IF(CdTrp1!L80=1,1,IF(CdTrp1!L80=2,2,IF(CdTrp1!L80=3,2,0)))</f>
        <v>0</v>
      </c>
      <c r="BG52" s="219">
        <f>IF(CdTrp1!M80=1,1,IF(CdTrp1!M80=2,2,IF(CdTrp1!M80=3,2,0)))</f>
        <v>0</v>
      </c>
      <c r="BH52" s="219">
        <f>IF(CdTrp1!N80=1,1,IF(CdTrp1!N80=2,2,IF(CdTrp1!N80=3,2,0)))</f>
        <v>0</v>
      </c>
      <c r="BI52" s="219">
        <f>IF(CdTrp1!O80=1,1,IF(CdTrp1!O80=2,2,IF(CdTrp1!O80=3,2,0)))</f>
        <v>0</v>
      </c>
      <c r="BJ52" s="219">
        <f>IF(CdTrp1!P80=1,1,IF(CdTrp1!P80=2,2,IF(CdTrp1!P80=3,2,0)))</f>
        <v>1</v>
      </c>
      <c r="BK52" s="219">
        <f>IF(CdTrp1!Q80=1,1,IF(CdTrp1!Q80=2,2,IF(CdTrp1!Q80=3,2,0)))</f>
        <v>1</v>
      </c>
      <c r="BL52" s="219">
        <f>IF(CdTrp1!R80=1,1,IF(CdTrp1!R80=2,2,IF(CdTrp1!R80=3,2,0)))</f>
        <v>1</v>
      </c>
      <c r="BM52" s="219">
        <f>IF(CdTrp1!S80=1,1,IF(CdTrp1!S80=2,2,IF(CdTrp1!S80=3,2,0)))</f>
        <v>1</v>
      </c>
      <c r="BN52" s="219">
        <f>IF(CdTrp1!T80=1,1,IF(CdTrp1!T80=2,2,IF(CdTrp1!T80=3,2,0)))</f>
        <v>1</v>
      </c>
      <c r="BO52" s="219">
        <f>IF(CdTrp1!U80=1,1,IF(CdTrp1!U80=2,2,IF(CdTrp1!U80=3,2,0)))</f>
        <v>1</v>
      </c>
      <c r="BP52" s="219">
        <f>IF(CdTrp1!V80=1,1,IF(CdTrp1!V80=2,2,IF(CdTrp1!V80=3,2,0)))</f>
        <v>1</v>
      </c>
      <c r="BQ52" s="219">
        <f>IF(CdTrp1!W80=1,1,IF(CdTrp1!W80=2,2,IF(CdTrp1!W80=3,2,0)))</f>
        <v>1</v>
      </c>
      <c r="BR52" s="219">
        <f>IF(CdTrp1!X80=1,1,IF(CdTrp1!X80=2,2,IF(CdTrp1!X80=3,2,0)))</f>
        <v>1</v>
      </c>
      <c r="BS52" s="219">
        <f>IF(CdTrp1!Y80=1,1,IF(CdTrp1!Y80=2,2,IF(CdTrp1!Y80=3,2,0)))</f>
        <v>1</v>
      </c>
      <c r="BT52" s="215">
        <f>CdTrp2!M44</f>
        <v>0</v>
      </c>
      <c r="BU52" s="215">
        <f>CdTrp2!N44</f>
        <v>0</v>
      </c>
      <c r="BV52" s="215">
        <f>CdTrp2!O44</f>
        <v>0</v>
      </c>
      <c r="BW52" s="215">
        <f>CdTrp2!P44</f>
        <v>0</v>
      </c>
      <c r="BX52" s="215">
        <f>CdTrp2!Q44</f>
        <v>0</v>
      </c>
      <c r="BY52" s="215">
        <f>CdTrp2!R44</f>
        <v>0</v>
      </c>
      <c r="BZ52" s="215">
        <f>CdTrp2!S44</f>
        <v>0</v>
      </c>
      <c r="CA52" s="215">
        <f>CdTrp2!T44</f>
        <v>0</v>
      </c>
      <c r="CB52" s="215">
        <f>IF(CdTrp2!B80=1,1,IF(CdTrp2!B80=2,2,IF(CdTrp2!B80=3,2,0)))</f>
        <v>0</v>
      </c>
      <c r="CC52" s="215">
        <f>IF(CdTrp2!C80=1,1,IF(CdTrp2!C80=2,2,IF(CdTrp2!C80=3,2,0)))</f>
        <v>0</v>
      </c>
      <c r="CD52" s="215">
        <f>IF(CdTrp2!D80=1,1,IF(CdTrp2!D80=2,2,IF(CdTrp2!D80=3,2,0)))</f>
        <v>0</v>
      </c>
      <c r="CE52" s="215">
        <f>IF(CdTrp2!E80=1,1,IF(CdTrp2!E80=2,2,IF(CdTrp2!E80=3,2,0)))</f>
        <v>0</v>
      </c>
      <c r="CF52" s="215">
        <f>IF(CdTrp2!F80=1,1,IF(CdTrp2!F80=2,2,IF(CdTrp2!F80=3,2,0)))</f>
        <v>0</v>
      </c>
      <c r="CG52" s="215">
        <f>IF(CdTrp2!G80=1,1,IF(CdTrp2!G80=2,2,IF(CdTrp2!G80=3,2,0)))</f>
        <v>0</v>
      </c>
      <c r="CH52" s="215">
        <f>IF(CdTrp2!H80=1,1,IF(CdTrp2!H80=2,2,IF(CdTrp2!H80=3,2,0)))</f>
        <v>0</v>
      </c>
      <c r="CI52" s="215">
        <f>IF(CdTrp2!I80=1,1,IF(CdTrp2!I80=2,2,IF(CdTrp2!I80=3,2,0)))</f>
        <v>0</v>
      </c>
      <c r="CJ52" s="215">
        <f>IF(CdTrp2!J80=1,1,IF(CdTrp2!J80=2,2,IF(CdTrp2!J80=3,2,0)))</f>
        <v>0</v>
      </c>
      <c r="CK52" s="215">
        <f>IF(CdTrp2!K80=1,1,IF(CdTrp2!K80=2,2,IF(CdTrp2!K80=3,2,0)))</f>
        <v>0</v>
      </c>
      <c r="CL52" s="215">
        <f>IF(CdTrp2!L80=1,1,IF(CdTrp2!L80=2,2,IF(CdTrp2!L80=3,2,0)))</f>
        <v>0</v>
      </c>
      <c r="CM52" s="215">
        <f>IF(CdTrp2!M80=1,1,IF(CdTrp2!M80=2,2,IF(CdTrp2!M80=3,2,0)))</f>
        <v>0</v>
      </c>
      <c r="CN52" s="215">
        <f>IF(CdTrp2!N80=1,1,IF(CdTrp2!N80=2,2,IF(CdTrp2!N80=3,2,0)))</f>
        <v>0</v>
      </c>
      <c r="CO52" s="215">
        <f>IF(CdTrp2!O80=1,1,IF(CdTrp2!O80=2,2,IF(CdTrp2!O80=3,2,0)))</f>
        <v>0</v>
      </c>
      <c r="CP52" s="215">
        <f>IF(CdTrp2!P80=1,1,IF(CdTrp2!P80=2,2,IF(CdTrp2!P80=3,2,0)))</f>
        <v>0</v>
      </c>
      <c r="CQ52" s="215">
        <f>IF(CdTrp2!Q80=1,1,IF(CdTrp2!Q80=2,2,IF(CdTrp2!Q80=3,2,0)))</f>
        <v>0</v>
      </c>
      <c r="CR52" s="215">
        <f>IF(CdTrp2!R80=1,1,IF(CdTrp2!R80=2,2,IF(CdTrp2!R80=3,2,0)))</f>
        <v>0</v>
      </c>
      <c r="CS52" s="215">
        <f>IF(CdTrp2!S80=1,1,IF(CdTrp2!S80=2,2,IF(CdTrp2!S80=3,2,0)))</f>
        <v>0</v>
      </c>
      <c r="CT52" s="215">
        <f>IF(CdTrp2!T80=1,1,IF(CdTrp2!T80=2,2,IF(CdTrp2!T80=3,2,0)))</f>
        <v>0</v>
      </c>
      <c r="CU52" s="215">
        <f>IF(CdTrp2!U80=1,1,IF(CdTrp2!U80=2,2,IF(CdTrp2!U80=3,2,0)))</f>
        <v>0</v>
      </c>
      <c r="CV52" s="215">
        <f>IF(CdTrp2!V80=1,1,IF(CdTrp2!V80=2,2,IF(CdTrp2!V80=3,2,0)))</f>
        <v>0</v>
      </c>
      <c r="CW52" s="215">
        <f>IF(CdTrp2!W80=1,1,IF(CdTrp2!W80=2,2,IF(CdTrp2!W80=3,2,0)))</f>
        <v>0</v>
      </c>
      <c r="CX52" s="215">
        <f>IF(CdTrp2!X80=1,1,IF(CdTrp2!X80=2,2,IF(CdTrp2!X80=3,2,0)))</f>
        <v>0</v>
      </c>
      <c r="CY52" s="215">
        <f>IF(CdTrp2!Y80=1,1,IF(CdTrp2!Y80=2,2,IF(CdTrp2!Y80=3,2,0)))</f>
        <v>0</v>
      </c>
      <c r="CZ52" s="219">
        <f>CdTrp3!Q44</f>
        <v>0</v>
      </c>
      <c r="DA52" s="219">
        <f>CdTrp3!R44</f>
        <v>0</v>
      </c>
      <c r="DB52" s="219">
        <f>CdTrp3!S44</f>
        <v>0</v>
      </c>
      <c r="DC52" s="219">
        <f>CdTrp3!T44</f>
        <v>0</v>
      </c>
      <c r="DD52" s="219">
        <f>CdTrp3!U44</f>
        <v>0</v>
      </c>
      <c r="DE52" s="219">
        <f>IF(CdTrp3!B80=1,1,IF(CdTrp3!B80=2,2,IF(CdTrp3!B80=3,2,0)))</f>
        <v>0</v>
      </c>
      <c r="DF52" s="219">
        <f>IF(CdTrp3!C80=1,1,IF(CdTrp3!C80=2,2,IF(CdTrp3!C80=3,2,0)))</f>
        <v>0</v>
      </c>
      <c r="DG52" s="219">
        <f>IF(CdTrp3!D80=1,1,IF(CdTrp3!D80=2,2,IF(CdTrp3!D80=3,2,0)))</f>
        <v>0</v>
      </c>
      <c r="DH52" s="219">
        <f>IF(CdTrp3!E80=1,1,IF(CdTrp3!E80=2,2,IF(CdTrp3!E80=3,2,0)))</f>
        <v>0</v>
      </c>
      <c r="DI52" s="219">
        <f>IF(CdTrp3!F80=1,1,IF(CdTrp3!F80=2,2,IF(CdTrp3!F80=3,2,0)))</f>
        <v>0</v>
      </c>
      <c r="DJ52" s="219">
        <f>IF(CdTrp3!G80=1,1,IF(CdTrp3!G80=2,2,IF(CdTrp3!G80=3,2,0)))</f>
        <v>0</v>
      </c>
      <c r="DK52" s="219">
        <f>IF(CdTrp3!H80=1,1,IF(CdTrp3!H80=2,2,IF(CdTrp3!H80=3,2,0)))</f>
        <v>0</v>
      </c>
      <c r="DL52" s="219">
        <f>IF(CdTrp3!I80=1,1,IF(CdTrp3!I80=2,2,IF(CdTrp3!I80=3,2,0)))</f>
        <v>0</v>
      </c>
      <c r="DM52" s="219">
        <f>IF(CdTrp3!J80=1,1,IF(CdTrp3!J80=2,2,IF(CdTrp3!J80=3,2,0)))</f>
        <v>0</v>
      </c>
      <c r="DN52" s="219">
        <f>IF(CdTrp3!K80=1,1,IF(CdTrp3!K80=2,2,IF(CdTrp3!K80=3,2,0)))</f>
        <v>0</v>
      </c>
      <c r="DO52" s="219">
        <f>IF(CdTrp3!L80=1,1,IF(CdTrp3!L80=2,2,IF(CdTrp3!L80=3,2,0)))</f>
        <v>0</v>
      </c>
      <c r="DP52" s="219">
        <f>IF(CdTrp3!M80=1,1,IF(CdTrp3!M80=2,2,IF(CdTrp3!M80=3,2,0)))</f>
        <v>0</v>
      </c>
      <c r="DQ52" s="219">
        <f>IF(CdTrp3!N80=1,1,IF(CdTrp3!N80=2,2,IF(CdTrp3!N80=3,2,0)))</f>
        <v>0</v>
      </c>
      <c r="DR52" s="219">
        <f>IF(CdTrp3!O80=1,1,IF(CdTrp3!O80=2,2,IF(CdTrp3!O80=3,2,0)))</f>
        <v>0</v>
      </c>
      <c r="DS52" s="219">
        <f>IF(CdTrp3!P80=1,1,IF(CdTrp3!P80=2,2,IF(CdTrp3!P80=3,2,0)))</f>
        <v>0</v>
      </c>
      <c r="DT52" s="219">
        <f>IF(CdTrp3!Q80=1,1,IF(CdTrp3!Q80=2,2,IF(CdTrp3!Q80=3,2,0)))</f>
        <v>0</v>
      </c>
      <c r="DU52" s="219">
        <f>IF(CdTrp3!R80=1,1,IF(CdTrp3!R80=2,2,IF(CdTrp3!R80=3,2,0)))</f>
        <v>0</v>
      </c>
      <c r="DV52" s="219">
        <f>IF(CdTrp3!S80=1,1,IF(CdTrp3!S80=2,2,IF(CdTrp3!S80=3,2,0)))</f>
        <v>0</v>
      </c>
      <c r="DW52" s="219">
        <f>IF(CdTrp3!T80=1,1,IF(CdTrp3!T80=2,2,IF(CdTrp3!T80=3,2,0)))</f>
        <v>0</v>
      </c>
      <c r="DX52" s="219">
        <f>IF(CdTrp3!U80=1,1,IF(CdTrp3!U80=2,2,IF(CdTrp3!U80=3,2,0)))</f>
        <v>0</v>
      </c>
      <c r="DY52" s="219">
        <f>IF(CdTrp3!V80=1,1,IF(CdTrp3!V80=2,2,IF(CdTrp3!V80=3,2,0)))</f>
        <v>0</v>
      </c>
      <c r="DZ52" s="219">
        <f>IF(CdTrp3!W80=1,1,IF(CdTrp3!W80=2,2,IF(CdTrp3!W80=3,2,0)))</f>
        <v>0</v>
      </c>
      <c r="EA52" s="219">
        <f>IF(CdTrp3!X80=1,1,IF(CdTrp3!X80=2,2,IF(CdTrp3!X80=3,2,0)))</f>
        <v>0</v>
      </c>
      <c r="EB52" s="219">
        <f>IF(CdTrp3!Y80=1,1,IF(CdTrp3!Y80=2,2,IF(CdTrp3!Y80=3,2,0)))</f>
        <v>0</v>
      </c>
      <c r="EC52" s="219">
        <f>CdTrp4!R44</f>
        <v>0</v>
      </c>
      <c r="ED52" s="219">
        <f>CdTrp4!S44</f>
        <v>0</v>
      </c>
      <c r="EE52" s="219">
        <f>CdTrp4!T44</f>
        <v>0</v>
      </c>
      <c r="EF52" s="219">
        <f>CdTrp4!U44</f>
        <v>0</v>
      </c>
      <c r="EG52" s="219">
        <f>CdTrp4!V44</f>
        <v>0</v>
      </c>
      <c r="EH52" s="219">
        <f>CdTrp4!W44</f>
        <v>0</v>
      </c>
      <c r="EI52" s="219">
        <f>CdTrp4!X44</f>
        <v>0</v>
      </c>
      <c r="EJ52" s="219">
        <f>CdTrp4!Y44</f>
        <v>0</v>
      </c>
    </row>
    <row r="53" spans="1:143" x14ac:dyDescent="0.25">
      <c r="A53" s="5"/>
      <c r="B53" s="5"/>
      <c r="C53" s="5"/>
      <c r="D53" s="5"/>
      <c r="X53" s="216" t="s">
        <v>1041</v>
      </c>
      <c r="Y53" s="215">
        <f>ROUND(SUM(AC49:AC51)/SUM(AC47:AC51)*100,0)</f>
        <v>100</v>
      </c>
      <c r="Z53" s="215" t="s">
        <v>560</v>
      </c>
      <c r="AA53" s="215"/>
      <c r="AB53" s="215"/>
      <c r="AC53" s="215"/>
      <c r="AD53" s="215"/>
      <c r="AE53" s="215"/>
      <c r="AF53" s="215"/>
      <c r="AG53" s="272" t="str">
        <f>CdTrp1!A45</f>
        <v>lot7</v>
      </c>
      <c r="AH53" s="219">
        <f>CdTrp1!B45</f>
        <v>0</v>
      </c>
      <c r="AI53" s="219">
        <f>CdTrp1!C45</f>
        <v>0</v>
      </c>
      <c r="AJ53" s="219">
        <f>CdTrp1!D45</f>
        <v>0</v>
      </c>
      <c r="AK53" s="219">
        <f>CdTrp1!E45</f>
        <v>0</v>
      </c>
      <c r="AL53" s="219">
        <f>CdTrp1!F45</f>
        <v>0</v>
      </c>
      <c r="AM53" s="219">
        <f>CdTrp1!G45</f>
        <v>0</v>
      </c>
      <c r="AN53" s="219">
        <f>CdTrp1!H45</f>
        <v>0</v>
      </c>
      <c r="AO53" s="219">
        <f>CdTrp1!I45</f>
        <v>0</v>
      </c>
      <c r="AP53" s="219">
        <f>CdTrp1!J45</f>
        <v>0</v>
      </c>
      <c r="AQ53" s="219">
        <f>CdTrp1!K45</f>
        <v>0</v>
      </c>
      <c r="AR53" s="219">
        <f>CdTrp1!L45</f>
        <v>0</v>
      </c>
      <c r="AS53" s="219">
        <f>CdTrp1!M45</f>
        <v>0</v>
      </c>
      <c r="AT53" s="219">
        <f>CdTrp1!N45</f>
        <v>0</v>
      </c>
      <c r="AU53" s="219">
        <f>CdTrp1!O45</f>
        <v>0</v>
      </c>
      <c r="AV53" s="219">
        <f>IF(CdTrp1!B81=1,1,IF(CdTrp1!B81=2,2,IF(CdTrp1!B81=3,2,0)))</f>
        <v>0</v>
      </c>
      <c r="AW53" s="219">
        <f>IF(CdTrp1!C81=1,1,IF(CdTrp1!C81=2,2,IF(CdTrp1!C81=3,2,0)))</f>
        <v>0</v>
      </c>
      <c r="AX53" s="219">
        <f>IF(CdTrp1!D81=1,1,IF(CdTrp1!D81=2,2,IF(CdTrp1!D81=3,2,0)))</f>
        <v>0</v>
      </c>
      <c r="AY53" s="219">
        <f>IF(CdTrp1!E81=1,1,IF(CdTrp1!E81=2,2,IF(CdTrp1!E81=3,2,0)))</f>
        <v>0</v>
      </c>
      <c r="AZ53" s="219">
        <f>IF(CdTrp1!F81=1,1,IF(CdTrp1!F81=2,2,IF(CdTrp1!F81=3,2,0)))</f>
        <v>0</v>
      </c>
      <c r="BA53" s="219">
        <f>IF(CdTrp1!G81=1,1,IF(CdTrp1!G81=2,2,IF(CdTrp1!G81=3,2,0)))</f>
        <v>0</v>
      </c>
      <c r="BB53" s="219">
        <f>IF(CdTrp1!H81=1,1,IF(CdTrp1!H81=2,2,IF(CdTrp1!H81=3,2,0)))</f>
        <v>0</v>
      </c>
      <c r="BC53" s="219">
        <f>IF(CdTrp1!I81=1,1,IF(CdTrp1!I81=2,2,IF(CdTrp1!I81=3,2,0)))</f>
        <v>0</v>
      </c>
      <c r="BD53" s="219">
        <f>IF(CdTrp1!J81=1,1,IF(CdTrp1!J81=2,2,IF(CdTrp1!J81=3,2,0)))</f>
        <v>0</v>
      </c>
      <c r="BE53" s="219">
        <f>IF(CdTrp1!K81=1,1,IF(CdTrp1!K81=2,2,IF(CdTrp1!K81=3,2,0)))</f>
        <v>0</v>
      </c>
      <c r="BF53" s="219">
        <f>IF(CdTrp1!L81=1,1,IF(CdTrp1!L81=2,2,IF(CdTrp1!L81=3,2,0)))</f>
        <v>0</v>
      </c>
      <c r="BG53" s="219">
        <f>IF(CdTrp1!M81=1,1,IF(CdTrp1!M81=2,2,IF(CdTrp1!M81=3,2,0)))</f>
        <v>0</v>
      </c>
      <c r="BH53" s="219">
        <f>IF(CdTrp1!N81=1,1,IF(CdTrp1!N81=2,2,IF(CdTrp1!N81=3,2,0)))</f>
        <v>0</v>
      </c>
      <c r="BI53" s="219">
        <f>IF(CdTrp1!O81=1,1,IF(CdTrp1!O81=2,2,IF(CdTrp1!O81=3,2,0)))</f>
        <v>0</v>
      </c>
      <c r="BJ53" s="219">
        <f>IF(CdTrp1!P81=1,1,IF(CdTrp1!P81=2,2,IF(CdTrp1!P81=3,2,0)))</f>
        <v>0</v>
      </c>
      <c r="BK53" s="219">
        <f>IF(CdTrp1!Q81=1,1,IF(CdTrp1!Q81=2,2,IF(CdTrp1!Q81=3,2,0)))</f>
        <v>0</v>
      </c>
      <c r="BL53" s="219">
        <f>IF(CdTrp1!R81=1,1,IF(CdTrp1!R81=2,2,IF(CdTrp1!R81=3,2,0)))</f>
        <v>0</v>
      </c>
      <c r="BM53" s="219">
        <f>IF(CdTrp1!S81=1,1,IF(CdTrp1!S81=2,2,IF(CdTrp1!S81=3,2,0)))</f>
        <v>0</v>
      </c>
      <c r="BN53" s="219">
        <f>IF(CdTrp1!T81=1,1,IF(CdTrp1!T81=2,2,IF(CdTrp1!T81=3,2,0)))</f>
        <v>0</v>
      </c>
      <c r="BO53" s="219">
        <f>IF(CdTrp1!U81=1,1,IF(CdTrp1!U81=2,2,IF(CdTrp1!U81=3,2,0)))</f>
        <v>0</v>
      </c>
      <c r="BP53" s="219">
        <f>IF(CdTrp1!V81=1,1,IF(CdTrp1!V81=2,2,IF(CdTrp1!V81=3,2,0)))</f>
        <v>0</v>
      </c>
      <c r="BQ53" s="219">
        <f>IF(CdTrp1!W81=1,1,IF(CdTrp1!W81=2,2,IF(CdTrp1!W81=3,2,0)))</f>
        <v>0</v>
      </c>
      <c r="BR53" s="219">
        <f>IF(CdTrp1!X81=1,1,IF(CdTrp1!X81=2,2,IF(CdTrp1!X81=3,2,0)))</f>
        <v>0</v>
      </c>
      <c r="BS53" s="219">
        <f>IF(CdTrp1!Y81=1,1,IF(CdTrp1!Y81=2,2,IF(CdTrp1!Y81=3,2,0)))</f>
        <v>0</v>
      </c>
      <c r="BT53" s="215">
        <f>CdTrp2!M45</f>
        <v>0</v>
      </c>
      <c r="BU53" s="215">
        <f>CdTrp2!N45</f>
        <v>0</v>
      </c>
      <c r="BV53" s="215">
        <f>CdTrp2!O45</f>
        <v>0</v>
      </c>
      <c r="BW53" s="215">
        <f>CdTrp2!P45</f>
        <v>0</v>
      </c>
      <c r="BX53" s="215">
        <f>CdTrp2!Q45</f>
        <v>0</v>
      </c>
      <c r="BY53" s="215">
        <f>CdTrp2!R45</f>
        <v>0</v>
      </c>
      <c r="BZ53" s="215">
        <f>CdTrp2!S45</f>
        <v>0</v>
      </c>
      <c r="CA53" s="215">
        <f>CdTrp2!T45</f>
        <v>0</v>
      </c>
      <c r="CB53" s="215">
        <f>IF(CdTrp2!B81=1,1,IF(CdTrp2!B81=2,2,IF(CdTrp2!B81=3,2,0)))</f>
        <v>0</v>
      </c>
      <c r="CC53" s="215">
        <f>IF(CdTrp2!C81=1,1,IF(CdTrp2!C81=2,2,IF(CdTrp2!C81=3,2,0)))</f>
        <v>0</v>
      </c>
      <c r="CD53" s="215">
        <f>IF(CdTrp2!D81=1,1,IF(CdTrp2!D81=2,2,IF(CdTrp2!D81=3,2,0)))</f>
        <v>0</v>
      </c>
      <c r="CE53" s="215">
        <f>IF(CdTrp2!E81=1,1,IF(CdTrp2!E81=2,2,IF(CdTrp2!E81=3,2,0)))</f>
        <v>0</v>
      </c>
      <c r="CF53" s="215">
        <f>IF(CdTrp2!F81=1,1,IF(CdTrp2!F81=2,2,IF(CdTrp2!F81=3,2,0)))</f>
        <v>0</v>
      </c>
      <c r="CG53" s="215">
        <f>IF(CdTrp2!G81=1,1,IF(CdTrp2!G81=2,2,IF(CdTrp2!G81=3,2,0)))</f>
        <v>0</v>
      </c>
      <c r="CH53" s="215">
        <f>IF(CdTrp2!H81=1,1,IF(CdTrp2!H81=2,2,IF(CdTrp2!H81=3,2,0)))</f>
        <v>0</v>
      </c>
      <c r="CI53" s="215">
        <f>IF(CdTrp2!I81=1,1,IF(CdTrp2!I81=2,2,IF(CdTrp2!I81=3,2,0)))</f>
        <v>0</v>
      </c>
      <c r="CJ53" s="215">
        <f>IF(CdTrp2!J81=1,1,IF(CdTrp2!J81=2,2,IF(CdTrp2!J81=3,2,0)))</f>
        <v>0</v>
      </c>
      <c r="CK53" s="215">
        <f>IF(CdTrp2!K81=1,1,IF(CdTrp2!K81=2,2,IF(CdTrp2!K81=3,2,0)))</f>
        <v>0</v>
      </c>
      <c r="CL53" s="215">
        <f>IF(CdTrp2!L81=1,1,IF(CdTrp2!L81=2,2,IF(CdTrp2!L81=3,2,0)))</f>
        <v>0</v>
      </c>
      <c r="CM53" s="215">
        <f>IF(CdTrp2!M81=1,1,IF(CdTrp2!M81=2,2,IF(CdTrp2!M81=3,2,0)))</f>
        <v>0</v>
      </c>
      <c r="CN53" s="215">
        <f>IF(CdTrp2!N81=1,1,IF(CdTrp2!N81=2,2,IF(CdTrp2!N81=3,2,0)))</f>
        <v>0</v>
      </c>
      <c r="CO53" s="215">
        <f>IF(CdTrp2!O81=1,1,IF(CdTrp2!O81=2,2,IF(CdTrp2!O81=3,2,0)))</f>
        <v>0</v>
      </c>
      <c r="CP53" s="215">
        <f>IF(CdTrp2!P81=1,1,IF(CdTrp2!P81=2,2,IF(CdTrp2!P81=3,2,0)))</f>
        <v>0</v>
      </c>
      <c r="CQ53" s="215">
        <f>IF(CdTrp2!Q81=1,1,IF(CdTrp2!Q81=2,2,IF(CdTrp2!Q81=3,2,0)))</f>
        <v>0</v>
      </c>
      <c r="CR53" s="215">
        <f>IF(CdTrp2!R81=1,1,IF(CdTrp2!R81=2,2,IF(CdTrp2!R81=3,2,0)))</f>
        <v>0</v>
      </c>
      <c r="CS53" s="215">
        <f>IF(CdTrp2!S81=1,1,IF(CdTrp2!S81=2,2,IF(CdTrp2!S81=3,2,0)))</f>
        <v>0</v>
      </c>
      <c r="CT53" s="215">
        <f>IF(CdTrp2!T81=1,1,IF(CdTrp2!T81=2,2,IF(CdTrp2!T81=3,2,0)))</f>
        <v>0</v>
      </c>
      <c r="CU53" s="215">
        <f>IF(CdTrp2!U81=1,1,IF(CdTrp2!U81=2,2,IF(CdTrp2!U81=3,2,0)))</f>
        <v>0</v>
      </c>
      <c r="CV53" s="215">
        <f>IF(CdTrp2!V81=1,1,IF(CdTrp2!V81=2,2,IF(CdTrp2!V81=3,2,0)))</f>
        <v>0</v>
      </c>
      <c r="CW53" s="215">
        <f>IF(CdTrp2!W81=1,1,IF(CdTrp2!W81=2,2,IF(CdTrp2!W81=3,2,0)))</f>
        <v>0</v>
      </c>
      <c r="CX53" s="215">
        <f>IF(CdTrp2!X81=1,1,IF(CdTrp2!X81=2,2,IF(CdTrp2!X81=3,2,0)))</f>
        <v>0</v>
      </c>
      <c r="CY53" s="215">
        <f>IF(CdTrp2!Y81=1,1,IF(CdTrp2!Y81=2,2,IF(CdTrp2!Y81=3,2,0)))</f>
        <v>0</v>
      </c>
      <c r="CZ53" s="219">
        <f>CdTrp3!Q45</f>
        <v>0</v>
      </c>
      <c r="DA53" s="219">
        <f>CdTrp3!R45</f>
        <v>0</v>
      </c>
      <c r="DB53" s="219">
        <f>CdTrp3!S45</f>
        <v>0</v>
      </c>
      <c r="DC53" s="219">
        <f>CdTrp3!T45</f>
        <v>0</v>
      </c>
      <c r="DD53" s="219">
        <f>CdTrp3!U45</f>
        <v>0</v>
      </c>
      <c r="DE53" s="219">
        <f>IF(CdTrp3!B81=1,1,IF(CdTrp3!B81=2,2,IF(CdTrp3!B81=3,2,0)))</f>
        <v>0</v>
      </c>
      <c r="DF53" s="219">
        <f>IF(CdTrp3!C81=1,1,IF(CdTrp3!C81=2,2,IF(CdTrp3!C81=3,2,0)))</f>
        <v>0</v>
      </c>
      <c r="DG53" s="219">
        <f>IF(CdTrp3!D81=1,1,IF(CdTrp3!D81=2,2,IF(CdTrp3!D81=3,2,0)))</f>
        <v>0</v>
      </c>
      <c r="DH53" s="219">
        <f>IF(CdTrp3!E81=1,1,IF(CdTrp3!E81=2,2,IF(CdTrp3!E81=3,2,0)))</f>
        <v>0</v>
      </c>
      <c r="DI53" s="219">
        <f>IF(CdTrp3!F81=1,1,IF(CdTrp3!F81=2,2,IF(CdTrp3!F81=3,2,0)))</f>
        <v>0</v>
      </c>
      <c r="DJ53" s="219">
        <f>IF(CdTrp3!G81=1,1,IF(CdTrp3!G81=2,2,IF(CdTrp3!G81=3,2,0)))</f>
        <v>0</v>
      </c>
      <c r="DK53" s="219">
        <f>IF(CdTrp3!H81=1,1,IF(CdTrp3!H81=2,2,IF(CdTrp3!H81=3,2,0)))</f>
        <v>0</v>
      </c>
      <c r="DL53" s="219">
        <f>IF(CdTrp3!I81=1,1,IF(CdTrp3!I81=2,2,IF(CdTrp3!I81=3,2,0)))</f>
        <v>0</v>
      </c>
      <c r="DM53" s="219">
        <f>IF(CdTrp3!J81=1,1,IF(CdTrp3!J81=2,2,IF(CdTrp3!J81=3,2,0)))</f>
        <v>0</v>
      </c>
      <c r="DN53" s="219">
        <f>IF(CdTrp3!K81=1,1,IF(CdTrp3!K81=2,2,IF(CdTrp3!K81=3,2,0)))</f>
        <v>0</v>
      </c>
      <c r="DO53" s="219">
        <f>IF(CdTrp3!L81=1,1,IF(CdTrp3!L81=2,2,IF(CdTrp3!L81=3,2,0)))</f>
        <v>0</v>
      </c>
      <c r="DP53" s="219">
        <f>IF(CdTrp3!M81=1,1,IF(CdTrp3!M81=2,2,IF(CdTrp3!M81=3,2,0)))</f>
        <v>0</v>
      </c>
      <c r="DQ53" s="219">
        <f>IF(CdTrp3!N81=1,1,IF(CdTrp3!N81=2,2,IF(CdTrp3!N81=3,2,0)))</f>
        <v>0</v>
      </c>
      <c r="DR53" s="219">
        <f>IF(CdTrp3!O81=1,1,IF(CdTrp3!O81=2,2,IF(CdTrp3!O81=3,2,0)))</f>
        <v>0</v>
      </c>
      <c r="DS53" s="219">
        <f>IF(CdTrp3!P81=1,1,IF(CdTrp3!P81=2,2,IF(CdTrp3!P81=3,2,0)))</f>
        <v>0</v>
      </c>
      <c r="DT53" s="219">
        <f>IF(CdTrp3!Q81=1,1,IF(CdTrp3!Q81=2,2,IF(CdTrp3!Q81=3,2,0)))</f>
        <v>0</v>
      </c>
      <c r="DU53" s="219">
        <f>IF(CdTrp3!R81=1,1,IF(CdTrp3!R81=2,2,IF(CdTrp3!R81=3,2,0)))</f>
        <v>0</v>
      </c>
      <c r="DV53" s="219">
        <f>IF(CdTrp3!S81=1,1,IF(CdTrp3!S81=2,2,IF(CdTrp3!S81=3,2,0)))</f>
        <v>0</v>
      </c>
      <c r="DW53" s="219">
        <f>IF(CdTrp3!T81=1,1,IF(CdTrp3!T81=2,2,IF(CdTrp3!T81=3,2,0)))</f>
        <v>0</v>
      </c>
      <c r="DX53" s="219">
        <f>IF(CdTrp3!U81=1,1,IF(CdTrp3!U81=2,2,IF(CdTrp3!U81=3,2,0)))</f>
        <v>0</v>
      </c>
      <c r="DY53" s="219">
        <f>IF(CdTrp3!V81=1,1,IF(CdTrp3!V81=2,2,IF(CdTrp3!V81=3,2,0)))</f>
        <v>0</v>
      </c>
      <c r="DZ53" s="219">
        <f>IF(CdTrp3!W81=1,1,IF(CdTrp3!W81=2,2,IF(CdTrp3!W81=3,2,0)))</f>
        <v>0</v>
      </c>
      <c r="EA53" s="219">
        <f>IF(CdTrp3!X81=1,1,IF(CdTrp3!X81=2,2,IF(CdTrp3!X81=3,2,0)))</f>
        <v>0</v>
      </c>
      <c r="EB53" s="219">
        <f>IF(CdTrp3!Y81=1,1,IF(CdTrp3!Y81=2,2,IF(CdTrp3!Y81=3,2,0)))</f>
        <v>0</v>
      </c>
      <c r="EC53" s="219">
        <f>CdTrp4!R45</f>
        <v>0</v>
      </c>
      <c r="ED53" s="219">
        <f>CdTrp4!S45</f>
        <v>0</v>
      </c>
      <c r="EE53" s="219">
        <f>CdTrp4!T45</f>
        <v>0</v>
      </c>
      <c r="EF53" s="219">
        <f>CdTrp4!U45</f>
        <v>0</v>
      </c>
      <c r="EG53" s="219">
        <f>CdTrp4!V45</f>
        <v>0</v>
      </c>
      <c r="EH53" s="219">
        <f>CdTrp4!W45</f>
        <v>0</v>
      </c>
      <c r="EI53" s="219">
        <f>CdTrp4!X45</f>
        <v>0</v>
      </c>
      <c r="EJ53" s="219">
        <f>CdTrp4!Y45</f>
        <v>0</v>
      </c>
    </row>
    <row r="54" spans="1:143" x14ac:dyDescent="0.25">
      <c r="A54" s="5"/>
      <c r="B54" s="5"/>
      <c r="C54" s="5"/>
      <c r="D54" s="5"/>
      <c r="R54" s="14" t="s">
        <v>1042</v>
      </c>
      <c r="S54" s="30">
        <f>SUM(S50:S53)</f>
        <v>0</v>
      </c>
      <c r="U54" s="4"/>
      <c r="X54" s="215"/>
      <c r="Y54" s="215"/>
      <c r="Z54" s="215"/>
      <c r="AA54" s="215"/>
      <c r="AB54" s="215"/>
      <c r="AC54" s="215"/>
      <c r="AD54" s="215"/>
      <c r="AE54" s="215"/>
      <c r="AF54" s="215"/>
      <c r="AG54" s="272" t="str">
        <f>CdTrp1!A46</f>
        <v>lot8</v>
      </c>
      <c r="AH54" s="219">
        <f>CdTrp1!B46</f>
        <v>0</v>
      </c>
      <c r="AI54" s="219">
        <f>CdTrp1!C46</f>
        <v>0</v>
      </c>
      <c r="AJ54" s="219">
        <f>CdTrp1!D46</f>
        <v>0</v>
      </c>
      <c r="AK54" s="219">
        <f>CdTrp1!E46</f>
        <v>0</v>
      </c>
      <c r="AL54" s="219">
        <f>CdTrp1!F46</f>
        <v>0</v>
      </c>
      <c r="AM54" s="219">
        <f>CdTrp1!G46</f>
        <v>0</v>
      </c>
      <c r="AN54" s="219">
        <f>CdTrp1!H46</f>
        <v>0</v>
      </c>
      <c r="AO54" s="219">
        <f>CdTrp1!I46</f>
        <v>0</v>
      </c>
      <c r="AP54" s="219">
        <f>CdTrp1!J46</f>
        <v>0</v>
      </c>
      <c r="AQ54" s="219">
        <f>CdTrp1!K46</f>
        <v>0</v>
      </c>
      <c r="AR54" s="219">
        <f>CdTrp1!L46</f>
        <v>0</v>
      </c>
      <c r="AS54" s="219">
        <f>CdTrp1!M46</f>
        <v>0</v>
      </c>
      <c r="AT54" s="219">
        <f>CdTrp1!N46</f>
        <v>0</v>
      </c>
      <c r="AU54" s="219">
        <f>CdTrp1!O46</f>
        <v>0</v>
      </c>
      <c r="AV54" s="219">
        <f>IF(CdTrp1!B82=1,1,IF(CdTrp1!B82=2,2,IF(CdTrp1!B82=3,2,0)))</f>
        <v>0</v>
      </c>
      <c r="AW54" s="219">
        <f>IF(CdTrp1!C82=1,1,IF(CdTrp1!C82=2,2,IF(CdTrp1!C82=3,2,0)))</f>
        <v>0</v>
      </c>
      <c r="AX54" s="219">
        <f>IF(CdTrp1!D82=1,1,IF(CdTrp1!D82=2,2,IF(CdTrp1!D82=3,2,0)))</f>
        <v>0</v>
      </c>
      <c r="AY54" s="219">
        <f>IF(CdTrp1!E82=1,1,IF(CdTrp1!E82=2,2,IF(CdTrp1!E82=3,2,0)))</f>
        <v>0</v>
      </c>
      <c r="AZ54" s="219">
        <f>IF(CdTrp1!F82=1,1,IF(CdTrp1!F82=2,2,IF(CdTrp1!F82=3,2,0)))</f>
        <v>0</v>
      </c>
      <c r="BA54" s="219">
        <f>IF(CdTrp1!G82=1,1,IF(CdTrp1!G82=2,2,IF(CdTrp1!G82=3,2,0)))</f>
        <v>0</v>
      </c>
      <c r="BB54" s="219">
        <f>IF(CdTrp1!H82=1,1,IF(CdTrp1!H82=2,2,IF(CdTrp1!H82=3,2,0)))</f>
        <v>0</v>
      </c>
      <c r="BC54" s="219">
        <f>IF(CdTrp1!I82=1,1,IF(CdTrp1!I82=2,2,IF(CdTrp1!I82=3,2,0)))</f>
        <v>0</v>
      </c>
      <c r="BD54" s="219">
        <f>IF(CdTrp1!J82=1,1,IF(CdTrp1!J82=2,2,IF(CdTrp1!J82=3,2,0)))</f>
        <v>0</v>
      </c>
      <c r="BE54" s="219">
        <f>IF(CdTrp1!K82=1,1,IF(CdTrp1!K82=2,2,IF(CdTrp1!K82=3,2,0)))</f>
        <v>0</v>
      </c>
      <c r="BF54" s="219">
        <f>IF(CdTrp1!L82=1,1,IF(CdTrp1!L82=2,2,IF(CdTrp1!L82=3,2,0)))</f>
        <v>0</v>
      </c>
      <c r="BG54" s="219">
        <f>IF(CdTrp1!M82=1,1,IF(CdTrp1!M82=2,2,IF(CdTrp1!M82=3,2,0)))</f>
        <v>0</v>
      </c>
      <c r="BH54" s="219">
        <f>IF(CdTrp1!N82=1,1,IF(CdTrp1!N82=2,2,IF(CdTrp1!N82=3,2,0)))</f>
        <v>0</v>
      </c>
      <c r="BI54" s="219">
        <f>IF(CdTrp1!O82=1,1,IF(CdTrp1!O82=2,2,IF(CdTrp1!O82=3,2,0)))</f>
        <v>0</v>
      </c>
      <c r="BJ54" s="219">
        <f>IF(CdTrp1!P82=1,1,IF(CdTrp1!P82=2,2,IF(CdTrp1!P82=3,2,0)))</f>
        <v>0</v>
      </c>
      <c r="BK54" s="219">
        <f>IF(CdTrp1!Q82=1,1,IF(CdTrp1!Q82=2,2,IF(CdTrp1!Q82=3,2,0)))</f>
        <v>0</v>
      </c>
      <c r="BL54" s="219">
        <f>IF(CdTrp1!R82=1,1,IF(CdTrp1!R82=2,2,IF(CdTrp1!R82=3,2,0)))</f>
        <v>0</v>
      </c>
      <c r="BM54" s="219">
        <f>IF(CdTrp1!S82=1,1,IF(CdTrp1!S82=2,2,IF(CdTrp1!S82=3,2,0)))</f>
        <v>0</v>
      </c>
      <c r="BN54" s="219">
        <f>IF(CdTrp1!T82=1,1,IF(CdTrp1!T82=2,2,IF(CdTrp1!T82=3,2,0)))</f>
        <v>0</v>
      </c>
      <c r="BO54" s="219">
        <f>IF(CdTrp1!U82=1,1,IF(CdTrp1!U82=2,2,IF(CdTrp1!U82=3,2,0)))</f>
        <v>0</v>
      </c>
      <c r="BP54" s="219">
        <f>IF(CdTrp1!V82=1,1,IF(CdTrp1!V82=2,2,IF(CdTrp1!V82=3,2,0)))</f>
        <v>0</v>
      </c>
      <c r="BQ54" s="219">
        <f>IF(CdTrp1!W82=1,1,IF(CdTrp1!W82=2,2,IF(CdTrp1!W82=3,2,0)))</f>
        <v>0</v>
      </c>
      <c r="BR54" s="219">
        <f>IF(CdTrp1!X82=1,1,IF(CdTrp1!X82=2,2,IF(CdTrp1!X82=3,2,0)))</f>
        <v>0</v>
      </c>
      <c r="BS54" s="219">
        <f>IF(CdTrp1!Y82=1,1,IF(CdTrp1!Y82=2,2,IF(CdTrp1!Y82=3,2,0)))</f>
        <v>0</v>
      </c>
      <c r="BT54" s="215">
        <f>CdTrp2!M46</f>
        <v>0</v>
      </c>
      <c r="BU54" s="215">
        <f>CdTrp2!N46</f>
        <v>0</v>
      </c>
      <c r="BV54" s="215">
        <f>CdTrp2!O46</f>
        <v>0</v>
      </c>
      <c r="BW54" s="215">
        <f>CdTrp2!P46</f>
        <v>0</v>
      </c>
      <c r="BX54" s="215">
        <f>CdTrp2!Q46</f>
        <v>0</v>
      </c>
      <c r="BY54" s="215">
        <f>CdTrp2!R46</f>
        <v>0</v>
      </c>
      <c r="BZ54" s="215">
        <f>CdTrp2!S46</f>
        <v>0</v>
      </c>
      <c r="CA54" s="215">
        <f>CdTrp2!T46</f>
        <v>0</v>
      </c>
      <c r="CB54" s="215">
        <f>IF(CdTrp2!B82=1,1,IF(CdTrp2!B82=2,2,IF(CdTrp2!B82=3,2,0)))</f>
        <v>0</v>
      </c>
      <c r="CC54" s="215">
        <f>IF(CdTrp2!C82=1,1,IF(CdTrp2!C82=2,2,IF(CdTrp2!C82=3,2,0)))</f>
        <v>0</v>
      </c>
      <c r="CD54" s="215">
        <f>IF(CdTrp2!D82=1,1,IF(CdTrp2!D82=2,2,IF(CdTrp2!D82=3,2,0)))</f>
        <v>0</v>
      </c>
      <c r="CE54" s="215">
        <f>IF(CdTrp2!E82=1,1,IF(CdTrp2!E82=2,2,IF(CdTrp2!E82=3,2,0)))</f>
        <v>0</v>
      </c>
      <c r="CF54" s="215">
        <f>IF(CdTrp2!F82=1,1,IF(CdTrp2!F82=2,2,IF(CdTrp2!F82=3,2,0)))</f>
        <v>0</v>
      </c>
      <c r="CG54" s="215">
        <f>IF(CdTrp2!G82=1,1,IF(CdTrp2!G82=2,2,IF(CdTrp2!G82=3,2,0)))</f>
        <v>0</v>
      </c>
      <c r="CH54" s="215">
        <f>IF(CdTrp2!H82=1,1,IF(CdTrp2!H82=2,2,IF(CdTrp2!H82=3,2,0)))</f>
        <v>0</v>
      </c>
      <c r="CI54" s="215">
        <f>IF(CdTrp2!I82=1,1,IF(CdTrp2!I82=2,2,IF(CdTrp2!I82=3,2,0)))</f>
        <v>0</v>
      </c>
      <c r="CJ54" s="215">
        <f>IF(CdTrp2!J82=1,1,IF(CdTrp2!J82=2,2,IF(CdTrp2!J82=3,2,0)))</f>
        <v>0</v>
      </c>
      <c r="CK54" s="215">
        <f>IF(CdTrp2!K82=1,1,IF(CdTrp2!K82=2,2,IF(CdTrp2!K82=3,2,0)))</f>
        <v>0</v>
      </c>
      <c r="CL54" s="215">
        <f>IF(CdTrp2!L82=1,1,IF(CdTrp2!L82=2,2,IF(CdTrp2!L82=3,2,0)))</f>
        <v>0</v>
      </c>
      <c r="CM54" s="215">
        <f>IF(CdTrp2!M82=1,1,IF(CdTrp2!M82=2,2,IF(CdTrp2!M82=3,2,0)))</f>
        <v>0</v>
      </c>
      <c r="CN54" s="215">
        <f>IF(CdTrp2!N82=1,1,IF(CdTrp2!N82=2,2,IF(CdTrp2!N82=3,2,0)))</f>
        <v>0</v>
      </c>
      <c r="CO54" s="215">
        <f>IF(CdTrp2!O82=1,1,IF(CdTrp2!O82=2,2,IF(CdTrp2!O82=3,2,0)))</f>
        <v>0</v>
      </c>
      <c r="CP54" s="215">
        <f>IF(CdTrp2!P82=1,1,IF(CdTrp2!P82=2,2,IF(CdTrp2!P82=3,2,0)))</f>
        <v>0</v>
      </c>
      <c r="CQ54" s="215">
        <f>IF(CdTrp2!Q82=1,1,IF(CdTrp2!Q82=2,2,IF(CdTrp2!Q82=3,2,0)))</f>
        <v>0</v>
      </c>
      <c r="CR54" s="215">
        <f>IF(CdTrp2!R82=1,1,IF(CdTrp2!R82=2,2,IF(CdTrp2!R82=3,2,0)))</f>
        <v>0</v>
      </c>
      <c r="CS54" s="215">
        <f>IF(CdTrp2!S82=1,1,IF(CdTrp2!S82=2,2,IF(CdTrp2!S82=3,2,0)))</f>
        <v>0</v>
      </c>
      <c r="CT54" s="215">
        <f>IF(CdTrp2!T82=1,1,IF(CdTrp2!T82=2,2,IF(CdTrp2!T82=3,2,0)))</f>
        <v>0</v>
      </c>
      <c r="CU54" s="215">
        <f>IF(CdTrp2!U82=1,1,IF(CdTrp2!U82=2,2,IF(CdTrp2!U82=3,2,0)))</f>
        <v>0</v>
      </c>
      <c r="CV54" s="215">
        <f>IF(CdTrp2!V82=1,1,IF(CdTrp2!V82=2,2,IF(CdTrp2!V82=3,2,0)))</f>
        <v>0</v>
      </c>
      <c r="CW54" s="215">
        <f>IF(CdTrp2!W82=1,1,IF(CdTrp2!W82=2,2,IF(CdTrp2!W82=3,2,0)))</f>
        <v>0</v>
      </c>
      <c r="CX54" s="215">
        <f>IF(CdTrp2!X82=1,1,IF(CdTrp2!X82=2,2,IF(CdTrp2!X82=3,2,0)))</f>
        <v>0</v>
      </c>
      <c r="CY54" s="215">
        <f>IF(CdTrp2!Y82=1,1,IF(CdTrp2!Y82=2,2,IF(CdTrp2!Y82=3,2,0)))</f>
        <v>0</v>
      </c>
      <c r="CZ54" s="219">
        <f>CdTrp3!Q46</f>
        <v>0</v>
      </c>
      <c r="DA54" s="219">
        <f>CdTrp3!R46</f>
        <v>0</v>
      </c>
      <c r="DB54" s="219">
        <f>CdTrp3!S46</f>
        <v>0</v>
      </c>
      <c r="DC54" s="219">
        <f>CdTrp3!T46</f>
        <v>0</v>
      </c>
      <c r="DD54" s="219">
        <f>CdTrp3!U46</f>
        <v>0</v>
      </c>
      <c r="DE54" s="219">
        <f>IF(CdTrp3!B82=1,1,IF(CdTrp3!B82=2,2,IF(CdTrp3!B82=3,2,0)))</f>
        <v>0</v>
      </c>
      <c r="DF54" s="219">
        <f>IF(CdTrp3!C82=1,1,IF(CdTrp3!C82=2,2,IF(CdTrp3!C82=3,2,0)))</f>
        <v>0</v>
      </c>
      <c r="DG54" s="219">
        <f>IF(CdTrp3!D82=1,1,IF(CdTrp3!D82=2,2,IF(CdTrp3!D82=3,2,0)))</f>
        <v>0</v>
      </c>
      <c r="DH54" s="219">
        <f>IF(CdTrp3!E82=1,1,IF(CdTrp3!E82=2,2,IF(CdTrp3!E82=3,2,0)))</f>
        <v>0</v>
      </c>
      <c r="DI54" s="219">
        <f>IF(CdTrp3!F82=1,1,IF(CdTrp3!F82=2,2,IF(CdTrp3!F82=3,2,0)))</f>
        <v>0</v>
      </c>
      <c r="DJ54" s="219">
        <f>IF(CdTrp3!G82=1,1,IF(CdTrp3!G82=2,2,IF(CdTrp3!G82=3,2,0)))</f>
        <v>0</v>
      </c>
      <c r="DK54" s="219">
        <f>IF(CdTrp3!H82=1,1,IF(CdTrp3!H82=2,2,IF(CdTrp3!H82=3,2,0)))</f>
        <v>0</v>
      </c>
      <c r="DL54" s="219">
        <f>IF(CdTrp3!I82=1,1,IF(CdTrp3!I82=2,2,IF(CdTrp3!I82=3,2,0)))</f>
        <v>0</v>
      </c>
      <c r="DM54" s="219">
        <f>IF(CdTrp3!J82=1,1,IF(CdTrp3!J82=2,2,IF(CdTrp3!J82=3,2,0)))</f>
        <v>0</v>
      </c>
      <c r="DN54" s="219">
        <f>IF(CdTrp3!K82=1,1,IF(CdTrp3!K82=2,2,IF(CdTrp3!K82=3,2,0)))</f>
        <v>0</v>
      </c>
      <c r="DO54" s="219">
        <f>IF(CdTrp3!L82=1,1,IF(CdTrp3!L82=2,2,IF(CdTrp3!L82=3,2,0)))</f>
        <v>0</v>
      </c>
      <c r="DP54" s="219">
        <f>IF(CdTrp3!M82=1,1,IF(CdTrp3!M82=2,2,IF(CdTrp3!M82=3,2,0)))</f>
        <v>0</v>
      </c>
      <c r="DQ54" s="219">
        <f>IF(CdTrp3!N82=1,1,IF(CdTrp3!N82=2,2,IF(CdTrp3!N82=3,2,0)))</f>
        <v>0</v>
      </c>
      <c r="DR54" s="219">
        <f>IF(CdTrp3!O82=1,1,IF(CdTrp3!O82=2,2,IF(CdTrp3!O82=3,2,0)))</f>
        <v>0</v>
      </c>
      <c r="DS54" s="219">
        <f>IF(CdTrp3!P82=1,1,IF(CdTrp3!P82=2,2,IF(CdTrp3!P82=3,2,0)))</f>
        <v>0</v>
      </c>
      <c r="DT54" s="219">
        <f>IF(CdTrp3!Q82=1,1,IF(CdTrp3!Q82=2,2,IF(CdTrp3!Q82=3,2,0)))</f>
        <v>0</v>
      </c>
      <c r="DU54" s="219">
        <f>IF(CdTrp3!R82=1,1,IF(CdTrp3!R82=2,2,IF(CdTrp3!R82=3,2,0)))</f>
        <v>0</v>
      </c>
      <c r="DV54" s="219">
        <f>IF(CdTrp3!S82=1,1,IF(CdTrp3!S82=2,2,IF(CdTrp3!S82=3,2,0)))</f>
        <v>0</v>
      </c>
      <c r="DW54" s="219">
        <f>IF(CdTrp3!T82=1,1,IF(CdTrp3!T82=2,2,IF(CdTrp3!T82=3,2,0)))</f>
        <v>0</v>
      </c>
      <c r="DX54" s="219">
        <f>IF(CdTrp3!U82=1,1,IF(CdTrp3!U82=2,2,IF(CdTrp3!U82=3,2,0)))</f>
        <v>0</v>
      </c>
      <c r="DY54" s="219">
        <f>IF(CdTrp3!V82=1,1,IF(CdTrp3!V82=2,2,IF(CdTrp3!V82=3,2,0)))</f>
        <v>0</v>
      </c>
      <c r="DZ54" s="219">
        <f>IF(CdTrp3!W82=1,1,IF(CdTrp3!W82=2,2,IF(CdTrp3!W82=3,2,0)))</f>
        <v>0</v>
      </c>
      <c r="EA54" s="219">
        <f>IF(CdTrp3!X82=1,1,IF(CdTrp3!X82=2,2,IF(CdTrp3!X82=3,2,0)))</f>
        <v>0</v>
      </c>
      <c r="EB54" s="219">
        <f>IF(CdTrp3!Y82=1,1,IF(CdTrp3!Y82=2,2,IF(CdTrp3!Y82=3,2,0)))</f>
        <v>0</v>
      </c>
      <c r="EC54" s="219">
        <f>CdTrp4!R46</f>
        <v>0</v>
      </c>
      <c r="ED54" s="219">
        <f>CdTrp4!S46</f>
        <v>0</v>
      </c>
      <c r="EE54" s="219">
        <f>CdTrp4!T46</f>
        <v>0</v>
      </c>
      <c r="EF54" s="219">
        <f>CdTrp4!U46</f>
        <v>0</v>
      </c>
      <c r="EG54" s="219">
        <f>CdTrp4!V46</f>
        <v>0</v>
      </c>
      <c r="EH54" s="219">
        <f>CdTrp4!W46</f>
        <v>0</v>
      </c>
      <c r="EI54" s="219">
        <f>CdTrp4!X46</f>
        <v>0</v>
      </c>
      <c r="EJ54" s="219">
        <f>CdTrp4!Y46</f>
        <v>0</v>
      </c>
    </row>
    <row r="55" spans="1:143" x14ac:dyDescent="0.25">
      <c r="A55" s="5"/>
      <c r="B55" s="5"/>
      <c r="C55" s="5"/>
      <c r="D55" s="5"/>
      <c r="R55" s="14" t="s">
        <v>1043</v>
      </c>
      <c r="S55" s="30">
        <f>S54*[1]Eco!$B$25</f>
        <v>0</v>
      </c>
      <c r="X55" s="215"/>
      <c r="Y55" s="215"/>
      <c r="Z55" s="215"/>
      <c r="AA55" s="215"/>
      <c r="AB55" s="215"/>
      <c r="AC55" s="215"/>
      <c r="AD55" s="215"/>
      <c r="AE55" s="215"/>
      <c r="AF55" s="215"/>
      <c r="AG55" s="215" t="str">
        <f>CdTrp1!A47</f>
        <v>lot9</v>
      </c>
      <c r="AH55" s="219">
        <f>CdTrp1!B47</f>
        <v>0</v>
      </c>
      <c r="AI55" s="219">
        <f>CdTrp1!C47</f>
        <v>0</v>
      </c>
      <c r="AJ55" s="219">
        <f>CdTrp1!D47</f>
        <v>0</v>
      </c>
      <c r="AK55" s="219">
        <f>CdTrp1!E47</f>
        <v>0</v>
      </c>
      <c r="AL55" s="219">
        <f>CdTrp1!F47</f>
        <v>0</v>
      </c>
      <c r="AM55" s="219">
        <f>CdTrp1!G47</f>
        <v>0</v>
      </c>
      <c r="AN55" s="219">
        <f>CdTrp1!H47</f>
        <v>0</v>
      </c>
      <c r="AO55" s="219">
        <f>CdTrp1!I47</f>
        <v>0</v>
      </c>
      <c r="AP55" s="219">
        <f>CdTrp1!J47</f>
        <v>0</v>
      </c>
      <c r="AQ55" s="219">
        <f>CdTrp1!K47</f>
        <v>0</v>
      </c>
      <c r="AR55" s="219">
        <f>CdTrp1!L47</f>
        <v>0</v>
      </c>
      <c r="AS55" s="219">
        <f>CdTrp1!M47</f>
        <v>0</v>
      </c>
      <c r="AT55" s="219">
        <f>CdTrp1!N47</f>
        <v>0</v>
      </c>
      <c r="AU55" s="219">
        <f>CdTrp1!O47</f>
        <v>0</v>
      </c>
      <c r="AV55" s="219">
        <f>IF(CdTrp1!B83=1,1,IF(CdTrp1!B83=2,2,IF(CdTrp1!B83=3,2,0)))</f>
        <v>0</v>
      </c>
      <c r="AW55" s="219">
        <f>IF(CdTrp1!C83=1,1,IF(CdTrp1!C83=2,2,IF(CdTrp1!C83=3,2,0)))</f>
        <v>0</v>
      </c>
      <c r="AX55" s="219">
        <f>IF(CdTrp1!D83=1,1,IF(CdTrp1!D83=2,2,IF(CdTrp1!D83=3,2,0)))</f>
        <v>0</v>
      </c>
      <c r="AY55" s="219">
        <f>IF(CdTrp1!E83=1,1,IF(CdTrp1!E83=2,2,IF(CdTrp1!E83=3,2,0)))</f>
        <v>0</v>
      </c>
      <c r="AZ55" s="219">
        <f>IF(CdTrp1!F83=1,1,IF(CdTrp1!F83=2,2,IF(CdTrp1!F83=3,2,0)))</f>
        <v>0</v>
      </c>
      <c r="BA55" s="219">
        <f>IF(CdTrp1!G83=1,1,IF(CdTrp1!G83=2,2,IF(CdTrp1!G83=3,2,0)))</f>
        <v>0</v>
      </c>
      <c r="BB55" s="219">
        <f>IF(CdTrp1!H83=1,1,IF(CdTrp1!H83=2,2,IF(CdTrp1!H83=3,2,0)))</f>
        <v>0</v>
      </c>
      <c r="BC55" s="219">
        <f>IF(CdTrp1!I83=1,1,IF(CdTrp1!I83=2,2,IF(CdTrp1!I83=3,2,0)))</f>
        <v>0</v>
      </c>
      <c r="BD55" s="219">
        <f>IF(CdTrp1!J83=1,1,IF(CdTrp1!J83=2,2,IF(CdTrp1!J83=3,2,0)))</f>
        <v>0</v>
      </c>
      <c r="BE55" s="219">
        <f>IF(CdTrp1!K83=1,1,IF(CdTrp1!K83=2,2,IF(CdTrp1!K83=3,2,0)))</f>
        <v>0</v>
      </c>
      <c r="BF55" s="219">
        <f>IF(CdTrp1!L83=1,1,IF(CdTrp1!L83=2,2,IF(CdTrp1!L83=3,2,0)))</f>
        <v>0</v>
      </c>
      <c r="BG55" s="219">
        <f>IF(CdTrp1!M83=1,1,IF(CdTrp1!M83=2,2,IF(CdTrp1!M83=3,2,0)))</f>
        <v>0</v>
      </c>
      <c r="BH55" s="219">
        <f>IF(CdTrp1!N83=1,1,IF(CdTrp1!N83=2,2,IF(CdTrp1!N83=3,2,0)))</f>
        <v>0</v>
      </c>
      <c r="BI55" s="219">
        <f>IF(CdTrp1!O83=1,1,IF(CdTrp1!O83=2,2,IF(CdTrp1!O83=3,2,0)))</f>
        <v>0</v>
      </c>
      <c r="BJ55" s="219">
        <f>IF(CdTrp1!P83=1,1,IF(CdTrp1!P83=2,2,IF(CdTrp1!P83=3,2,0)))</f>
        <v>0</v>
      </c>
      <c r="BK55" s="219">
        <f>IF(CdTrp1!Q83=1,1,IF(CdTrp1!Q83=2,2,IF(CdTrp1!Q83=3,2,0)))</f>
        <v>0</v>
      </c>
      <c r="BL55" s="219">
        <f>IF(CdTrp1!R83=1,1,IF(CdTrp1!R83=2,2,IF(CdTrp1!R83=3,2,0)))</f>
        <v>0</v>
      </c>
      <c r="BM55" s="219">
        <f>IF(CdTrp1!S83=1,1,IF(CdTrp1!S83=2,2,IF(CdTrp1!S83=3,2,0)))</f>
        <v>0</v>
      </c>
      <c r="BN55" s="219">
        <f>IF(CdTrp1!T83=1,1,IF(CdTrp1!T83=2,2,IF(CdTrp1!T83=3,2,0)))</f>
        <v>0</v>
      </c>
      <c r="BO55" s="219">
        <f>IF(CdTrp1!U83=1,1,IF(CdTrp1!U83=2,2,IF(CdTrp1!U83=3,2,0)))</f>
        <v>0</v>
      </c>
      <c r="BP55" s="219">
        <f>IF(CdTrp1!V83=1,1,IF(CdTrp1!V83=2,2,IF(CdTrp1!V83=3,2,0)))</f>
        <v>0</v>
      </c>
      <c r="BQ55" s="219">
        <f>IF(CdTrp1!W83=1,1,IF(CdTrp1!W83=2,2,IF(CdTrp1!W83=3,2,0)))</f>
        <v>0</v>
      </c>
      <c r="BR55" s="219">
        <f>IF(CdTrp1!X83=1,1,IF(CdTrp1!X83=2,2,IF(CdTrp1!X83=3,2,0)))</f>
        <v>0</v>
      </c>
      <c r="BS55" s="219">
        <f>IF(CdTrp1!Y83=1,1,IF(CdTrp1!Y83=2,2,IF(CdTrp1!Y83=3,2,0)))</f>
        <v>0</v>
      </c>
      <c r="BT55" s="215">
        <f>CdTrp2!M47</f>
        <v>0</v>
      </c>
      <c r="BU55" s="215">
        <f>CdTrp2!N47</f>
        <v>0</v>
      </c>
      <c r="BV55" s="215">
        <f>CdTrp2!O47</f>
        <v>0</v>
      </c>
      <c r="BW55" s="215">
        <f>CdTrp2!P47</f>
        <v>0</v>
      </c>
      <c r="BX55" s="215">
        <f>CdTrp2!Q47</f>
        <v>0</v>
      </c>
      <c r="BY55" s="215">
        <f>CdTrp2!R47</f>
        <v>0</v>
      </c>
      <c r="BZ55" s="215">
        <f>CdTrp2!S47</f>
        <v>0</v>
      </c>
      <c r="CA55" s="215">
        <f>CdTrp2!T47</f>
        <v>0</v>
      </c>
      <c r="CB55" s="215">
        <f>IF(CdTrp2!B83=1,1,IF(CdTrp2!B83=2,2,IF(CdTrp2!B83=3,2,0)))</f>
        <v>0</v>
      </c>
      <c r="CC55" s="215">
        <f>IF(CdTrp2!C83=1,1,IF(CdTrp2!C83=2,2,IF(CdTrp2!C83=3,2,0)))</f>
        <v>0</v>
      </c>
      <c r="CD55" s="215">
        <f>IF(CdTrp2!D83=1,1,IF(CdTrp2!D83=2,2,IF(CdTrp2!D83=3,2,0)))</f>
        <v>0</v>
      </c>
      <c r="CE55" s="215">
        <f>IF(CdTrp2!E83=1,1,IF(CdTrp2!E83=2,2,IF(CdTrp2!E83=3,2,0)))</f>
        <v>0</v>
      </c>
      <c r="CF55" s="215">
        <f>IF(CdTrp2!F83=1,1,IF(CdTrp2!F83=2,2,IF(CdTrp2!F83=3,2,0)))</f>
        <v>0</v>
      </c>
      <c r="CG55" s="215">
        <f>IF(CdTrp2!G83=1,1,IF(CdTrp2!G83=2,2,IF(CdTrp2!G83=3,2,0)))</f>
        <v>0</v>
      </c>
      <c r="CH55" s="215">
        <f>IF(CdTrp2!H83=1,1,IF(CdTrp2!H83=2,2,IF(CdTrp2!H83=3,2,0)))</f>
        <v>0</v>
      </c>
      <c r="CI55" s="215">
        <f>IF(CdTrp2!I83=1,1,IF(CdTrp2!I83=2,2,IF(CdTrp2!I83=3,2,0)))</f>
        <v>0</v>
      </c>
      <c r="CJ55" s="215">
        <f>IF(CdTrp2!J83=1,1,IF(CdTrp2!J83=2,2,IF(CdTrp2!J83=3,2,0)))</f>
        <v>0</v>
      </c>
      <c r="CK55" s="215">
        <f>IF(CdTrp2!K83=1,1,IF(CdTrp2!K83=2,2,IF(CdTrp2!K83=3,2,0)))</f>
        <v>0</v>
      </c>
      <c r="CL55" s="215">
        <f>IF(CdTrp2!L83=1,1,IF(CdTrp2!L83=2,2,IF(CdTrp2!L83=3,2,0)))</f>
        <v>0</v>
      </c>
      <c r="CM55" s="215">
        <f>IF(CdTrp2!M83=1,1,IF(CdTrp2!M83=2,2,IF(CdTrp2!M83=3,2,0)))</f>
        <v>0</v>
      </c>
      <c r="CN55" s="215">
        <f>IF(CdTrp2!N83=1,1,IF(CdTrp2!N83=2,2,IF(CdTrp2!N83=3,2,0)))</f>
        <v>0</v>
      </c>
      <c r="CO55" s="215">
        <f>IF(CdTrp2!O83=1,1,IF(CdTrp2!O83=2,2,IF(CdTrp2!O83=3,2,0)))</f>
        <v>0</v>
      </c>
      <c r="CP55" s="215">
        <f>IF(CdTrp2!P83=1,1,IF(CdTrp2!P83=2,2,IF(CdTrp2!P83=3,2,0)))</f>
        <v>0</v>
      </c>
      <c r="CQ55" s="215">
        <f>IF(CdTrp2!Q83=1,1,IF(CdTrp2!Q83=2,2,IF(CdTrp2!Q83=3,2,0)))</f>
        <v>0</v>
      </c>
      <c r="CR55" s="215">
        <f>IF(CdTrp2!R83=1,1,IF(CdTrp2!R83=2,2,IF(CdTrp2!R83=3,2,0)))</f>
        <v>0</v>
      </c>
      <c r="CS55" s="215">
        <f>IF(CdTrp2!S83=1,1,IF(CdTrp2!S83=2,2,IF(CdTrp2!S83=3,2,0)))</f>
        <v>0</v>
      </c>
      <c r="CT55" s="215">
        <f>IF(CdTrp2!T83=1,1,IF(CdTrp2!T83=2,2,IF(CdTrp2!T83=3,2,0)))</f>
        <v>0</v>
      </c>
      <c r="CU55" s="215">
        <f>IF(CdTrp2!U83=1,1,IF(CdTrp2!U83=2,2,IF(CdTrp2!U83=3,2,0)))</f>
        <v>0</v>
      </c>
      <c r="CV55" s="215">
        <f>IF(CdTrp2!V83=1,1,IF(CdTrp2!V83=2,2,IF(CdTrp2!V83=3,2,0)))</f>
        <v>0</v>
      </c>
      <c r="CW55" s="215">
        <f>IF(CdTrp2!W83=1,1,IF(CdTrp2!W83=2,2,IF(CdTrp2!W83=3,2,0)))</f>
        <v>0</v>
      </c>
      <c r="CX55" s="215">
        <f>IF(CdTrp2!X83=1,1,IF(CdTrp2!X83=2,2,IF(CdTrp2!X83=3,2,0)))</f>
        <v>0</v>
      </c>
      <c r="CY55" s="215">
        <f>IF(CdTrp2!Y83=1,1,IF(CdTrp2!Y83=2,2,IF(CdTrp2!Y83=3,2,0)))</f>
        <v>0</v>
      </c>
      <c r="CZ55" s="219">
        <f>CdTrp3!Q47</f>
        <v>0</v>
      </c>
      <c r="DA55" s="219">
        <f>CdTrp3!R47</f>
        <v>0</v>
      </c>
      <c r="DB55" s="219">
        <f>CdTrp3!S47</f>
        <v>0</v>
      </c>
      <c r="DC55" s="219">
        <f>CdTrp3!T47</f>
        <v>0</v>
      </c>
      <c r="DD55" s="219">
        <f>CdTrp3!U47</f>
        <v>0</v>
      </c>
      <c r="DE55" s="219">
        <f>IF(CdTrp3!B83=1,1,IF(CdTrp3!B83=2,2,IF(CdTrp3!B83=3,2,0)))</f>
        <v>0</v>
      </c>
      <c r="DF55" s="219">
        <f>IF(CdTrp3!C83=1,1,IF(CdTrp3!C83=2,2,IF(CdTrp3!C83=3,2,0)))</f>
        <v>0</v>
      </c>
      <c r="DG55" s="219">
        <f>IF(CdTrp3!D83=1,1,IF(CdTrp3!D83=2,2,IF(CdTrp3!D83=3,2,0)))</f>
        <v>0</v>
      </c>
      <c r="DH55" s="219">
        <f>IF(CdTrp3!E83=1,1,IF(CdTrp3!E83=2,2,IF(CdTrp3!E83=3,2,0)))</f>
        <v>0</v>
      </c>
      <c r="DI55" s="219">
        <f>IF(CdTrp3!F83=1,1,IF(CdTrp3!F83=2,2,IF(CdTrp3!F83=3,2,0)))</f>
        <v>0</v>
      </c>
      <c r="DJ55" s="219">
        <f>IF(CdTrp3!G83=1,1,IF(CdTrp3!G83=2,2,IF(CdTrp3!G83=3,2,0)))</f>
        <v>0</v>
      </c>
      <c r="DK55" s="219">
        <f>IF(CdTrp3!H83=1,1,IF(CdTrp3!H83=2,2,IF(CdTrp3!H83=3,2,0)))</f>
        <v>0</v>
      </c>
      <c r="DL55" s="219">
        <f>IF(CdTrp3!I83=1,1,IF(CdTrp3!I83=2,2,IF(CdTrp3!I83=3,2,0)))</f>
        <v>0</v>
      </c>
      <c r="DM55" s="219">
        <f>IF(CdTrp3!J83=1,1,IF(CdTrp3!J83=2,2,IF(CdTrp3!J83=3,2,0)))</f>
        <v>0</v>
      </c>
      <c r="DN55" s="219">
        <f>IF(CdTrp3!K83=1,1,IF(CdTrp3!K83=2,2,IF(CdTrp3!K83=3,2,0)))</f>
        <v>0</v>
      </c>
      <c r="DO55" s="219">
        <f>IF(CdTrp3!L83=1,1,IF(CdTrp3!L83=2,2,IF(CdTrp3!L83=3,2,0)))</f>
        <v>0</v>
      </c>
      <c r="DP55" s="219">
        <f>IF(CdTrp3!M83=1,1,IF(CdTrp3!M83=2,2,IF(CdTrp3!M83=3,2,0)))</f>
        <v>0</v>
      </c>
      <c r="DQ55" s="219">
        <f>IF(CdTrp3!N83=1,1,IF(CdTrp3!N83=2,2,IF(CdTrp3!N83=3,2,0)))</f>
        <v>0</v>
      </c>
      <c r="DR55" s="219">
        <f>IF(CdTrp3!O83=1,1,IF(CdTrp3!O83=2,2,IF(CdTrp3!O83=3,2,0)))</f>
        <v>0</v>
      </c>
      <c r="DS55" s="219">
        <f>IF(CdTrp3!P83=1,1,IF(CdTrp3!P83=2,2,IF(CdTrp3!P83=3,2,0)))</f>
        <v>0</v>
      </c>
      <c r="DT55" s="219">
        <f>IF(CdTrp3!Q83=1,1,IF(CdTrp3!Q83=2,2,IF(CdTrp3!Q83=3,2,0)))</f>
        <v>0</v>
      </c>
      <c r="DU55" s="219">
        <f>IF(CdTrp3!R83=1,1,IF(CdTrp3!R83=2,2,IF(CdTrp3!R83=3,2,0)))</f>
        <v>0</v>
      </c>
      <c r="DV55" s="219">
        <f>IF(CdTrp3!S83=1,1,IF(CdTrp3!S83=2,2,IF(CdTrp3!S83=3,2,0)))</f>
        <v>0</v>
      </c>
      <c r="DW55" s="219">
        <f>IF(CdTrp3!T83=1,1,IF(CdTrp3!T83=2,2,IF(CdTrp3!T83=3,2,0)))</f>
        <v>0</v>
      </c>
      <c r="DX55" s="219">
        <f>IF(CdTrp3!U83=1,1,IF(CdTrp3!U83=2,2,IF(CdTrp3!U83=3,2,0)))</f>
        <v>0</v>
      </c>
      <c r="DY55" s="219">
        <f>IF(CdTrp3!V83=1,1,IF(CdTrp3!V83=2,2,IF(CdTrp3!V83=3,2,0)))</f>
        <v>0</v>
      </c>
      <c r="DZ55" s="219">
        <f>IF(CdTrp3!W83=1,1,IF(CdTrp3!W83=2,2,IF(CdTrp3!W83=3,2,0)))</f>
        <v>0</v>
      </c>
      <c r="EA55" s="219">
        <f>IF(CdTrp3!X83=1,1,IF(CdTrp3!X83=2,2,IF(CdTrp3!X83=3,2,0)))</f>
        <v>0</v>
      </c>
      <c r="EB55" s="219">
        <f>IF(CdTrp3!Y83=1,1,IF(CdTrp3!Y83=2,2,IF(CdTrp3!Y83=3,2,0)))</f>
        <v>0</v>
      </c>
      <c r="EC55" s="219">
        <f>CdTrp4!R47</f>
        <v>0</v>
      </c>
      <c r="ED55" s="219">
        <f>CdTrp4!S47</f>
        <v>0</v>
      </c>
      <c r="EE55" s="219">
        <f>CdTrp4!T47</f>
        <v>0</v>
      </c>
      <c r="EF55" s="219">
        <f>CdTrp4!U47</f>
        <v>0</v>
      </c>
      <c r="EG55" s="219">
        <f>CdTrp4!V47</f>
        <v>0</v>
      </c>
      <c r="EH55" s="219">
        <f>CdTrp4!W47</f>
        <v>0</v>
      </c>
      <c r="EI55" s="219">
        <f>CdTrp4!X47</f>
        <v>0</v>
      </c>
      <c r="EJ55" s="219">
        <f>CdTrp4!Y47</f>
        <v>0</v>
      </c>
    </row>
    <row r="56" spans="1:143" x14ac:dyDescent="0.25">
      <c r="A56" s="5"/>
      <c r="B56" s="5"/>
      <c r="C56" s="5"/>
      <c r="D56" s="5"/>
      <c r="X56" s="215"/>
      <c r="Y56" s="215"/>
      <c r="Z56" s="215"/>
      <c r="AA56" s="215"/>
      <c r="AB56" s="215"/>
      <c r="AC56" s="215"/>
      <c r="AD56" s="215"/>
      <c r="AE56" s="215"/>
      <c r="AF56" s="215"/>
      <c r="AG56" s="272" t="str">
        <f>CdTrp1!A48</f>
        <v>lot10</v>
      </c>
      <c r="AH56" s="219">
        <f>CdTrp1!B48</f>
        <v>0</v>
      </c>
      <c r="AI56" s="219">
        <f>CdTrp1!C48</f>
        <v>0</v>
      </c>
      <c r="AJ56" s="219">
        <f>CdTrp1!D48</f>
        <v>0</v>
      </c>
      <c r="AK56" s="219">
        <f>CdTrp1!E48</f>
        <v>0</v>
      </c>
      <c r="AL56" s="219">
        <f>CdTrp1!F48</f>
        <v>0</v>
      </c>
      <c r="AM56" s="219">
        <f>CdTrp1!G48</f>
        <v>0</v>
      </c>
      <c r="AN56" s="219">
        <f>CdTrp1!H48</f>
        <v>0</v>
      </c>
      <c r="AO56" s="219">
        <f>CdTrp1!I48</f>
        <v>0</v>
      </c>
      <c r="AP56" s="219">
        <f>CdTrp1!J48</f>
        <v>0</v>
      </c>
      <c r="AQ56" s="219">
        <f>CdTrp1!K48</f>
        <v>0</v>
      </c>
      <c r="AR56" s="219">
        <f>CdTrp1!L48</f>
        <v>0</v>
      </c>
      <c r="AS56" s="219">
        <f>CdTrp1!M48</f>
        <v>0</v>
      </c>
      <c r="AT56" s="219">
        <f>CdTrp1!N48</f>
        <v>0</v>
      </c>
      <c r="AU56" s="219">
        <f>CdTrp1!O48</f>
        <v>0</v>
      </c>
      <c r="AV56" s="219">
        <f>IF(CdTrp1!B84=1,1,IF(CdTrp1!B84=2,2,IF(CdTrp1!B84=3,2,0)))</f>
        <v>0</v>
      </c>
      <c r="AW56" s="219">
        <f>IF(CdTrp1!C84=1,1,IF(CdTrp1!C84=2,2,IF(CdTrp1!C84=3,2,0)))</f>
        <v>0</v>
      </c>
      <c r="AX56" s="219">
        <f>IF(CdTrp1!D84=1,1,IF(CdTrp1!D84=2,2,IF(CdTrp1!D84=3,2,0)))</f>
        <v>0</v>
      </c>
      <c r="AY56" s="219">
        <f>IF(CdTrp1!E84=1,1,IF(CdTrp1!E84=2,2,IF(CdTrp1!E84=3,2,0)))</f>
        <v>0</v>
      </c>
      <c r="AZ56" s="219">
        <f>IF(CdTrp1!F84=1,1,IF(CdTrp1!F84=2,2,IF(CdTrp1!F84=3,2,0)))</f>
        <v>0</v>
      </c>
      <c r="BA56" s="219">
        <f>IF(CdTrp1!G84=1,1,IF(CdTrp1!G84=2,2,IF(CdTrp1!G84=3,2,0)))</f>
        <v>0</v>
      </c>
      <c r="BB56" s="219">
        <f>IF(CdTrp1!H84=1,1,IF(CdTrp1!H84=2,2,IF(CdTrp1!H84=3,2,0)))</f>
        <v>0</v>
      </c>
      <c r="BC56" s="219">
        <f>IF(CdTrp1!I84=1,1,IF(CdTrp1!I84=2,2,IF(CdTrp1!I84=3,2,0)))</f>
        <v>0</v>
      </c>
      <c r="BD56" s="219">
        <f>IF(CdTrp1!J84=1,1,IF(CdTrp1!J84=2,2,IF(CdTrp1!J84=3,2,0)))</f>
        <v>0</v>
      </c>
      <c r="BE56" s="219">
        <f>IF(CdTrp1!K84=1,1,IF(CdTrp1!K84=2,2,IF(CdTrp1!K84=3,2,0)))</f>
        <v>0</v>
      </c>
      <c r="BF56" s="219">
        <f>IF(CdTrp1!L84=1,1,IF(CdTrp1!L84=2,2,IF(CdTrp1!L84=3,2,0)))</f>
        <v>0</v>
      </c>
      <c r="BG56" s="219">
        <f>IF(CdTrp1!M84=1,1,IF(CdTrp1!M84=2,2,IF(CdTrp1!M84=3,2,0)))</f>
        <v>0</v>
      </c>
      <c r="BH56" s="219">
        <f>IF(CdTrp1!N84=1,1,IF(CdTrp1!N84=2,2,IF(CdTrp1!N84=3,2,0)))</f>
        <v>0</v>
      </c>
      <c r="BI56" s="219">
        <f>IF(CdTrp1!O84=1,1,IF(CdTrp1!O84=2,2,IF(CdTrp1!O84=3,2,0)))</f>
        <v>0</v>
      </c>
      <c r="BJ56" s="219">
        <f>IF(CdTrp1!P84=1,1,IF(CdTrp1!P84=2,2,IF(CdTrp1!P84=3,2,0)))</f>
        <v>0</v>
      </c>
      <c r="BK56" s="219">
        <f>IF(CdTrp1!Q84=1,1,IF(CdTrp1!Q84=2,2,IF(CdTrp1!Q84=3,2,0)))</f>
        <v>0</v>
      </c>
      <c r="BL56" s="219">
        <f>IF(CdTrp1!R84=1,1,IF(CdTrp1!R84=2,2,IF(CdTrp1!R84=3,2,0)))</f>
        <v>0</v>
      </c>
      <c r="BM56" s="219">
        <f>IF(CdTrp1!S84=1,1,IF(CdTrp1!S84=2,2,IF(CdTrp1!S84=3,2,0)))</f>
        <v>0</v>
      </c>
      <c r="BN56" s="219">
        <f>IF(CdTrp1!T84=1,1,IF(CdTrp1!T84=2,2,IF(CdTrp1!T84=3,2,0)))</f>
        <v>0</v>
      </c>
      <c r="BO56" s="219">
        <f>IF(CdTrp1!U84=1,1,IF(CdTrp1!U84=2,2,IF(CdTrp1!U84=3,2,0)))</f>
        <v>0</v>
      </c>
      <c r="BP56" s="219">
        <f>IF(CdTrp1!V84=1,1,IF(CdTrp1!V84=2,2,IF(CdTrp1!V84=3,2,0)))</f>
        <v>0</v>
      </c>
      <c r="BQ56" s="219">
        <f>IF(CdTrp1!W84=1,1,IF(CdTrp1!W84=2,2,IF(CdTrp1!W84=3,2,0)))</f>
        <v>0</v>
      </c>
      <c r="BR56" s="219">
        <f>IF(CdTrp1!X84=1,1,IF(CdTrp1!X84=2,2,IF(CdTrp1!X84=3,2,0)))</f>
        <v>0</v>
      </c>
      <c r="BS56" s="219">
        <f>IF(CdTrp1!Y84=1,1,IF(CdTrp1!Y84=2,2,IF(CdTrp1!Y84=3,2,0)))</f>
        <v>0</v>
      </c>
      <c r="BT56" s="215">
        <f>CdTrp2!M48</f>
        <v>0</v>
      </c>
      <c r="BU56" s="215">
        <f>CdTrp2!N48</f>
        <v>0</v>
      </c>
      <c r="BV56" s="215">
        <f>CdTrp2!O48</f>
        <v>0</v>
      </c>
      <c r="BW56" s="215">
        <f>CdTrp2!P48</f>
        <v>0</v>
      </c>
      <c r="BX56" s="215">
        <f>CdTrp2!Q48</f>
        <v>0</v>
      </c>
      <c r="BY56" s="215">
        <f>CdTrp2!R48</f>
        <v>0</v>
      </c>
      <c r="BZ56" s="215">
        <f>CdTrp2!S48</f>
        <v>0</v>
      </c>
      <c r="CA56" s="215">
        <f>CdTrp2!T48</f>
        <v>0</v>
      </c>
      <c r="CB56" s="215">
        <f>IF(CdTrp2!B84=1,1,IF(CdTrp2!B84=2,2,IF(CdTrp2!B84=3,2,0)))</f>
        <v>0</v>
      </c>
      <c r="CC56" s="215">
        <f>IF(CdTrp2!C84=1,1,IF(CdTrp2!C84=2,2,IF(CdTrp2!C84=3,2,0)))</f>
        <v>0</v>
      </c>
      <c r="CD56" s="215">
        <f>IF(CdTrp2!D84=1,1,IF(CdTrp2!D84=2,2,IF(CdTrp2!D84=3,2,0)))</f>
        <v>0</v>
      </c>
      <c r="CE56" s="215">
        <f>IF(CdTrp2!E84=1,1,IF(CdTrp2!E84=2,2,IF(CdTrp2!E84=3,2,0)))</f>
        <v>0</v>
      </c>
      <c r="CF56" s="215">
        <f>IF(CdTrp2!F84=1,1,IF(CdTrp2!F84=2,2,IF(CdTrp2!F84=3,2,0)))</f>
        <v>0</v>
      </c>
      <c r="CG56" s="215">
        <f>IF(CdTrp2!G84=1,1,IF(CdTrp2!G84=2,2,IF(CdTrp2!G84=3,2,0)))</f>
        <v>0</v>
      </c>
      <c r="CH56" s="215">
        <f>IF(CdTrp2!H84=1,1,IF(CdTrp2!H84=2,2,IF(CdTrp2!H84=3,2,0)))</f>
        <v>0</v>
      </c>
      <c r="CI56" s="215">
        <f>IF(CdTrp2!I84=1,1,IF(CdTrp2!I84=2,2,IF(CdTrp2!I84=3,2,0)))</f>
        <v>0</v>
      </c>
      <c r="CJ56" s="215">
        <f>IF(CdTrp2!J84=1,1,IF(CdTrp2!J84=2,2,IF(CdTrp2!J84=3,2,0)))</f>
        <v>0</v>
      </c>
      <c r="CK56" s="215">
        <f>IF(CdTrp2!K84=1,1,IF(CdTrp2!K84=2,2,IF(CdTrp2!K84=3,2,0)))</f>
        <v>0</v>
      </c>
      <c r="CL56" s="215">
        <f>IF(CdTrp2!L84=1,1,IF(CdTrp2!L84=2,2,IF(CdTrp2!L84=3,2,0)))</f>
        <v>0</v>
      </c>
      <c r="CM56" s="215">
        <f>IF(CdTrp2!M84=1,1,IF(CdTrp2!M84=2,2,IF(CdTrp2!M84=3,2,0)))</f>
        <v>0</v>
      </c>
      <c r="CN56" s="215">
        <f>IF(CdTrp2!N84=1,1,IF(CdTrp2!N84=2,2,IF(CdTrp2!N84=3,2,0)))</f>
        <v>0</v>
      </c>
      <c r="CO56" s="215">
        <f>IF(CdTrp2!O84=1,1,IF(CdTrp2!O84=2,2,IF(CdTrp2!O84=3,2,0)))</f>
        <v>0</v>
      </c>
      <c r="CP56" s="215">
        <f>IF(CdTrp2!P84=1,1,IF(CdTrp2!P84=2,2,IF(CdTrp2!P84=3,2,0)))</f>
        <v>0</v>
      </c>
      <c r="CQ56" s="215">
        <f>IF(CdTrp2!Q84=1,1,IF(CdTrp2!Q84=2,2,IF(CdTrp2!Q84=3,2,0)))</f>
        <v>0</v>
      </c>
      <c r="CR56" s="215">
        <f>IF(CdTrp2!R84=1,1,IF(CdTrp2!R84=2,2,IF(CdTrp2!R84=3,2,0)))</f>
        <v>0</v>
      </c>
      <c r="CS56" s="215">
        <f>IF(CdTrp2!S84=1,1,IF(CdTrp2!S84=2,2,IF(CdTrp2!S84=3,2,0)))</f>
        <v>0</v>
      </c>
      <c r="CT56" s="215">
        <f>IF(CdTrp2!T84=1,1,IF(CdTrp2!T84=2,2,IF(CdTrp2!T84=3,2,0)))</f>
        <v>0</v>
      </c>
      <c r="CU56" s="215">
        <f>IF(CdTrp2!U84=1,1,IF(CdTrp2!U84=2,2,IF(CdTrp2!U84=3,2,0)))</f>
        <v>0</v>
      </c>
      <c r="CV56" s="215">
        <f>IF(CdTrp2!V84=1,1,IF(CdTrp2!V84=2,2,IF(CdTrp2!V84=3,2,0)))</f>
        <v>0</v>
      </c>
      <c r="CW56" s="215">
        <f>IF(CdTrp2!W84=1,1,IF(CdTrp2!W84=2,2,IF(CdTrp2!W84=3,2,0)))</f>
        <v>0</v>
      </c>
      <c r="CX56" s="215">
        <f>IF(CdTrp2!X84=1,1,IF(CdTrp2!X84=2,2,IF(CdTrp2!X84=3,2,0)))</f>
        <v>0</v>
      </c>
      <c r="CY56" s="215">
        <f>IF(CdTrp2!Y84=1,1,IF(CdTrp2!Y84=2,2,IF(CdTrp2!Y84=3,2,0)))</f>
        <v>0</v>
      </c>
      <c r="CZ56" s="219">
        <f>CdTrp3!Q48</f>
        <v>0</v>
      </c>
      <c r="DA56" s="219">
        <f>CdTrp3!R48</f>
        <v>0</v>
      </c>
      <c r="DB56" s="219">
        <f>CdTrp3!S48</f>
        <v>0</v>
      </c>
      <c r="DC56" s="219">
        <f>CdTrp3!T48</f>
        <v>0</v>
      </c>
      <c r="DD56" s="219">
        <f>CdTrp3!U48</f>
        <v>0</v>
      </c>
      <c r="DE56" s="219">
        <f>IF(CdTrp3!B84=1,1,IF(CdTrp3!B84=2,2,IF(CdTrp3!B84=3,2,0)))</f>
        <v>0</v>
      </c>
      <c r="DF56" s="219">
        <f>IF(CdTrp3!C84=1,1,IF(CdTrp3!C84=2,2,IF(CdTrp3!C84=3,2,0)))</f>
        <v>0</v>
      </c>
      <c r="DG56" s="219">
        <f>IF(CdTrp3!D84=1,1,IF(CdTrp3!D84=2,2,IF(CdTrp3!D84=3,2,0)))</f>
        <v>0</v>
      </c>
      <c r="DH56" s="219">
        <f>IF(CdTrp3!E84=1,1,IF(CdTrp3!E84=2,2,IF(CdTrp3!E84=3,2,0)))</f>
        <v>0</v>
      </c>
      <c r="DI56" s="219">
        <f>IF(CdTrp3!F84=1,1,IF(CdTrp3!F84=2,2,IF(CdTrp3!F84=3,2,0)))</f>
        <v>0</v>
      </c>
      <c r="DJ56" s="219">
        <f>IF(CdTrp3!G84=1,1,IF(CdTrp3!G84=2,2,IF(CdTrp3!G84=3,2,0)))</f>
        <v>0</v>
      </c>
      <c r="DK56" s="219">
        <f>IF(CdTrp3!H84=1,1,IF(CdTrp3!H84=2,2,IF(CdTrp3!H84=3,2,0)))</f>
        <v>0</v>
      </c>
      <c r="DL56" s="219">
        <f>IF(CdTrp3!I84=1,1,IF(CdTrp3!I84=2,2,IF(CdTrp3!I84=3,2,0)))</f>
        <v>0</v>
      </c>
      <c r="DM56" s="219">
        <f>IF(CdTrp3!J84=1,1,IF(CdTrp3!J84=2,2,IF(CdTrp3!J84=3,2,0)))</f>
        <v>0</v>
      </c>
      <c r="DN56" s="219">
        <f>IF(CdTrp3!K84=1,1,IF(CdTrp3!K84=2,2,IF(CdTrp3!K84=3,2,0)))</f>
        <v>0</v>
      </c>
      <c r="DO56" s="219">
        <f>IF(CdTrp3!L84=1,1,IF(CdTrp3!L84=2,2,IF(CdTrp3!L84=3,2,0)))</f>
        <v>0</v>
      </c>
      <c r="DP56" s="219">
        <f>IF(CdTrp3!M84=1,1,IF(CdTrp3!M84=2,2,IF(CdTrp3!M84=3,2,0)))</f>
        <v>0</v>
      </c>
      <c r="DQ56" s="219">
        <f>IF(CdTrp3!N84=1,1,IF(CdTrp3!N84=2,2,IF(CdTrp3!N84=3,2,0)))</f>
        <v>0</v>
      </c>
      <c r="DR56" s="219">
        <f>IF(CdTrp3!O84=1,1,IF(CdTrp3!O84=2,2,IF(CdTrp3!O84=3,2,0)))</f>
        <v>0</v>
      </c>
      <c r="DS56" s="219">
        <f>IF(CdTrp3!P84=1,1,IF(CdTrp3!P84=2,2,IF(CdTrp3!P84=3,2,0)))</f>
        <v>0</v>
      </c>
      <c r="DT56" s="219">
        <f>IF(CdTrp3!Q84=1,1,IF(CdTrp3!Q84=2,2,IF(CdTrp3!Q84=3,2,0)))</f>
        <v>0</v>
      </c>
      <c r="DU56" s="219">
        <f>IF(CdTrp3!R84=1,1,IF(CdTrp3!R84=2,2,IF(CdTrp3!R84=3,2,0)))</f>
        <v>0</v>
      </c>
      <c r="DV56" s="219">
        <f>IF(CdTrp3!S84=1,1,IF(CdTrp3!S84=2,2,IF(CdTrp3!S84=3,2,0)))</f>
        <v>0</v>
      </c>
      <c r="DW56" s="219">
        <f>IF(CdTrp3!T84=1,1,IF(CdTrp3!T84=2,2,IF(CdTrp3!T84=3,2,0)))</f>
        <v>0</v>
      </c>
      <c r="DX56" s="219">
        <f>IF(CdTrp3!U84=1,1,IF(CdTrp3!U84=2,2,IF(CdTrp3!U84=3,2,0)))</f>
        <v>0</v>
      </c>
      <c r="DY56" s="219">
        <f>IF(CdTrp3!V84=1,1,IF(CdTrp3!V84=2,2,IF(CdTrp3!V84=3,2,0)))</f>
        <v>0</v>
      </c>
      <c r="DZ56" s="219">
        <f>IF(CdTrp3!W84=1,1,IF(CdTrp3!W84=2,2,IF(CdTrp3!W84=3,2,0)))</f>
        <v>0</v>
      </c>
      <c r="EA56" s="219">
        <f>IF(CdTrp3!X84=1,1,IF(CdTrp3!X84=2,2,IF(CdTrp3!X84=3,2,0)))</f>
        <v>0</v>
      </c>
      <c r="EB56" s="219">
        <f>IF(CdTrp3!Y84=1,1,IF(CdTrp3!Y84=2,2,IF(CdTrp3!Y84=3,2,0)))</f>
        <v>0</v>
      </c>
      <c r="EC56" s="219">
        <f>CdTrp4!R48</f>
        <v>0</v>
      </c>
      <c r="ED56" s="219">
        <f>CdTrp4!S48</f>
        <v>0</v>
      </c>
      <c r="EE56" s="219">
        <f>CdTrp4!T48</f>
        <v>0</v>
      </c>
      <c r="EF56" s="219">
        <f>CdTrp4!U48</f>
        <v>0</v>
      </c>
      <c r="EG56" s="219">
        <f>CdTrp4!V48</f>
        <v>0</v>
      </c>
      <c r="EH56" s="219">
        <f>CdTrp4!W48</f>
        <v>0</v>
      </c>
      <c r="EI56" s="219">
        <f>CdTrp4!X48</f>
        <v>0</v>
      </c>
      <c r="EJ56" s="219">
        <f>CdTrp4!Y48</f>
        <v>0</v>
      </c>
    </row>
    <row r="57" spans="1:143" x14ac:dyDescent="0.25">
      <c r="A57" s="5"/>
      <c r="B57" s="5"/>
      <c r="C57" s="5"/>
      <c r="D57" s="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9">
        <f>IF(CdTrp1!B85=1,1,IF(CdTrp1!B85=2,2,IF(CdTrp1!B85=3,2,0)))</f>
        <v>0</v>
      </c>
      <c r="AW57" s="219">
        <f>IF(CdTrp1!C85=1,1,IF(CdTrp1!C85=2,2,IF(CdTrp1!C85=3,2,0)))</f>
        <v>0</v>
      </c>
      <c r="AX57" s="219">
        <f>IF(CdTrp1!D85=1,1,IF(CdTrp1!D85=2,2,IF(CdTrp1!D85=3,2,0)))</f>
        <v>0</v>
      </c>
      <c r="AY57" s="219">
        <f>IF(CdTrp1!E85=1,1,IF(CdTrp1!E85=2,2,IF(CdTrp1!E85=3,2,0)))</f>
        <v>0</v>
      </c>
      <c r="AZ57" s="219">
        <f>IF(CdTrp1!F85=1,1,IF(CdTrp1!F85=2,2,IF(CdTrp1!F85=3,2,0)))</f>
        <v>0</v>
      </c>
      <c r="BA57" s="219">
        <f>IF(CdTrp1!G85=1,1,IF(CdTrp1!G85=2,2,IF(CdTrp1!G85=3,2,0)))</f>
        <v>0</v>
      </c>
      <c r="BB57" s="219">
        <f>IF(CdTrp1!H85=1,1,IF(CdTrp1!H85=2,2,IF(CdTrp1!H85=3,2,0)))</f>
        <v>0</v>
      </c>
      <c r="BC57" s="219">
        <f>IF(CdTrp1!I85=1,1,IF(CdTrp1!I85=2,2,IF(CdTrp1!I85=3,2,0)))</f>
        <v>0</v>
      </c>
      <c r="BD57" s="219">
        <f>IF(CdTrp1!J85=1,1,IF(CdTrp1!J85=2,2,IF(CdTrp1!J85=3,2,0)))</f>
        <v>0</v>
      </c>
      <c r="BE57" s="219">
        <f>IF(CdTrp1!K85=1,1,IF(CdTrp1!K85=2,2,IF(CdTrp1!K85=3,2,0)))</f>
        <v>0</v>
      </c>
      <c r="BF57" s="219">
        <f>IF(CdTrp1!L85=1,1,IF(CdTrp1!L85=2,2,IF(CdTrp1!L85=3,2,0)))</f>
        <v>0</v>
      </c>
      <c r="BG57" s="219">
        <f>IF(CdTrp1!M85=1,1,IF(CdTrp1!M85=2,2,IF(CdTrp1!M85=3,2,0)))</f>
        <v>0</v>
      </c>
      <c r="BH57" s="219">
        <f>IF(CdTrp1!N85=1,1,IF(CdTrp1!N85=2,2,IF(CdTrp1!N85=3,2,0)))</f>
        <v>0</v>
      </c>
      <c r="BI57" s="219">
        <f>IF(CdTrp1!O85=1,1,IF(CdTrp1!O85=2,2,IF(CdTrp1!O85=3,2,0)))</f>
        <v>0</v>
      </c>
      <c r="BJ57" s="219">
        <f>IF(CdTrp1!P85=1,1,IF(CdTrp1!P85=2,2,IF(CdTrp1!P85=3,2,0)))</f>
        <v>0</v>
      </c>
      <c r="BK57" s="219">
        <f>IF(CdTrp1!Q85=1,1,IF(CdTrp1!Q85=2,2,IF(CdTrp1!Q85=3,2,0)))</f>
        <v>0</v>
      </c>
      <c r="BL57" s="219">
        <f>IF(CdTrp1!R85=1,1,IF(CdTrp1!R85=2,2,IF(CdTrp1!R85=3,2,0)))</f>
        <v>0</v>
      </c>
      <c r="BM57" s="219">
        <f>IF(CdTrp1!S85=1,1,IF(CdTrp1!S85=2,2,IF(CdTrp1!S85=3,2,0)))</f>
        <v>0</v>
      </c>
      <c r="BN57" s="219">
        <f>IF(CdTrp1!T85=1,1,IF(CdTrp1!T85=2,2,IF(CdTrp1!T85=3,2,0)))</f>
        <v>0</v>
      </c>
      <c r="BO57" s="219">
        <f>IF(CdTrp1!U85=1,1,IF(CdTrp1!U85=2,2,IF(CdTrp1!U85=3,2,0)))</f>
        <v>0</v>
      </c>
      <c r="BP57" s="219">
        <f>IF(CdTrp1!V85=1,1,IF(CdTrp1!V85=2,2,IF(CdTrp1!V85=3,2,0)))</f>
        <v>0</v>
      </c>
      <c r="BQ57" s="219">
        <f>IF(CdTrp1!W85=1,1,IF(CdTrp1!W85=2,2,IF(CdTrp1!W85=3,2,0)))</f>
        <v>0</v>
      </c>
      <c r="BR57" s="219">
        <f>IF(CdTrp1!X85=1,1,IF(CdTrp1!X85=2,2,IF(CdTrp1!X85=3,2,0)))</f>
        <v>0</v>
      </c>
      <c r="BS57" s="219">
        <f>IF(CdTrp1!Y85=1,1,IF(CdTrp1!Y85=2,2,IF(CdTrp1!Y85=3,2,0)))</f>
        <v>0</v>
      </c>
      <c r="BT57" s="215"/>
      <c r="BU57" s="215"/>
      <c r="BV57" s="215"/>
      <c r="BW57" s="215"/>
      <c r="BX57" s="215"/>
      <c r="BY57" s="215"/>
      <c r="BZ57" s="215"/>
      <c r="CA57" s="215"/>
      <c r="CB57" s="215">
        <f>IF(CdTrp2!B85=1,1,IF(CdTrp2!B85=2,2,IF(CdTrp2!B85=3,2,0)))</f>
        <v>0</v>
      </c>
      <c r="CC57" s="215">
        <f>IF(CdTrp2!C85=1,1,IF(CdTrp2!C85=2,2,IF(CdTrp2!C85=3,2,0)))</f>
        <v>0</v>
      </c>
      <c r="CD57" s="215">
        <f>IF(CdTrp2!D85=1,1,IF(CdTrp2!D85=2,2,IF(CdTrp2!D85=3,2,0)))</f>
        <v>0</v>
      </c>
      <c r="CE57" s="215">
        <f>IF(CdTrp2!E85=1,1,IF(CdTrp2!E85=2,2,IF(CdTrp2!E85=3,2,0)))</f>
        <v>0</v>
      </c>
      <c r="CF57" s="215">
        <f>IF(CdTrp2!F85=1,1,IF(CdTrp2!F85=2,2,IF(CdTrp2!F85=3,2,0)))</f>
        <v>0</v>
      </c>
      <c r="CG57" s="215">
        <f>IF(CdTrp2!G85=1,1,IF(CdTrp2!G85=2,2,IF(CdTrp2!G85=3,2,0)))</f>
        <v>0</v>
      </c>
      <c r="CH57" s="215">
        <f>IF(CdTrp2!H85=1,1,IF(CdTrp2!H85=2,2,IF(CdTrp2!H85=3,2,0)))</f>
        <v>0</v>
      </c>
      <c r="CI57" s="215">
        <f>IF(CdTrp2!I85=1,1,IF(CdTrp2!I85=2,2,IF(CdTrp2!I85=3,2,0)))</f>
        <v>0</v>
      </c>
      <c r="CJ57" s="215">
        <f>IF(CdTrp2!J85=1,1,IF(CdTrp2!J85=2,2,IF(CdTrp2!J85=3,2,0)))</f>
        <v>0</v>
      </c>
      <c r="CK57" s="215">
        <f>IF(CdTrp2!K85=1,1,IF(CdTrp2!K85=2,2,IF(CdTrp2!K85=3,2,0)))</f>
        <v>0</v>
      </c>
      <c r="CL57" s="215">
        <f>IF(CdTrp2!L85=1,1,IF(CdTrp2!L85=2,2,IF(CdTrp2!L85=3,2,0)))</f>
        <v>0</v>
      </c>
      <c r="CM57" s="215">
        <f>IF(CdTrp2!M85=1,1,IF(CdTrp2!M85=2,2,IF(CdTrp2!M85=3,2,0)))</f>
        <v>0</v>
      </c>
      <c r="CN57" s="215">
        <f>IF(CdTrp2!N85=1,1,IF(CdTrp2!N85=2,2,IF(CdTrp2!N85=3,2,0)))</f>
        <v>0</v>
      </c>
      <c r="CO57" s="215">
        <f>IF(CdTrp2!O85=1,1,IF(CdTrp2!O85=2,2,IF(CdTrp2!O85=3,2,0)))</f>
        <v>0</v>
      </c>
      <c r="CP57" s="215">
        <f>IF(CdTrp2!P85=1,1,IF(CdTrp2!P85=2,2,IF(CdTrp2!P85=3,2,0)))</f>
        <v>0</v>
      </c>
      <c r="CQ57" s="215">
        <f>IF(CdTrp2!Q85=1,1,IF(CdTrp2!Q85=2,2,IF(CdTrp2!Q85=3,2,0)))</f>
        <v>0</v>
      </c>
      <c r="CR57" s="215">
        <f>IF(CdTrp2!R85=1,1,IF(CdTrp2!R85=2,2,IF(CdTrp2!R85=3,2,0)))</f>
        <v>0</v>
      </c>
      <c r="CS57" s="215">
        <f>IF(CdTrp2!S85=1,1,IF(CdTrp2!S85=2,2,IF(CdTrp2!S85=3,2,0)))</f>
        <v>0</v>
      </c>
      <c r="CT57" s="215">
        <f>IF(CdTrp2!T85=1,1,IF(CdTrp2!T85=2,2,IF(CdTrp2!T85=3,2,0)))</f>
        <v>0</v>
      </c>
      <c r="CU57" s="215">
        <f>IF(CdTrp2!U85=1,1,IF(CdTrp2!U85=2,2,IF(CdTrp2!U85=3,2,0)))</f>
        <v>0</v>
      </c>
      <c r="CV57" s="215">
        <f>IF(CdTrp2!V85=1,1,IF(CdTrp2!V85=2,2,IF(CdTrp2!V85=3,2,0)))</f>
        <v>0</v>
      </c>
      <c r="CW57" s="215">
        <f>IF(CdTrp2!W85=1,1,IF(CdTrp2!W85=2,2,IF(CdTrp2!W85=3,2,0)))</f>
        <v>0</v>
      </c>
      <c r="CX57" s="215">
        <f>IF(CdTrp2!X85=1,1,IF(CdTrp2!X85=2,2,IF(CdTrp2!X85=3,2,0)))</f>
        <v>0</v>
      </c>
      <c r="CY57" s="215">
        <f>IF(CdTrp2!Y85=1,1,IF(CdTrp2!Y85=2,2,IF(CdTrp2!Y85=3,2,0)))</f>
        <v>0</v>
      </c>
      <c r="CZ57" s="219"/>
      <c r="DA57" s="219"/>
      <c r="DB57" s="219"/>
      <c r="DC57" s="219"/>
      <c r="DD57" s="219"/>
      <c r="DE57" s="219">
        <f>IF(CdTrp3!B85=1,1,IF(CdTrp3!B85=2,2,IF(CdTrp3!B85=3,2,0)))</f>
        <v>0</v>
      </c>
      <c r="DF57" s="219">
        <f>IF(CdTrp3!C85=1,1,IF(CdTrp3!C85=2,2,IF(CdTrp3!C85=3,2,0)))</f>
        <v>0</v>
      </c>
      <c r="DG57" s="219">
        <f>IF(CdTrp3!D85=1,1,IF(CdTrp3!D85=2,2,IF(CdTrp3!D85=3,2,0)))</f>
        <v>0</v>
      </c>
      <c r="DH57" s="219">
        <f>IF(CdTrp3!E85=1,1,IF(CdTrp3!E85=2,2,IF(CdTrp3!E85=3,2,0)))</f>
        <v>0</v>
      </c>
      <c r="DI57" s="219">
        <f>IF(CdTrp3!F85=1,1,IF(CdTrp3!F85=2,2,IF(CdTrp3!F85=3,2,0)))</f>
        <v>0</v>
      </c>
      <c r="DJ57" s="219">
        <f>IF(CdTrp3!G85=1,1,IF(CdTrp3!G85=2,2,IF(CdTrp3!G85=3,2,0)))</f>
        <v>0</v>
      </c>
      <c r="DK57" s="219">
        <f>IF(CdTrp3!H85=1,1,IF(CdTrp3!H85=2,2,IF(CdTrp3!H85=3,2,0)))</f>
        <v>0</v>
      </c>
      <c r="DL57" s="219">
        <f>IF(CdTrp3!I85=1,1,IF(CdTrp3!I85=2,2,IF(CdTrp3!I85=3,2,0)))</f>
        <v>0</v>
      </c>
      <c r="DM57" s="219">
        <f>IF(CdTrp3!J85=1,1,IF(CdTrp3!J85=2,2,IF(CdTrp3!J85=3,2,0)))</f>
        <v>0</v>
      </c>
      <c r="DN57" s="219">
        <f>IF(CdTrp3!K85=1,1,IF(CdTrp3!K85=2,2,IF(CdTrp3!K85=3,2,0)))</f>
        <v>0</v>
      </c>
      <c r="DO57" s="219">
        <f>IF(CdTrp3!L85=1,1,IF(CdTrp3!L85=2,2,IF(CdTrp3!L85=3,2,0)))</f>
        <v>0</v>
      </c>
      <c r="DP57" s="219">
        <f>IF(CdTrp3!M85=1,1,IF(CdTrp3!M85=2,2,IF(CdTrp3!M85=3,2,0)))</f>
        <v>0</v>
      </c>
      <c r="DQ57" s="219">
        <f>IF(CdTrp3!N85=1,1,IF(CdTrp3!N85=2,2,IF(CdTrp3!N85=3,2,0)))</f>
        <v>0</v>
      </c>
      <c r="DR57" s="219">
        <f>IF(CdTrp3!O85=1,1,IF(CdTrp3!O85=2,2,IF(CdTrp3!O85=3,2,0)))</f>
        <v>0</v>
      </c>
      <c r="DS57" s="219">
        <f>IF(CdTrp3!P85=1,1,IF(CdTrp3!P85=2,2,IF(CdTrp3!P85=3,2,0)))</f>
        <v>0</v>
      </c>
      <c r="DT57" s="219">
        <f>IF(CdTrp3!Q85=1,1,IF(CdTrp3!Q85=2,2,IF(CdTrp3!Q85=3,2,0)))</f>
        <v>0</v>
      </c>
      <c r="DU57" s="219">
        <f>IF(CdTrp3!R85=1,1,IF(CdTrp3!R85=2,2,IF(CdTrp3!R85=3,2,0)))</f>
        <v>0</v>
      </c>
      <c r="DV57" s="219">
        <f>IF(CdTrp3!S85=1,1,IF(CdTrp3!S85=2,2,IF(CdTrp3!S85=3,2,0)))</f>
        <v>0</v>
      </c>
      <c r="DW57" s="219">
        <f>IF(CdTrp3!T85=1,1,IF(CdTrp3!T85=2,2,IF(CdTrp3!T85=3,2,0)))</f>
        <v>0</v>
      </c>
      <c r="DX57" s="219">
        <f>IF(CdTrp3!U85=1,1,IF(CdTrp3!U85=2,2,IF(CdTrp3!U85=3,2,0)))</f>
        <v>0</v>
      </c>
      <c r="DY57" s="219">
        <f>IF(CdTrp3!V85=1,1,IF(CdTrp3!V85=2,2,IF(CdTrp3!V85=3,2,0)))</f>
        <v>0</v>
      </c>
      <c r="DZ57" s="219">
        <f>IF(CdTrp3!W85=1,1,IF(CdTrp3!W85=2,2,IF(CdTrp3!W85=3,2,0)))</f>
        <v>0</v>
      </c>
      <c r="EA57" s="219">
        <f>IF(CdTrp3!X85=1,1,IF(CdTrp3!X85=2,2,IF(CdTrp3!X85=3,2,0)))</f>
        <v>0</v>
      </c>
      <c r="EB57" s="219">
        <f>IF(CdTrp3!Y85=1,1,IF(CdTrp3!Y85=2,2,IF(CdTrp3!Y85=3,2,0)))</f>
        <v>0</v>
      </c>
      <c r="EC57" s="219"/>
      <c r="ED57" s="219"/>
      <c r="EE57" s="219"/>
      <c r="EF57" s="219"/>
      <c r="EG57" s="219"/>
      <c r="EH57" s="219"/>
      <c r="EI57" s="219"/>
      <c r="EJ57" s="219"/>
    </row>
    <row r="58" spans="1:143" x14ac:dyDescent="0.25">
      <c r="A58" s="5"/>
      <c r="B58" s="5"/>
      <c r="C58" s="5"/>
      <c r="D58" s="5"/>
      <c r="X58" s="215"/>
      <c r="Y58" s="215"/>
      <c r="Z58" s="215"/>
      <c r="AA58" s="215"/>
      <c r="AB58" s="215"/>
      <c r="AC58" s="215"/>
      <c r="AD58" s="215"/>
      <c r="AE58" s="215"/>
      <c r="AF58" s="222" t="s">
        <v>1044</v>
      </c>
      <c r="AG58" s="215" t="str">
        <f>CdTrp1!A76</f>
        <v>Lot principal de brebis traites</v>
      </c>
      <c r="AH58" s="219">
        <f>IF(CdTrp1!B76=4,1,0)</f>
        <v>0</v>
      </c>
      <c r="AI58" s="219">
        <f>IF(CdTrp1!C76=4,1,0)</f>
        <v>0</v>
      </c>
      <c r="AJ58" s="219">
        <f>IF(CdTrp1!D76=4,1,0)</f>
        <v>0</v>
      </c>
      <c r="AK58" s="219">
        <f>IF(CdTrp1!E76=4,1,0)</f>
        <v>0</v>
      </c>
      <c r="AL58" s="219">
        <f>IF(CdTrp1!F76=4,1,0)</f>
        <v>0</v>
      </c>
      <c r="AM58" s="219">
        <f>IF(CdTrp1!G76=4,1,0)</f>
        <v>0</v>
      </c>
      <c r="AN58" s="219">
        <f>IF(CdTrp1!H76=4,1,0)</f>
        <v>0</v>
      </c>
      <c r="AO58" s="219">
        <f>IF(CdTrp1!I76=4,1,0)</f>
        <v>0</v>
      </c>
      <c r="AP58" s="219">
        <f>IF(CdTrp1!J76=4,1,0)</f>
        <v>0</v>
      </c>
      <c r="AQ58" s="219">
        <f>IF(CdTrp1!K76=4,1,0)</f>
        <v>0</v>
      </c>
      <c r="AR58" s="219">
        <f>IF(CdTrp1!L76=4,1,0)</f>
        <v>0</v>
      </c>
      <c r="AS58" s="219">
        <f>IF(CdTrp1!M76=4,1,0)</f>
        <v>0</v>
      </c>
      <c r="AT58" s="219">
        <f>IF(CdTrp1!N76=4,1,0)</f>
        <v>0</v>
      </c>
      <c r="AU58" s="219">
        <f>IF(CdTrp1!O76=4,1,0)</f>
        <v>0</v>
      </c>
      <c r="AV58" s="219">
        <f>IF(CdTrp1!P76=4,1,0)</f>
        <v>0</v>
      </c>
      <c r="AW58" s="219">
        <f>IF(CdTrp1!Q76=4,1,0)</f>
        <v>0</v>
      </c>
      <c r="AX58" s="219">
        <f>IF(CdTrp1!R76=4,1,0)</f>
        <v>0</v>
      </c>
      <c r="AY58" s="219">
        <f>IF(CdTrp1!S76=4,1,0)</f>
        <v>0</v>
      </c>
      <c r="AZ58" s="219">
        <f>IF(CdTrp1!T76=4,1,0)</f>
        <v>0</v>
      </c>
      <c r="BA58" s="219">
        <f>IF(CdTrp1!U76=4,1,0)</f>
        <v>0</v>
      </c>
      <c r="BB58" s="219">
        <f>IF(CdTrp1!V76=4,1,0)</f>
        <v>0</v>
      </c>
      <c r="BC58" s="219">
        <f>IF(CdTrp1!W76=4,1,0)</f>
        <v>0</v>
      </c>
      <c r="BD58" s="219">
        <f>IF(CdTrp1!X76=4,1,0)</f>
        <v>0</v>
      </c>
      <c r="BE58" s="219">
        <f>IF(CdTrp1!Y76=4,1,0)</f>
        <v>0</v>
      </c>
      <c r="BF58" s="215"/>
      <c r="BG58" s="216" t="s">
        <v>1044</v>
      </c>
      <c r="BH58" s="215" t="str">
        <f t="shared" ref="BH58:BH67" si="22">BH47</f>
        <v>lot1</v>
      </c>
      <c r="BI58" s="215">
        <f>IF(CdTrp2!B76=4,1,0)</f>
        <v>0</v>
      </c>
      <c r="BJ58" s="215">
        <f>IF(CdTrp2!C76=4,1,0)</f>
        <v>0</v>
      </c>
      <c r="BK58" s="215">
        <f>IF(CdTrp2!D76=4,1,0)</f>
        <v>0</v>
      </c>
      <c r="BL58" s="215">
        <f>IF(CdTrp2!E76=4,1,0)</f>
        <v>0</v>
      </c>
      <c r="BM58" s="215">
        <f>IF(CdTrp2!F76=4,1,0)</f>
        <v>0</v>
      </c>
      <c r="BN58" s="215">
        <f>IF(CdTrp2!G76=4,1,0)</f>
        <v>0</v>
      </c>
      <c r="BO58" s="215">
        <f>IF(CdTrp2!H76=4,1,0)</f>
        <v>0</v>
      </c>
      <c r="BP58" s="215">
        <f>IF(CdTrp2!I76=4,1,0)</f>
        <v>0</v>
      </c>
      <c r="BQ58" s="215">
        <f>IF(CdTrp2!J76=4,1,0)</f>
        <v>0</v>
      </c>
      <c r="BR58" s="215">
        <f>IF(CdTrp2!K76=4,1,0)</f>
        <v>0</v>
      </c>
      <c r="BS58" s="215">
        <f>IF(CdTrp2!L76=4,1,0)</f>
        <v>0</v>
      </c>
      <c r="BT58" s="215">
        <f>IF(CdTrp2!M76=4,1,0)</f>
        <v>0</v>
      </c>
      <c r="BU58" s="215">
        <f>IF(CdTrp2!N76=4,1,0)</f>
        <v>0</v>
      </c>
      <c r="BV58" s="215">
        <f>IF(CdTrp2!O76=4,1,0)</f>
        <v>0</v>
      </c>
      <c r="BW58" s="215">
        <f>IF(CdTrp2!P76=4,1,0)</f>
        <v>0</v>
      </c>
      <c r="BX58" s="215">
        <f>IF(CdTrp2!Q76=4,1,0)</f>
        <v>0</v>
      </c>
      <c r="BY58" s="215">
        <f>IF(CdTrp2!R76=4,1,0)</f>
        <v>0</v>
      </c>
      <c r="BZ58" s="215">
        <f>IF(CdTrp2!S76=4,1,0)</f>
        <v>0</v>
      </c>
      <c r="CA58" s="215">
        <f>IF(CdTrp2!T76=4,1,0)</f>
        <v>0</v>
      </c>
      <c r="CB58" s="215">
        <f>IF(CdTrp2!U76=4,1,0)</f>
        <v>0</v>
      </c>
      <c r="CC58" s="215">
        <f>IF(CdTrp2!V76=4,1,0)</f>
        <v>0</v>
      </c>
      <c r="CD58" s="215">
        <f>IF(CdTrp2!W76=4,1,0)</f>
        <v>0</v>
      </c>
      <c r="CE58" s="215">
        <f>IF(CdTrp2!X76=4,1,0)</f>
        <v>0</v>
      </c>
      <c r="CF58" s="215">
        <f>IF(CdTrp2!Y76=4,1,0)</f>
        <v>0</v>
      </c>
      <c r="CG58" s="215"/>
      <c r="CH58" s="215"/>
      <c r="CI58" s="216" t="s">
        <v>1044</v>
      </c>
      <c r="CJ58" s="215" t="str">
        <f t="shared" ref="CJ58:CJ67" si="23">CJ47</f>
        <v>lot1</v>
      </c>
      <c r="CK58" s="219">
        <f>IF(CdTrp3!B76=4,1,0)</f>
        <v>0</v>
      </c>
      <c r="CL58" s="219">
        <f>IF(CdTrp3!C76=4,1,0)</f>
        <v>0</v>
      </c>
      <c r="CM58" s="219">
        <f>IF(CdTrp3!D76=4,1,0)</f>
        <v>0</v>
      </c>
      <c r="CN58" s="219">
        <f>IF(CdTrp3!E76=4,1,0)</f>
        <v>0</v>
      </c>
      <c r="CO58" s="219">
        <f>IF(CdTrp3!F76=4,1,0)</f>
        <v>0</v>
      </c>
      <c r="CP58" s="219">
        <f>IF(CdTrp3!G76=4,1,0)</f>
        <v>0</v>
      </c>
      <c r="CQ58" s="219">
        <f>IF(CdTrp3!H76=4,1,0)</f>
        <v>0</v>
      </c>
      <c r="CR58" s="219">
        <f>IF(CdTrp3!I76=4,1,0)</f>
        <v>0</v>
      </c>
      <c r="CS58" s="219">
        <f>IF(CdTrp3!J76=4,1,0)</f>
        <v>0</v>
      </c>
      <c r="CT58" s="219">
        <f>IF(CdTrp3!K76=4,1,0)</f>
        <v>0</v>
      </c>
      <c r="CU58" s="219">
        <f>IF(CdTrp3!L76=4,1,0)</f>
        <v>0</v>
      </c>
      <c r="CV58" s="219">
        <f>IF(CdTrp3!M76=4,1,0)</f>
        <v>0</v>
      </c>
      <c r="CW58" s="219">
        <f>IF(CdTrp3!N76=4,1,0)</f>
        <v>0</v>
      </c>
      <c r="CX58" s="219">
        <f>IF(CdTrp3!O76=4,1,0)</f>
        <v>0</v>
      </c>
      <c r="CY58" s="219">
        <f>IF(CdTrp3!P76=4,1,0)</f>
        <v>0</v>
      </c>
      <c r="CZ58" s="219">
        <f>IF(CdTrp3!Q76=4,1,0)</f>
        <v>0</v>
      </c>
      <c r="DA58" s="219">
        <f>IF(CdTrp3!R76=4,1,0)</f>
        <v>0</v>
      </c>
      <c r="DB58" s="219">
        <f>IF(CdTrp3!S76=4,1,0)</f>
        <v>0</v>
      </c>
      <c r="DC58" s="219">
        <f>IF(CdTrp3!T76=4,1,0)</f>
        <v>0</v>
      </c>
      <c r="DD58" s="219">
        <f>IF(CdTrp3!U76=4,1,0)</f>
        <v>0</v>
      </c>
      <c r="DE58" s="219">
        <f>IF(CdTrp3!V76=4,1,0)</f>
        <v>0</v>
      </c>
      <c r="DF58" s="219">
        <f>IF(CdTrp3!W76=4,1,0)</f>
        <v>0</v>
      </c>
      <c r="DG58" s="219">
        <f>IF(CdTrp3!X76=4,1,0)</f>
        <v>0</v>
      </c>
      <c r="DH58" s="219">
        <f>IF(CdTrp3!Y76=4,1,0)</f>
        <v>0</v>
      </c>
      <c r="DI58" s="215"/>
      <c r="DJ58" s="215"/>
      <c r="DK58" s="216" t="s">
        <v>1044</v>
      </c>
      <c r="DL58" s="215" t="str">
        <f t="shared" ref="DL58:DL67" si="24">DL47</f>
        <v>lot1</v>
      </c>
      <c r="DM58" s="219">
        <f>IF(CdTrp4!B76=4,1,0)</f>
        <v>0</v>
      </c>
      <c r="DN58" s="219">
        <f>IF(CdTrp4!C76=4,1,0)</f>
        <v>0</v>
      </c>
      <c r="DO58" s="219">
        <f>IF(CdTrp4!D76=4,1,0)</f>
        <v>0</v>
      </c>
      <c r="DP58" s="219">
        <f>IF(CdTrp4!E76=4,1,0)</f>
        <v>0</v>
      </c>
      <c r="DQ58" s="219">
        <f>IF(CdTrp4!F76=4,1,0)</f>
        <v>0</v>
      </c>
      <c r="DR58" s="219">
        <f>IF(CdTrp4!G76=4,1,0)</f>
        <v>0</v>
      </c>
      <c r="DS58" s="219">
        <f>IF(CdTrp4!H76=4,1,0)</f>
        <v>0</v>
      </c>
      <c r="DT58" s="219">
        <f>IF(CdTrp4!I76=4,1,0)</f>
        <v>0</v>
      </c>
      <c r="DU58" s="219">
        <f>IF(CdTrp4!J76=4,1,0)</f>
        <v>0</v>
      </c>
      <c r="DV58" s="219">
        <f>IF(CdTrp4!K76=4,1,0)</f>
        <v>0</v>
      </c>
      <c r="DW58" s="219">
        <f>IF(CdTrp4!L76=4,1,0)</f>
        <v>0</v>
      </c>
      <c r="DX58" s="219">
        <f>IF(CdTrp4!M76=4,1,0)</f>
        <v>0</v>
      </c>
      <c r="DY58" s="219">
        <f>IF(CdTrp4!N76=4,1,0)</f>
        <v>0</v>
      </c>
      <c r="DZ58" s="219">
        <f>IF(CdTrp4!O76=4,1,0)</f>
        <v>0</v>
      </c>
      <c r="EA58" s="219">
        <f>IF(CdTrp4!P76=4,1,0)</f>
        <v>0</v>
      </c>
      <c r="EB58" s="219">
        <f>IF(CdTrp4!Q76=4,1,0)</f>
        <v>0</v>
      </c>
      <c r="EC58" s="219">
        <f>IF(CdTrp4!R76=4,1,0)</f>
        <v>0</v>
      </c>
      <c r="ED58" s="219">
        <f>IF(CdTrp4!S76=4,1,0)</f>
        <v>0</v>
      </c>
      <c r="EE58" s="219">
        <f>IF(CdTrp4!T76=4,1,0)</f>
        <v>0</v>
      </c>
      <c r="EF58" s="219">
        <f>IF(CdTrp4!U76=4,1,0)</f>
        <v>0</v>
      </c>
      <c r="EG58" s="219">
        <f>IF(CdTrp4!V76=4,1,0)</f>
        <v>0</v>
      </c>
      <c r="EH58" s="219">
        <f>IF(CdTrp4!W76=4,1,0)</f>
        <v>0</v>
      </c>
      <c r="EI58" s="219">
        <f>IF(CdTrp4!X76=4,1,0)</f>
        <v>0</v>
      </c>
      <c r="EJ58" s="219">
        <f>IF(CdTrp4!Y76=4,1,0)</f>
        <v>0</v>
      </c>
    </row>
    <row r="59" spans="1:143" x14ac:dyDescent="0.25">
      <c r="A59" s="23"/>
      <c r="B59" s="23"/>
      <c r="C59" s="23"/>
      <c r="D59" s="23"/>
      <c r="X59" s="215"/>
      <c r="Y59" s="215"/>
      <c r="Z59" s="215"/>
      <c r="AA59" s="215"/>
      <c r="AB59" s="215"/>
      <c r="AC59" s="215"/>
      <c r="AD59" s="215"/>
      <c r="AE59" s="215"/>
      <c r="AF59" s="215"/>
      <c r="AG59" s="272" t="str">
        <f>CdTrp1!A77</f>
        <v>Lot des béliers</v>
      </c>
      <c r="AH59" s="219">
        <f>IF(CdTrp1!B77=4,1,0)</f>
        <v>0</v>
      </c>
      <c r="AI59" s="219">
        <f>IF(CdTrp1!C77=4,1,0)</f>
        <v>0</v>
      </c>
      <c r="AJ59" s="219">
        <f>IF(CdTrp1!D77=4,1,0)</f>
        <v>0</v>
      </c>
      <c r="AK59" s="219">
        <f>IF(CdTrp1!E77=4,1,0)</f>
        <v>0</v>
      </c>
      <c r="AL59" s="219">
        <f>IF(CdTrp1!F77=4,1,0)</f>
        <v>0</v>
      </c>
      <c r="AM59" s="219">
        <f>IF(CdTrp1!G77=4,1,0)</f>
        <v>0</v>
      </c>
      <c r="AN59" s="219">
        <f>IF(CdTrp1!H77=4,1,0)</f>
        <v>0</v>
      </c>
      <c r="AO59" s="219">
        <f>IF(CdTrp1!I77=4,1,0)</f>
        <v>0</v>
      </c>
      <c r="AP59" s="219">
        <f>IF(CdTrp1!J77=4,1,0)</f>
        <v>0</v>
      </c>
      <c r="AQ59" s="219">
        <f>IF(CdTrp1!K77=4,1,0)</f>
        <v>0</v>
      </c>
      <c r="AR59" s="219">
        <f>IF(CdTrp1!L77=4,1,0)</f>
        <v>0</v>
      </c>
      <c r="AS59" s="219">
        <f>IF(CdTrp1!M77=4,1,0)</f>
        <v>0</v>
      </c>
      <c r="AT59" s="219">
        <f>IF(CdTrp1!N77=4,1,0)</f>
        <v>0</v>
      </c>
      <c r="AU59" s="219">
        <f>IF(CdTrp1!O77=4,1,0)</f>
        <v>0</v>
      </c>
      <c r="AV59" s="219">
        <f>IF(CdTrp1!P77=4,1,0)</f>
        <v>0</v>
      </c>
      <c r="AW59" s="219">
        <f>IF(CdTrp1!Q77=4,1,0)</f>
        <v>0</v>
      </c>
      <c r="AX59" s="219">
        <f>IF(CdTrp1!R77=4,1,0)</f>
        <v>0</v>
      </c>
      <c r="AY59" s="219">
        <f>IF(CdTrp1!S77=4,1,0)</f>
        <v>0</v>
      </c>
      <c r="AZ59" s="219">
        <f>IF(CdTrp1!T77=4,1,0)</f>
        <v>0</v>
      </c>
      <c r="BA59" s="219">
        <f>IF(CdTrp1!U77=4,1,0)</f>
        <v>0</v>
      </c>
      <c r="BB59" s="219">
        <f>IF(CdTrp1!V77=4,1,0)</f>
        <v>0</v>
      </c>
      <c r="BC59" s="219">
        <f>IF(CdTrp1!W77=4,1,0)</f>
        <v>0</v>
      </c>
      <c r="BD59" s="219">
        <f>IF(CdTrp1!X77=4,1,0)</f>
        <v>0</v>
      </c>
      <c r="BE59" s="219">
        <f>IF(CdTrp1!Y77=4,1,0)</f>
        <v>0</v>
      </c>
      <c r="BF59" s="215"/>
      <c r="BG59" s="216"/>
      <c r="BH59" s="215">
        <f t="shared" si="22"/>
        <v>1</v>
      </c>
      <c r="BI59" s="215">
        <f>IF(CdTrp2!B77=4,1,0)</f>
        <v>0</v>
      </c>
      <c r="BJ59" s="215">
        <f>IF(CdTrp2!C77=4,1,0)</f>
        <v>0</v>
      </c>
      <c r="BK59" s="215">
        <f>IF(CdTrp2!D77=4,1,0)</f>
        <v>0</v>
      </c>
      <c r="BL59" s="215">
        <f>IF(CdTrp2!E77=4,1,0)</f>
        <v>0</v>
      </c>
      <c r="BM59" s="215">
        <f>IF(CdTrp2!F77=4,1,0)</f>
        <v>0</v>
      </c>
      <c r="BN59" s="215">
        <f>IF(CdTrp2!G77=4,1,0)</f>
        <v>0</v>
      </c>
      <c r="BO59" s="215">
        <f>IF(CdTrp2!H77=4,1,0)</f>
        <v>0</v>
      </c>
      <c r="BP59" s="215">
        <f>IF(CdTrp2!I77=4,1,0)</f>
        <v>0</v>
      </c>
      <c r="BQ59" s="215">
        <f>IF(CdTrp2!J77=4,1,0)</f>
        <v>0</v>
      </c>
      <c r="BR59" s="215">
        <f>IF(CdTrp2!K77=4,1,0)</f>
        <v>0</v>
      </c>
      <c r="BS59" s="215">
        <f>IF(CdTrp2!L77=4,1,0)</f>
        <v>0</v>
      </c>
      <c r="BT59" s="215">
        <f>IF(CdTrp2!M77=4,1,0)</f>
        <v>0</v>
      </c>
      <c r="BU59" s="215">
        <f>IF(CdTrp2!N77=4,1,0)</f>
        <v>0</v>
      </c>
      <c r="BV59" s="215">
        <f>IF(CdTrp2!O77=4,1,0)</f>
        <v>0</v>
      </c>
      <c r="BW59" s="215">
        <f>IF(CdTrp2!P77=4,1,0)</f>
        <v>0</v>
      </c>
      <c r="BX59" s="215">
        <f>IF(CdTrp2!Q77=4,1,0)</f>
        <v>0</v>
      </c>
      <c r="BY59" s="215">
        <f>IF(CdTrp2!R77=4,1,0)</f>
        <v>0</v>
      </c>
      <c r="BZ59" s="215">
        <f>IF(CdTrp2!S77=4,1,0)</f>
        <v>0</v>
      </c>
      <c r="CA59" s="215">
        <f>IF(CdTrp2!T77=4,1,0)</f>
        <v>0</v>
      </c>
      <c r="CB59" s="215">
        <f>IF(CdTrp2!U77=4,1,0)</f>
        <v>0</v>
      </c>
      <c r="CC59" s="215">
        <f>IF(CdTrp2!V77=4,1,0)</f>
        <v>0</v>
      </c>
      <c r="CD59" s="215">
        <f>IF(CdTrp2!W77=4,1,0)</f>
        <v>0</v>
      </c>
      <c r="CE59" s="215">
        <f>IF(CdTrp2!X77=4,1,0)</f>
        <v>0</v>
      </c>
      <c r="CF59" s="215">
        <f>IF(CdTrp2!Y77=4,1,0)</f>
        <v>0</v>
      </c>
      <c r="CG59" s="215"/>
      <c r="CH59" s="215"/>
      <c r="CI59" s="216"/>
      <c r="CJ59" s="215">
        <f t="shared" si="23"/>
        <v>0</v>
      </c>
      <c r="CK59" s="219">
        <f>IF(CdTrp3!B77=4,1,0)</f>
        <v>0</v>
      </c>
      <c r="CL59" s="219">
        <f>IF(CdTrp3!C77=4,1,0)</f>
        <v>0</v>
      </c>
      <c r="CM59" s="219">
        <f>IF(CdTrp3!D77=4,1,0)</f>
        <v>0</v>
      </c>
      <c r="CN59" s="219">
        <f>IF(CdTrp3!E77=4,1,0)</f>
        <v>0</v>
      </c>
      <c r="CO59" s="219">
        <f>IF(CdTrp3!F77=4,1,0)</f>
        <v>0</v>
      </c>
      <c r="CP59" s="219">
        <f>IF(CdTrp3!G77=4,1,0)</f>
        <v>0</v>
      </c>
      <c r="CQ59" s="219">
        <f>IF(CdTrp3!H77=4,1,0)</f>
        <v>0</v>
      </c>
      <c r="CR59" s="219">
        <f>IF(CdTrp3!I77=4,1,0)</f>
        <v>0</v>
      </c>
      <c r="CS59" s="219">
        <f>IF(CdTrp3!J77=4,1,0)</f>
        <v>0</v>
      </c>
      <c r="CT59" s="219">
        <f>IF(CdTrp3!K77=4,1,0)</f>
        <v>0</v>
      </c>
      <c r="CU59" s="219">
        <f>IF(CdTrp3!L77=4,1,0)</f>
        <v>0</v>
      </c>
      <c r="CV59" s="219">
        <f>IF(CdTrp3!M77=4,1,0)</f>
        <v>0</v>
      </c>
      <c r="CW59" s="219">
        <f>IF(CdTrp3!N77=4,1,0)</f>
        <v>0</v>
      </c>
      <c r="CX59" s="219">
        <f>IF(CdTrp3!O77=4,1,0)</f>
        <v>0</v>
      </c>
      <c r="CY59" s="219">
        <f>IF(CdTrp3!P77=4,1,0)</f>
        <v>0</v>
      </c>
      <c r="CZ59" s="219">
        <f>IF(CdTrp3!Q77=4,1,0)</f>
        <v>0</v>
      </c>
      <c r="DA59" s="219">
        <f>IF(CdTrp3!R77=4,1,0)</f>
        <v>0</v>
      </c>
      <c r="DB59" s="219">
        <f>IF(CdTrp3!S77=4,1,0)</f>
        <v>0</v>
      </c>
      <c r="DC59" s="219">
        <f>IF(CdTrp3!T77=4,1,0)</f>
        <v>0</v>
      </c>
      <c r="DD59" s="219">
        <f>IF(CdTrp3!U77=4,1,0)</f>
        <v>0</v>
      </c>
      <c r="DE59" s="219">
        <f>IF(CdTrp3!V77=4,1,0)</f>
        <v>0</v>
      </c>
      <c r="DF59" s="219">
        <f>IF(CdTrp3!W77=4,1,0)</f>
        <v>0</v>
      </c>
      <c r="DG59" s="219">
        <f>IF(CdTrp3!X77=4,1,0)</f>
        <v>0</v>
      </c>
      <c r="DH59" s="219">
        <f>IF(CdTrp3!Y77=4,1,0)</f>
        <v>0</v>
      </c>
      <c r="DI59" s="215"/>
      <c r="DJ59" s="215"/>
      <c r="DK59" s="216"/>
      <c r="DL59" s="215">
        <f t="shared" si="24"/>
        <v>0</v>
      </c>
      <c r="DM59" s="219">
        <f>IF(CdTrp4!B77=4,1,0)</f>
        <v>0</v>
      </c>
      <c r="DN59" s="219">
        <f>IF(CdTrp4!C77=4,1,0)</f>
        <v>0</v>
      </c>
      <c r="DO59" s="219">
        <f>IF(CdTrp4!D77=4,1,0)</f>
        <v>0</v>
      </c>
      <c r="DP59" s="219">
        <f>IF(CdTrp4!E77=4,1,0)</f>
        <v>0</v>
      </c>
      <c r="DQ59" s="219">
        <f>IF(CdTrp4!F77=4,1,0)</f>
        <v>0</v>
      </c>
      <c r="DR59" s="219">
        <f>IF(CdTrp4!G77=4,1,0)</f>
        <v>0</v>
      </c>
      <c r="DS59" s="219">
        <f>IF(CdTrp4!H77=4,1,0)</f>
        <v>0</v>
      </c>
      <c r="DT59" s="219">
        <f>IF(CdTrp4!I77=4,1,0)</f>
        <v>0</v>
      </c>
      <c r="DU59" s="219">
        <f>IF(CdTrp4!J77=4,1,0)</f>
        <v>0</v>
      </c>
      <c r="DV59" s="219">
        <f>IF(CdTrp4!K77=4,1,0)</f>
        <v>0</v>
      </c>
      <c r="DW59" s="219">
        <f>IF(CdTrp4!L77=4,1,0)</f>
        <v>0</v>
      </c>
      <c r="DX59" s="219">
        <f>IF(CdTrp4!M77=4,1,0)</f>
        <v>0</v>
      </c>
      <c r="DY59" s="219">
        <f>IF(CdTrp4!N77=4,1,0)</f>
        <v>0</v>
      </c>
      <c r="DZ59" s="219">
        <f>IF(CdTrp4!O77=4,1,0)</f>
        <v>0</v>
      </c>
      <c r="EA59" s="219">
        <f>IF(CdTrp4!P77=4,1,0)</f>
        <v>0</v>
      </c>
      <c r="EB59" s="219">
        <f>IF(CdTrp4!Q77=4,1,0)</f>
        <v>0</v>
      </c>
      <c r="EC59" s="219">
        <f>IF(CdTrp4!R77=4,1,0)</f>
        <v>0</v>
      </c>
      <c r="ED59" s="219">
        <f>IF(CdTrp4!S77=4,1,0)</f>
        <v>0</v>
      </c>
      <c r="EE59" s="219">
        <f>IF(CdTrp4!T77=4,1,0)</f>
        <v>0</v>
      </c>
      <c r="EF59" s="219">
        <f>IF(CdTrp4!U77=4,1,0)</f>
        <v>0</v>
      </c>
      <c r="EG59" s="219">
        <f>IF(CdTrp4!V77=4,1,0)</f>
        <v>0</v>
      </c>
      <c r="EH59" s="219">
        <f>IF(CdTrp4!W77=4,1,0)</f>
        <v>0</v>
      </c>
      <c r="EI59" s="219">
        <f>IF(CdTrp4!X77=4,1,0)</f>
        <v>0</v>
      </c>
      <c r="EJ59" s="219">
        <f>IF(CdTrp4!Y77=4,1,0)</f>
        <v>0</v>
      </c>
    </row>
    <row r="60" spans="1:143" x14ac:dyDescent="0.25">
      <c r="A60" s="5"/>
      <c r="B60" s="5"/>
      <c r="C60" s="5"/>
      <c r="D60" s="5"/>
      <c r="X60" s="215"/>
      <c r="Y60" s="215"/>
      <c r="Z60" s="215"/>
      <c r="AA60" s="215"/>
      <c r="AB60" s="215"/>
      <c r="AC60" s="215"/>
      <c r="AD60" s="215"/>
      <c r="AE60" s="215"/>
      <c r="AF60" s="215"/>
      <c r="AG60" s="272" t="str">
        <f>CdTrp1!A78</f>
        <v>Lot des vides</v>
      </c>
      <c r="AH60" s="219">
        <f>IF(CdTrp1!B78=4,1,0)</f>
        <v>0</v>
      </c>
      <c r="AI60" s="219">
        <f>IF(CdTrp1!C78=4,1,0)</f>
        <v>0</v>
      </c>
      <c r="AJ60" s="219">
        <f>IF(CdTrp1!D78=4,1,0)</f>
        <v>0</v>
      </c>
      <c r="AK60" s="219">
        <f>IF(CdTrp1!E78=4,1,0)</f>
        <v>0</v>
      </c>
      <c r="AL60" s="219">
        <f>IF(CdTrp1!F78=4,1,0)</f>
        <v>0</v>
      </c>
      <c r="AM60" s="219">
        <f>IF(CdTrp1!G78=4,1,0)</f>
        <v>0</v>
      </c>
      <c r="AN60" s="219">
        <f>IF(CdTrp1!H78=4,1,0)</f>
        <v>0</v>
      </c>
      <c r="AO60" s="219">
        <f>IF(CdTrp1!I78=4,1,0)</f>
        <v>0</v>
      </c>
      <c r="AP60" s="219">
        <f>IF(CdTrp1!J78=4,1,0)</f>
        <v>0</v>
      </c>
      <c r="AQ60" s="219">
        <f>IF(CdTrp1!K78=4,1,0)</f>
        <v>0</v>
      </c>
      <c r="AR60" s="219">
        <f>IF(CdTrp1!L78=4,1,0)</f>
        <v>0</v>
      </c>
      <c r="AS60" s="219">
        <f>IF(CdTrp1!M78=4,1,0)</f>
        <v>0</v>
      </c>
      <c r="AT60" s="219">
        <f>IF(CdTrp1!N78=4,1,0)</f>
        <v>0</v>
      </c>
      <c r="AU60" s="219">
        <f>IF(CdTrp1!O78=4,1,0)</f>
        <v>0</v>
      </c>
      <c r="AV60" s="219">
        <f>IF(CdTrp1!P78=4,1,0)</f>
        <v>0</v>
      </c>
      <c r="AW60" s="219">
        <f>IF(CdTrp1!Q78=4,1,0)</f>
        <v>0</v>
      </c>
      <c r="AX60" s="219">
        <f>IF(CdTrp1!R78=4,1,0)</f>
        <v>0</v>
      </c>
      <c r="AY60" s="219">
        <f>IF(CdTrp1!S78=4,1,0)</f>
        <v>0</v>
      </c>
      <c r="AZ60" s="219">
        <f>IF(CdTrp1!T78=4,1,0)</f>
        <v>0</v>
      </c>
      <c r="BA60" s="219">
        <f>IF(CdTrp1!U78=4,1,0)</f>
        <v>0</v>
      </c>
      <c r="BB60" s="219">
        <f>IF(CdTrp1!V78=4,1,0)</f>
        <v>0</v>
      </c>
      <c r="BC60" s="219">
        <f>IF(CdTrp1!W78=4,1,0)</f>
        <v>0</v>
      </c>
      <c r="BD60" s="219">
        <f>IF(CdTrp1!X78=4,1,0)</f>
        <v>0</v>
      </c>
      <c r="BE60" s="219">
        <f>IF(CdTrp1!Y78=4,1,0)</f>
        <v>0</v>
      </c>
      <c r="BF60" s="215"/>
      <c r="BG60" s="216"/>
      <c r="BH60" s="215">
        <f t="shared" si="22"/>
        <v>0</v>
      </c>
      <c r="BI60" s="215">
        <f>IF(CdTrp2!B78=4,1,0)</f>
        <v>0</v>
      </c>
      <c r="BJ60" s="215">
        <f>IF(CdTrp2!C78=4,1,0)</f>
        <v>0</v>
      </c>
      <c r="BK60" s="215">
        <f>IF(CdTrp2!D78=4,1,0)</f>
        <v>0</v>
      </c>
      <c r="BL60" s="215">
        <f>IF(CdTrp2!E78=4,1,0)</f>
        <v>0</v>
      </c>
      <c r="BM60" s="215">
        <f>IF(CdTrp2!F78=4,1,0)</f>
        <v>0</v>
      </c>
      <c r="BN60" s="215">
        <f>IF(CdTrp2!G78=4,1,0)</f>
        <v>0</v>
      </c>
      <c r="BO60" s="215">
        <f>IF(CdTrp2!H78=4,1,0)</f>
        <v>0</v>
      </c>
      <c r="BP60" s="215">
        <f>IF(CdTrp2!I78=4,1,0)</f>
        <v>0</v>
      </c>
      <c r="BQ60" s="215">
        <f>IF(CdTrp2!J78=4,1,0)</f>
        <v>0</v>
      </c>
      <c r="BR60" s="215">
        <f>IF(CdTrp2!K78=4,1,0)</f>
        <v>0</v>
      </c>
      <c r="BS60" s="215">
        <f>IF(CdTrp2!L78=4,1,0)</f>
        <v>0</v>
      </c>
      <c r="BT60" s="215">
        <f>IF(CdTrp2!M78=4,1,0)</f>
        <v>0</v>
      </c>
      <c r="BU60" s="215">
        <f>IF(CdTrp2!N78=4,1,0)</f>
        <v>0</v>
      </c>
      <c r="BV60" s="215">
        <f>IF(CdTrp2!O78=4,1,0)</f>
        <v>0</v>
      </c>
      <c r="BW60" s="215">
        <f>IF(CdTrp2!P78=4,1,0)</f>
        <v>0</v>
      </c>
      <c r="BX60" s="215">
        <f>IF(CdTrp2!Q78=4,1,0)</f>
        <v>0</v>
      </c>
      <c r="BY60" s="215">
        <f>IF(CdTrp2!R78=4,1,0)</f>
        <v>0</v>
      </c>
      <c r="BZ60" s="215">
        <f>IF(CdTrp2!S78=4,1,0)</f>
        <v>0</v>
      </c>
      <c r="CA60" s="215">
        <f>IF(CdTrp2!T78=4,1,0)</f>
        <v>0</v>
      </c>
      <c r="CB60" s="215">
        <f>IF(CdTrp2!U78=4,1,0)</f>
        <v>0</v>
      </c>
      <c r="CC60" s="215">
        <f>IF(CdTrp2!V78=4,1,0)</f>
        <v>0</v>
      </c>
      <c r="CD60" s="215">
        <f>IF(CdTrp2!W78=4,1,0)</f>
        <v>0</v>
      </c>
      <c r="CE60" s="215">
        <f>IF(CdTrp2!X78=4,1,0)</f>
        <v>0</v>
      </c>
      <c r="CF60" s="215">
        <f>IF(CdTrp2!Y78=4,1,0)</f>
        <v>0</v>
      </c>
      <c r="CG60" s="215"/>
      <c r="CH60" s="215"/>
      <c r="CI60" s="216"/>
      <c r="CJ60" s="215">
        <f t="shared" si="23"/>
        <v>0</v>
      </c>
      <c r="CK60" s="219">
        <f>IF(CdTrp3!B78=4,1,0)</f>
        <v>0</v>
      </c>
      <c r="CL60" s="219">
        <f>IF(CdTrp3!C78=4,1,0)</f>
        <v>0</v>
      </c>
      <c r="CM60" s="219">
        <f>IF(CdTrp3!D78=4,1,0)</f>
        <v>0</v>
      </c>
      <c r="CN60" s="219">
        <f>IF(CdTrp3!E78=4,1,0)</f>
        <v>0</v>
      </c>
      <c r="CO60" s="219">
        <f>IF(CdTrp3!F78=4,1,0)</f>
        <v>0</v>
      </c>
      <c r="CP60" s="219">
        <f>IF(CdTrp3!G78=4,1,0)</f>
        <v>0</v>
      </c>
      <c r="CQ60" s="219">
        <f>IF(CdTrp3!H78=4,1,0)</f>
        <v>0</v>
      </c>
      <c r="CR60" s="219">
        <f>IF(CdTrp3!I78=4,1,0)</f>
        <v>0</v>
      </c>
      <c r="CS60" s="219">
        <f>IF(CdTrp3!J78=4,1,0)</f>
        <v>0</v>
      </c>
      <c r="CT60" s="219">
        <f>IF(CdTrp3!K78=4,1,0)</f>
        <v>0</v>
      </c>
      <c r="CU60" s="219">
        <f>IF(CdTrp3!L78=4,1,0)</f>
        <v>0</v>
      </c>
      <c r="CV60" s="219">
        <f>IF(CdTrp3!M78=4,1,0)</f>
        <v>0</v>
      </c>
      <c r="CW60" s="219">
        <f>IF(CdTrp3!N78=4,1,0)</f>
        <v>0</v>
      </c>
      <c r="CX60" s="219">
        <f>IF(CdTrp3!O78=4,1,0)</f>
        <v>0</v>
      </c>
      <c r="CY60" s="219">
        <f>IF(CdTrp3!P78=4,1,0)</f>
        <v>0</v>
      </c>
      <c r="CZ60" s="219">
        <f>IF(CdTrp3!Q78=4,1,0)</f>
        <v>0</v>
      </c>
      <c r="DA60" s="219">
        <f>IF(CdTrp3!R78=4,1,0)</f>
        <v>0</v>
      </c>
      <c r="DB60" s="219">
        <f>IF(CdTrp3!S78=4,1,0)</f>
        <v>0</v>
      </c>
      <c r="DC60" s="219">
        <f>IF(CdTrp3!T78=4,1,0)</f>
        <v>0</v>
      </c>
      <c r="DD60" s="219">
        <f>IF(CdTrp3!U78=4,1,0)</f>
        <v>0</v>
      </c>
      <c r="DE60" s="219">
        <f>IF(CdTrp3!V78=4,1,0)</f>
        <v>0</v>
      </c>
      <c r="DF60" s="219">
        <f>IF(CdTrp3!W78=4,1,0)</f>
        <v>0</v>
      </c>
      <c r="DG60" s="219">
        <f>IF(CdTrp3!X78=4,1,0)</f>
        <v>0</v>
      </c>
      <c r="DH60" s="219">
        <f>IF(CdTrp3!Y78=4,1,0)</f>
        <v>0</v>
      </c>
      <c r="DI60" s="215"/>
      <c r="DJ60" s="215"/>
      <c r="DK60" s="216"/>
      <c r="DL60" s="215">
        <f t="shared" si="24"/>
        <v>0</v>
      </c>
      <c r="DM60" s="219">
        <f>IF(CdTrp4!B78=4,1,0)</f>
        <v>0</v>
      </c>
      <c r="DN60" s="219">
        <f>IF(CdTrp4!C78=4,1,0)</f>
        <v>0</v>
      </c>
      <c r="DO60" s="219">
        <f>IF(CdTrp4!D78=4,1,0)</f>
        <v>0</v>
      </c>
      <c r="DP60" s="219">
        <f>IF(CdTrp4!E78=4,1,0)</f>
        <v>0</v>
      </c>
      <c r="DQ60" s="219">
        <f>IF(CdTrp4!F78=4,1,0)</f>
        <v>0</v>
      </c>
      <c r="DR60" s="219">
        <f>IF(CdTrp4!G78=4,1,0)</f>
        <v>0</v>
      </c>
      <c r="DS60" s="219">
        <f>IF(CdTrp4!H78=4,1,0)</f>
        <v>0</v>
      </c>
      <c r="DT60" s="219">
        <f>IF(CdTrp4!I78=4,1,0)</f>
        <v>0</v>
      </c>
      <c r="DU60" s="219">
        <f>IF(CdTrp4!J78=4,1,0)</f>
        <v>0</v>
      </c>
      <c r="DV60" s="219">
        <f>IF(CdTrp4!K78=4,1,0)</f>
        <v>0</v>
      </c>
      <c r="DW60" s="219">
        <f>IF(CdTrp4!L78=4,1,0)</f>
        <v>0</v>
      </c>
      <c r="DX60" s="219">
        <f>IF(CdTrp4!M78=4,1,0)</f>
        <v>0</v>
      </c>
      <c r="DY60" s="219">
        <f>IF(CdTrp4!N78=4,1,0)</f>
        <v>0</v>
      </c>
      <c r="DZ60" s="219">
        <f>IF(CdTrp4!O78=4,1,0)</f>
        <v>0</v>
      </c>
      <c r="EA60" s="219">
        <f>IF(CdTrp4!P78=4,1,0)</f>
        <v>0</v>
      </c>
      <c r="EB60" s="219">
        <f>IF(CdTrp4!Q78=4,1,0)</f>
        <v>0</v>
      </c>
      <c r="EC60" s="219">
        <f>IF(CdTrp4!R78=4,1,0)</f>
        <v>0</v>
      </c>
      <c r="ED60" s="219">
        <f>IF(CdTrp4!S78=4,1,0)</f>
        <v>0</v>
      </c>
      <c r="EE60" s="219">
        <f>IF(CdTrp4!T78=4,1,0)</f>
        <v>0</v>
      </c>
      <c r="EF60" s="219">
        <f>IF(CdTrp4!U78=4,1,0)</f>
        <v>0</v>
      </c>
      <c r="EG60" s="219">
        <f>IF(CdTrp4!V78=4,1,0)</f>
        <v>0</v>
      </c>
      <c r="EH60" s="219">
        <f>IF(CdTrp4!W78=4,1,0)</f>
        <v>0</v>
      </c>
      <c r="EI60" s="219">
        <f>IF(CdTrp4!X78=4,1,0)</f>
        <v>0</v>
      </c>
      <c r="EJ60" s="219">
        <f>IF(CdTrp4!Y78=4,1,0)</f>
        <v>0</v>
      </c>
    </row>
    <row r="61" spans="1:143" x14ac:dyDescent="0.25">
      <c r="A61" s="5"/>
      <c r="B61" s="5"/>
      <c r="C61" s="5"/>
      <c r="D61" s="5"/>
      <c r="X61" s="215"/>
      <c r="Y61" s="215"/>
      <c r="Z61" s="215"/>
      <c r="AA61" s="215"/>
      <c r="AB61" s="215"/>
      <c r="AC61" s="215"/>
      <c r="AD61" s="215"/>
      <c r="AE61" s="215"/>
      <c r="AF61" s="215"/>
      <c r="AG61" s="215" t="str">
        <f>CdTrp1!A79</f>
        <v>Lot des tardives</v>
      </c>
      <c r="AH61" s="219">
        <f>IF(CdTrp1!B79=4,1,0)</f>
        <v>0</v>
      </c>
      <c r="AI61" s="219">
        <f>IF(CdTrp1!C79=4,1,0)</f>
        <v>0</v>
      </c>
      <c r="AJ61" s="219">
        <f>IF(CdTrp1!D79=4,1,0)</f>
        <v>0</v>
      </c>
      <c r="AK61" s="219">
        <f>IF(CdTrp1!E79=4,1,0)</f>
        <v>0</v>
      </c>
      <c r="AL61" s="219">
        <f>IF(CdTrp1!F79=4,1,0)</f>
        <v>0</v>
      </c>
      <c r="AM61" s="219">
        <f>IF(CdTrp1!G79=4,1,0)</f>
        <v>0</v>
      </c>
      <c r="AN61" s="219">
        <f>IF(CdTrp1!H79=4,1,0)</f>
        <v>0</v>
      </c>
      <c r="AO61" s="219">
        <f>IF(CdTrp1!I79=4,1,0)</f>
        <v>0</v>
      </c>
      <c r="AP61" s="219">
        <f>IF(CdTrp1!J79=4,1,0)</f>
        <v>0</v>
      </c>
      <c r="AQ61" s="219">
        <f>IF(CdTrp1!K79=4,1,0)</f>
        <v>0</v>
      </c>
      <c r="AR61" s="219">
        <f>IF(CdTrp1!L79=4,1,0)</f>
        <v>0</v>
      </c>
      <c r="AS61" s="219">
        <f>IF(CdTrp1!M79=4,1,0)</f>
        <v>0</v>
      </c>
      <c r="AT61" s="219">
        <f>IF(CdTrp1!N79=4,1,0)</f>
        <v>0</v>
      </c>
      <c r="AU61" s="219">
        <f>IF(CdTrp1!O79=4,1,0)</f>
        <v>0</v>
      </c>
      <c r="AV61" s="219">
        <f>IF(CdTrp1!P79=4,1,0)</f>
        <v>0</v>
      </c>
      <c r="AW61" s="219">
        <f>IF(CdTrp1!Q79=4,1,0)</f>
        <v>0</v>
      </c>
      <c r="AX61" s="219">
        <f>IF(CdTrp1!R79=4,1,0)</f>
        <v>0</v>
      </c>
      <c r="AY61" s="219">
        <f>IF(CdTrp1!S79=4,1,0)</f>
        <v>0</v>
      </c>
      <c r="AZ61" s="219">
        <f>IF(CdTrp1!T79=4,1,0)</f>
        <v>0</v>
      </c>
      <c r="BA61" s="219">
        <f>IF(CdTrp1!U79=4,1,0)</f>
        <v>0</v>
      </c>
      <c r="BB61" s="219">
        <f>IF(CdTrp1!V79=4,1,0)</f>
        <v>0</v>
      </c>
      <c r="BC61" s="219">
        <f>IF(CdTrp1!W79=4,1,0)</f>
        <v>0</v>
      </c>
      <c r="BD61" s="219">
        <f>IF(CdTrp1!X79=4,1,0)</f>
        <v>0</v>
      </c>
      <c r="BE61" s="219">
        <f>IF(CdTrp1!Y79=4,1,0)</f>
        <v>0</v>
      </c>
      <c r="BF61" s="215"/>
      <c r="BG61" s="216"/>
      <c r="BH61" s="215">
        <f t="shared" si="22"/>
        <v>0</v>
      </c>
      <c r="BI61" s="215">
        <f>IF(CdTrp2!B79=4,1,0)</f>
        <v>0</v>
      </c>
      <c r="BJ61" s="215">
        <f>IF(CdTrp2!C79=4,1,0)</f>
        <v>0</v>
      </c>
      <c r="BK61" s="215">
        <f>IF(CdTrp2!D79=4,1,0)</f>
        <v>0</v>
      </c>
      <c r="BL61" s="215">
        <f>IF(CdTrp2!E79=4,1,0)</f>
        <v>0</v>
      </c>
      <c r="BM61" s="215">
        <f>IF(CdTrp2!F79=4,1,0)</f>
        <v>0</v>
      </c>
      <c r="BN61" s="215">
        <f>IF(CdTrp2!G79=4,1,0)</f>
        <v>0</v>
      </c>
      <c r="BO61" s="215">
        <f>IF(CdTrp2!H79=4,1,0)</f>
        <v>0</v>
      </c>
      <c r="BP61" s="215">
        <f>IF(CdTrp2!I79=4,1,0)</f>
        <v>0</v>
      </c>
      <c r="BQ61" s="215">
        <f>IF(CdTrp2!J79=4,1,0)</f>
        <v>0</v>
      </c>
      <c r="BR61" s="215">
        <f>IF(CdTrp2!K79=4,1,0)</f>
        <v>0</v>
      </c>
      <c r="BS61" s="215">
        <f>IF(CdTrp2!L79=4,1,0)</f>
        <v>0</v>
      </c>
      <c r="BT61" s="215">
        <f>IF(CdTrp2!M79=4,1,0)</f>
        <v>0</v>
      </c>
      <c r="BU61" s="215">
        <f>IF(CdTrp2!N79=4,1,0)</f>
        <v>0</v>
      </c>
      <c r="BV61" s="215">
        <f>IF(CdTrp2!O79=4,1,0)</f>
        <v>0</v>
      </c>
      <c r="BW61" s="215">
        <f>IF(CdTrp2!P79=4,1,0)</f>
        <v>0</v>
      </c>
      <c r="BX61" s="215">
        <f>IF(CdTrp2!Q79=4,1,0)</f>
        <v>0</v>
      </c>
      <c r="BY61" s="215">
        <f>IF(CdTrp2!R79=4,1,0)</f>
        <v>0</v>
      </c>
      <c r="BZ61" s="215">
        <f>IF(CdTrp2!S79=4,1,0)</f>
        <v>0</v>
      </c>
      <c r="CA61" s="215">
        <f>IF(CdTrp2!T79=4,1,0)</f>
        <v>0</v>
      </c>
      <c r="CB61" s="215">
        <f>IF(CdTrp2!U79=4,1,0)</f>
        <v>0</v>
      </c>
      <c r="CC61" s="215">
        <f>IF(CdTrp2!V79=4,1,0)</f>
        <v>0</v>
      </c>
      <c r="CD61" s="215">
        <f>IF(CdTrp2!W79=4,1,0)</f>
        <v>0</v>
      </c>
      <c r="CE61" s="215">
        <f>IF(CdTrp2!X79=4,1,0)</f>
        <v>0</v>
      </c>
      <c r="CF61" s="215">
        <f>IF(CdTrp2!Y79=4,1,0)</f>
        <v>0</v>
      </c>
      <c r="CG61" s="215"/>
      <c r="CH61" s="215"/>
      <c r="CI61" s="216"/>
      <c r="CJ61" s="215">
        <f t="shared" si="23"/>
        <v>0</v>
      </c>
      <c r="CK61" s="219">
        <f>IF(CdTrp3!B79=4,1,0)</f>
        <v>0</v>
      </c>
      <c r="CL61" s="219">
        <f>IF(CdTrp3!C79=4,1,0)</f>
        <v>0</v>
      </c>
      <c r="CM61" s="219">
        <f>IF(CdTrp3!D79=4,1,0)</f>
        <v>0</v>
      </c>
      <c r="CN61" s="219">
        <f>IF(CdTrp3!E79=4,1,0)</f>
        <v>0</v>
      </c>
      <c r="CO61" s="219">
        <f>IF(CdTrp3!F79=4,1,0)</f>
        <v>0</v>
      </c>
      <c r="CP61" s="219">
        <f>IF(CdTrp3!G79=4,1,0)</f>
        <v>0</v>
      </c>
      <c r="CQ61" s="219">
        <f>IF(CdTrp3!H79=4,1,0)</f>
        <v>0</v>
      </c>
      <c r="CR61" s="219">
        <f>IF(CdTrp3!I79=4,1,0)</f>
        <v>0</v>
      </c>
      <c r="CS61" s="219">
        <f>IF(CdTrp3!J79=4,1,0)</f>
        <v>0</v>
      </c>
      <c r="CT61" s="219">
        <f>IF(CdTrp3!K79=4,1,0)</f>
        <v>0</v>
      </c>
      <c r="CU61" s="219">
        <f>IF(CdTrp3!L79=4,1,0)</f>
        <v>0</v>
      </c>
      <c r="CV61" s="219">
        <f>IF(CdTrp3!M79=4,1,0)</f>
        <v>0</v>
      </c>
      <c r="CW61" s="219">
        <f>IF(CdTrp3!N79=4,1,0)</f>
        <v>0</v>
      </c>
      <c r="CX61" s="219">
        <f>IF(CdTrp3!O79=4,1,0)</f>
        <v>0</v>
      </c>
      <c r="CY61" s="219">
        <f>IF(CdTrp3!P79=4,1,0)</f>
        <v>0</v>
      </c>
      <c r="CZ61" s="219">
        <f>IF(CdTrp3!Q79=4,1,0)</f>
        <v>0</v>
      </c>
      <c r="DA61" s="219">
        <f>IF(CdTrp3!R79=4,1,0)</f>
        <v>0</v>
      </c>
      <c r="DB61" s="219">
        <f>IF(CdTrp3!S79=4,1,0)</f>
        <v>0</v>
      </c>
      <c r="DC61" s="219">
        <f>IF(CdTrp3!T79=4,1,0)</f>
        <v>0</v>
      </c>
      <c r="DD61" s="219">
        <f>IF(CdTrp3!U79=4,1,0)</f>
        <v>0</v>
      </c>
      <c r="DE61" s="219">
        <f>IF(CdTrp3!V79=4,1,0)</f>
        <v>0</v>
      </c>
      <c r="DF61" s="219">
        <f>IF(CdTrp3!W79=4,1,0)</f>
        <v>0</v>
      </c>
      <c r="DG61" s="219">
        <f>IF(CdTrp3!X79=4,1,0)</f>
        <v>0</v>
      </c>
      <c r="DH61" s="219">
        <f>IF(CdTrp3!Y79=4,1,0)</f>
        <v>0</v>
      </c>
      <c r="DI61" s="215"/>
      <c r="DJ61" s="215"/>
      <c r="DK61" s="216"/>
      <c r="DL61" s="215">
        <f t="shared" si="24"/>
        <v>0</v>
      </c>
      <c r="DM61" s="219">
        <f>IF(CdTrp4!B79=4,1,0)</f>
        <v>0</v>
      </c>
      <c r="DN61" s="219">
        <f>IF(CdTrp4!C79=4,1,0)</f>
        <v>0</v>
      </c>
      <c r="DO61" s="219">
        <f>IF(CdTrp4!D79=4,1,0)</f>
        <v>0</v>
      </c>
      <c r="DP61" s="219">
        <f>IF(CdTrp4!E79=4,1,0)</f>
        <v>0</v>
      </c>
      <c r="DQ61" s="219">
        <f>IF(CdTrp4!F79=4,1,0)</f>
        <v>0</v>
      </c>
      <c r="DR61" s="219">
        <f>IF(CdTrp4!G79=4,1,0)</f>
        <v>0</v>
      </c>
      <c r="DS61" s="219">
        <f>IF(CdTrp4!H79=4,1,0)</f>
        <v>0</v>
      </c>
      <c r="DT61" s="219">
        <f>IF(CdTrp4!I79=4,1,0)</f>
        <v>0</v>
      </c>
      <c r="DU61" s="219">
        <f>IF(CdTrp4!J79=4,1,0)</f>
        <v>0</v>
      </c>
      <c r="DV61" s="219">
        <f>IF(CdTrp4!K79=4,1,0)</f>
        <v>0</v>
      </c>
      <c r="DW61" s="219">
        <f>IF(CdTrp4!L79=4,1,0)</f>
        <v>0</v>
      </c>
      <c r="DX61" s="219">
        <f>IF(CdTrp4!M79=4,1,0)</f>
        <v>0</v>
      </c>
      <c r="DY61" s="219">
        <f>IF(CdTrp4!N79=4,1,0)</f>
        <v>0</v>
      </c>
      <c r="DZ61" s="219">
        <f>IF(CdTrp4!O79=4,1,0)</f>
        <v>0</v>
      </c>
      <c r="EA61" s="219">
        <f>IF(CdTrp4!P79=4,1,0)</f>
        <v>0</v>
      </c>
      <c r="EB61" s="219">
        <f>IF(CdTrp4!Q79=4,1,0)</f>
        <v>0</v>
      </c>
      <c r="EC61" s="219">
        <f>IF(CdTrp4!R79=4,1,0)</f>
        <v>0</v>
      </c>
      <c r="ED61" s="219">
        <f>IF(CdTrp4!S79=4,1,0)</f>
        <v>0</v>
      </c>
      <c r="EE61" s="219">
        <f>IF(CdTrp4!T79=4,1,0)</f>
        <v>0</v>
      </c>
      <c r="EF61" s="219">
        <f>IF(CdTrp4!U79=4,1,0)</f>
        <v>0</v>
      </c>
      <c r="EG61" s="219">
        <f>IF(CdTrp4!V79=4,1,0)</f>
        <v>0</v>
      </c>
      <c r="EH61" s="219">
        <f>IF(CdTrp4!W79=4,1,0)</f>
        <v>0</v>
      </c>
      <c r="EI61" s="219">
        <f>IF(CdTrp4!X79=4,1,0)</f>
        <v>0</v>
      </c>
      <c r="EJ61" s="219">
        <f>IF(CdTrp4!Y79=4,1,0)</f>
        <v>0</v>
      </c>
    </row>
    <row r="62" spans="1:143" x14ac:dyDescent="0.25">
      <c r="A62" s="5"/>
      <c r="B62" s="5"/>
      <c r="C62" s="5"/>
      <c r="D62" s="5"/>
      <c r="X62" s="215"/>
      <c r="Y62" s="215"/>
      <c r="Z62" s="215"/>
      <c r="AA62" s="215"/>
      <c r="AB62" s="215"/>
      <c r="AC62" s="215"/>
      <c r="AD62" s="215"/>
      <c r="AE62" s="215"/>
      <c r="AF62" s="215"/>
      <c r="AG62" s="272" t="str">
        <f>CdTrp1!A80</f>
        <v>Lot des agnelles</v>
      </c>
      <c r="AH62" s="219">
        <f>IF(CdTrp1!B80=4,1,0)</f>
        <v>0</v>
      </c>
      <c r="AI62" s="219">
        <f>IF(CdTrp1!C80=4,1,0)</f>
        <v>0</v>
      </c>
      <c r="AJ62" s="219">
        <f>IF(CdTrp1!D80=4,1,0)</f>
        <v>0</v>
      </c>
      <c r="AK62" s="219">
        <f>IF(CdTrp1!E80=4,1,0)</f>
        <v>0</v>
      </c>
      <c r="AL62" s="219">
        <f>IF(CdTrp1!F80=4,1,0)</f>
        <v>0</v>
      </c>
      <c r="AM62" s="219">
        <f>IF(CdTrp1!G80=4,1,0)</f>
        <v>0</v>
      </c>
      <c r="AN62" s="219">
        <f>IF(CdTrp1!H80=4,1,0)</f>
        <v>0</v>
      </c>
      <c r="AO62" s="219">
        <f>IF(CdTrp1!I80=4,1,0)</f>
        <v>0</v>
      </c>
      <c r="AP62" s="219">
        <f>IF(CdTrp1!J80=4,1,0)</f>
        <v>0</v>
      </c>
      <c r="AQ62" s="219">
        <f>IF(CdTrp1!K80=4,1,0)</f>
        <v>0</v>
      </c>
      <c r="AR62" s="219">
        <f>IF(CdTrp1!L80=4,1,0)</f>
        <v>0</v>
      </c>
      <c r="AS62" s="219">
        <f>IF(CdTrp1!M80=4,1,0)</f>
        <v>0</v>
      </c>
      <c r="AT62" s="219">
        <f>IF(CdTrp1!N80=4,1,0)</f>
        <v>0</v>
      </c>
      <c r="AU62" s="219">
        <f>IF(CdTrp1!O80=4,1,0)</f>
        <v>0</v>
      </c>
      <c r="AV62" s="219">
        <f>IF(CdTrp1!P80=4,1,0)</f>
        <v>0</v>
      </c>
      <c r="AW62" s="219">
        <f>IF(CdTrp1!Q80=4,1,0)</f>
        <v>0</v>
      </c>
      <c r="AX62" s="219">
        <f>IF(CdTrp1!R80=4,1,0)</f>
        <v>0</v>
      </c>
      <c r="AY62" s="219">
        <f>IF(CdTrp1!S80=4,1,0)</f>
        <v>0</v>
      </c>
      <c r="AZ62" s="219">
        <f>IF(CdTrp1!T80=4,1,0)</f>
        <v>0</v>
      </c>
      <c r="BA62" s="219">
        <f>IF(CdTrp1!U80=4,1,0)</f>
        <v>0</v>
      </c>
      <c r="BB62" s="219">
        <f>IF(CdTrp1!V80=4,1,0)</f>
        <v>0</v>
      </c>
      <c r="BC62" s="219">
        <f>IF(CdTrp1!W80=4,1,0)</f>
        <v>0</v>
      </c>
      <c r="BD62" s="219">
        <f>IF(CdTrp1!X80=4,1,0)</f>
        <v>0</v>
      </c>
      <c r="BE62" s="219">
        <f>IF(CdTrp1!Y80=4,1,0)</f>
        <v>0</v>
      </c>
      <c r="BF62" s="215"/>
      <c r="BG62" s="216"/>
      <c r="BH62" s="215">
        <f t="shared" si="22"/>
        <v>0</v>
      </c>
      <c r="BI62" s="215">
        <f>IF(CdTrp2!B80=4,1,0)</f>
        <v>0</v>
      </c>
      <c r="BJ62" s="215">
        <f>IF(CdTrp2!C80=4,1,0)</f>
        <v>0</v>
      </c>
      <c r="BK62" s="215">
        <f>IF(CdTrp2!D80=4,1,0)</f>
        <v>0</v>
      </c>
      <c r="BL62" s="215">
        <f>IF(CdTrp2!E80=4,1,0)</f>
        <v>0</v>
      </c>
      <c r="BM62" s="215">
        <f>IF(CdTrp2!F80=4,1,0)</f>
        <v>0</v>
      </c>
      <c r="BN62" s="215">
        <f>IF(CdTrp2!G80=4,1,0)</f>
        <v>0</v>
      </c>
      <c r="BO62" s="215">
        <f>IF(CdTrp2!H80=4,1,0)</f>
        <v>0</v>
      </c>
      <c r="BP62" s="215">
        <f>IF(CdTrp2!I80=4,1,0)</f>
        <v>0</v>
      </c>
      <c r="BQ62" s="215">
        <f>IF(CdTrp2!J80=4,1,0)</f>
        <v>0</v>
      </c>
      <c r="BR62" s="215">
        <f>IF(CdTrp2!K80=4,1,0)</f>
        <v>0</v>
      </c>
      <c r="BS62" s="215">
        <f>IF(CdTrp2!L80=4,1,0)</f>
        <v>0</v>
      </c>
      <c r="BT62" s="215">
        <f>IF(CdTrp2!M80=4,1,0)</f>
        <v>0</v>
      </c>
      <c r="BU62" s="215">
        <f>IF(CdTrp2!N80=4,1,0)</f>
        <v>0</v>
      </c>
      <c r="BV62" s="215">
        <f>IF(CdTrp2!O80=4,1,0)</f>
        <v>0</v>
      </c>
      <c r="BW62" s="215">
        <f>IF(CdTrp2!P80=4,1,0)</f>
        <v>0</v>
      </c>
      <c r="BX62" s="215">
        <f>IF(CdTrp2!Q80=4,1,0)</f>
        <v>0</v>
      </c>
      <c r="BY62" s="215">
        <f>IF(CdTrp2!R80=4,1,0)</f>
        <v>0</v>
      </c>
      <c r="BZ62" s="215">
        <f>IF(CdTrp2!S80=4,1,0)</f>
        <v>0</v>
      </c>
      <c r="CA62" s="215">
        <f>IF(CdTrp2!T80=4,1,0)</f>
        <v>0</v>
      </c>
      <c r="CB62" s="215">
        <f>IF(CdTrp2!U80=4,1,0)</f>
        <v>0</v>
      </c>
      <c r="CC62" s="215">
        <f>IF(CdTrp2!V80=4,1,0)</f>
        <v>0</v>
      </c>
      <c r="CD62" s="215">
        <f>IF(CdTrp2!W80=4,1,0)</f>
        <v>0</v>
      </c>
      <c r="CE62" s="215">
        <f>IF(CdTrp2!X80=4,1,0)</f>
        <v>0</v>
      </c>
      <c r="CF62" s="215">
        <f>IF(CdTrp2!Y80=4,1,0)</f>
        <v>0</v>
      </c>
      <c r="CG62" s="215"/>
      <c r="CH62" s="215"/>
      <c r="CI62" s="216"/>
      <c r="CJ62" s="215">
        <f t="shared" si="23"/>
        <v>0</v>
      </c>
      <c r="CK62" s="219">
        <f>IF(CdTrp3!B80=4,1,0)</f>
        <v>0</v>
      </c>
      <c r="CL62" s="219">
        <f>IF(CdTrp3!C80=4,1,0)</f>
        <v>0</v>
      </c>
      <c r="CM62" s="219">
        <f>IF(CdTrp3!D80=4,1,0)</f>
        <v>0</v>
      </c>
      <c r="CN62" s="219">
        <f>IF(CdTrp3!E80=4,1,0)</f>
        <v>0</v>
      </c>
      <c r="CO62" s="219">
        <f>IF(CdTrp3!F80=4,1,0)</f>
        <v>0</v>
      </c>
      <c r="CP62" s="219">
        <f>IF(CdTrp3!G80=4,1,0)</f>
        <v>0</v>
      </c>
      <c r="CQ62" s="219">
        <f>IF(CdTrp3!H80=4,1,0)</f>
        <v>0</v>
      </c>
      <c r="CR62" s="219">
        <f>IF(CdTrp3!I80=4,1,0)</f>
        <v>0</v>
      </c>
      <c r="CS62" s="219">
        <f>IF(CdTrp3!J80=4,1,0)</f>
        <v>0</v>
      </c>
      <c r="CT62" s="219">
        <f>IF(CdTrp3!K80=4,1,0)</f>
        <v>0</v>
      </c>
      <c r="CU62" s="219">
        <f>IF(CdTrp3!L80=4,1,0)</f>
        <v>0</v>
      </c>
      <c r="CV62" s="219">
        <f>IF(CdTrp3!M80=4,1,0)</f>
        <v>0</v>
      </c>
      <c r="CW62" s="219">
        <f>IF(CdTrp3!N80=4,1,0)</f>
        <v>0</v>
      </c>
      <c r="CX62" s="219">
        <f>IF(CdTrp3!O80=4,1,0)</f>
        <v>0</v>
      </c>
      <c r="CY62" s="219">
        <f>IF(CdTrp3!P80=4,1,0)</f>
        <v>0</v>
      </c>
      <c r="CZ62" s="219">
        <f>IF(CdTrp3!Q80=4,1,0)</f>
        <v>0</v>
      </c>
      <c r="DA62" s="219">
        <f>IF(CdTrp3!R80=4,1,0)</f>
        <v>0</v>
      </c>
      <c r="DB62" s="219">
        <f>IF(CdTrp3!S80=4,1,0)</f>
        <v>0</v>
      </c>
      <c r="DC62" s="219">
        <f>IF(CdTrp3!T80=4,1,0)</f>
        <v>0</v>
      </c>
      <c r="DD62" s="219">
        <f>IF(CdTrp3!U80=4,1,0)</f>
        <v>0</v>
      </c>
      <c r="DE62" s="219">
        <f>IF(CdTrp3!V80=4,1,0)</f>
        <v>0</v>
      </c>
      <c r="DF62" s="219">
        <f>IF(CdTrp3!W80=4,1,0)</f>
        <v>0</v>
      </c>
      <c r="DG62" s="219">
        <f>IF(CdTrp3!X80=4,1,0)</f>
        <v>0</v>
      </c>
      <c r="DH62" s="219">
        <f>IF(CdTrp3!Y80=4,1,0)</f>
        <v>0</v>
      </c>
      <c r="DI62" s="215"/>
      <c r="DJ62" s="215"/>
      <c r="DK62" s="216"/>
      <c r="DL62" s="215">
        <f t="shared" si="24"/>
        <v>0</v>
      </c>
      <c r="DM62" s="219">
        <f>IF(CdTrp4!B80=4,1,0)</f>
        <v>0</v>
      </c>
      <c r="DN62" s="219">
        <f>IF(CdTrp4!C80=4,1,0)</f>
        <v>0</v>
      </c>
      <c r="DO62" s="219">
        <f>IF(CdTrp4!D80=4,1,0)</f>
        <v>0</v>
      </c>
      <c r="DP62" s="219">
        <f>IF(CdTrp4!E80=4,1,0)</f>
        <v>0</v>
      </c>
      <c r="DQ62" s="219">
        <f>IF(CdTrp4!F80=4,1,0)</f>
        <v>0</v>
      </c>
      <c r="DR62" s="219">
        <f>IF(CdTrp4!G80=4,1,0)</f>
        <v>0</v>
      </c>
      <c r="DS62" s="219">
        <f>IF(CdTrp4!H80=4,1,0)</f>
        <v>0</v>
      </c>
      <c r="DT62" s="219">
        <f>IF(CdTrp4!I80=4,1,0)</f>
        <v>0</v>
      </c>
      <c r="DU62" s="219">
        <f>IF(CdTrp4!J80=4,1,0)</f>
        <v>0</v>
      </c>
      <c r="DV62" s="219">
        <f>IF(CdTrp4!K80=4,1,0)</f>
        <v>0</v>
      </c>
      <c r="DW62" s="219">
        <f>IF(CdTrp4!L80=4,1,0)</f>
        <v>0</v>
      </c>
      <c r="DX62" s="219">
        <f>IF(CdTrp4!M80=4,1,0)</f>
        <v>0</v>
      </c>
      <c r="DY62" s="219">
        <f>IF(CdTrp4!N80=4,1,0)</f>
        <v>0</v>
      </c>
      <c r="DZ62" s="219">
        <f>IF(CdTrp4!O80=4,1,0)</f>
        <v>0</v>
      </c>
      <c r="EA62" s="219">
        <f>IF(CdTrp4!P80=4,1,0)</f>
        <v>0</v>
      </c>
      <c r="EB62" s="219">
        <f>IF(CdTrp4!Q80=4,1,0)</f>
        <v>0</v>
      </c>
      <c r="EC62" s="219">
        <f>IF(CdTrp4!R80=4,1,0)</f>
        <v>0</v>
      </c>
      <c r="ED62" s="219">
        <f>IF(CdTrp4!S80=4,1,0)</f>
        <v>0</v>
      </c>
      <c r="EE62" s="219">
        <f>IF(CdTrp4!T80=4,1,0)</f>
        <v>0</v>
      </c>
      <c r="EF62" s="219">
        <f>IF(CdTrp4!U80=4,1,0)</f>
        <v>0</v>
      </c>
      <c r="EG62" s="219">
        <f>IF(CdTrp4!V80=4,1,0)</f>
        <v>0</v>
      </c>
      <c r="EH62" s="219">
        <f>IF(CdTrp4!W80=4,1,0)</f>
        <v>0</v>
      </c>
      <c r="EI62" s="219">
        <f>IF(CdTrp4!X80=4,1,0)</f>
        <v>0</v>
      </c>
      <c r="EJ62" s="219">
        <f>IF(CdTrp4!Y80=4,1,0)</f>
        <v>0</v>
      </c>
    </row>
    <row r="63" spans="1:143" x14ac:dyDescent="0.25">
      <c r="A63" s="5"/>
      <c r="B63" s="5"/>
      <c r="C63" s="5"/>
      <c r="D63" s="5"/>
      <c r="X63" s="215"/>
      <c r="Y63" s="215"/>
      <c r="Z63" s="215"/>
      <c r="AA63" s="215"/>
      <c r="AB63" s="215"/>
      <c r="AC63" s="215"/>
      <c r="AD63" s="215"/>
      <c r="AE63" s="215"/>
      <c r="AF63" s="215"/>
      <c r="AG63" s="215" t="str">
        <f>CdTrp1!A81</f>
        <v>lot6</v>
      </c>
      <c r="AH63" s="219">
        <f>IF(CdTrp1!B81=4,1,0)</f>
        <v>0</v>
      </c>
      <c r="AI63" s="219">
        <f>IF(CdTrp1!C81=4,1,0)</f>
        <v>0</v>
      </c>
      <c r="AJ63" s="219">
        <f>IF(CdTrp1!D81=4,1,0)</f>
        <v>0</v>
      </c>
      <c r="AK63" s="219">
        <f>IF(CdTrp1!E81=4,1,0)</f>
        <v>0</v>
      </c>
      <c r="AL63" s="219">
        <f>IF(CdTrp1!F81=4,1,0)</f>
        <v>0</v>
      </c>
      <c r="AM63" s="219">
        <f>IF(CdTrp1!G81=4,1,0)</f>
        <v>0</v>
      </c>
      <c r="AN63" s="219">
        <f>IF(CdTrp1!H81=4,1,0)</f>
        <v>0</v>
      </c>
      <c r="AO63" s="219">
        <f>IF(CdTrp1!I81=4,1,0)</f>
        <v>0</v>
      </c>
      <c r="AP63" s="219">
        <f>IF(CdTrp1!J81=4,1,0)</f>
        <v>0</v>
      </c>
      <c r="AQ63" s="219">
        <f>IF(CdTrp1!K81=4,1,0)</f>
        <v>0</v>
      </c>
      <c r="AR63" s="219">
        <f>IF(CdTrp1!L81=4,1,0)</f>
        <v>0</v>
      </c>
      <c r="AS63" s="219">
        <f>IF(CdTrp1!M81=4,1,0)</f>
        <v>0</v>
      </c>
      <c r="AT63" s="219">
        <f>IF(CdTrp1!N81=4,1,0)</f>
        <v>0</v>
      </c>
      <c r="AU63" s="219">
        <f>IF(CdTrp1!O81=4,1,0)</f>
        <v>0</v>
      </c>
      <c r="AV63" s="219">
        <f>IF(CdTrp1!P81=4,1,0)</f>
        <v>0</v>
      </c>
      <c r="AW63" s="219">
        <f>IF(CdTrp1!Q81=4,1,0)</f>
        <v>0</v>
      </c>
      <c r="AX63" s="219">
        <f>IF(CdTrp1!R81=4,1,0)</f>
        <v>0</v>
      </c>
      <c r="AY63" s="219">
        <f>IF(CdTrp1!S81=4,1,0)</f>
        <v>0</v>
      </c>
      <c r="AZ63" s="219">
        <f>IF(CdTrp1!T81=4,1,0)</f>
        <v>0</v>
      </c>
      <c r="BA63" s="219">
        <f>IF(CdTrp1!U81=4,1,0)</f>
        <v>0</v>
      </c>
      <c r="BB63" s="219">
        <f>IF(CdTrp1!V81=4,1,0)</f>
        <v>0</v>
      </c>
      <c r="BC63" s="219">
        <f>IF(CdTrp1!W81=4,1,0)</f>
        <v>0</v>
      </c>
      <c r="BD63" s="219">
        <f>IF(CdTrp1!X81=4,1,0)</f>
        <v>0</v>
      </c>
      <c r="BE63" s="219">
        <f>IF(CdTrp1!Y81=4,1,0)</f>
        <v>0</v>
      </c>
      <c r="BF63" s="215"/>
      <c r="BG63" s="216"/>
      <c r="BH63" s="215">
        <f t="shared" si="22"/>
        <v>0</v>
      </c>
      <c r="BI63" s="215">
        <f>IF(CdTrp2!B81=4,1,0)</f>
        <v>0</v>
      </c>
      <c r="BJ63" s="215">
        <f>IF(CdTrp2!C81=4,1,0)</f>
        <v>0</v>
      </c>
      <c r="BK63" s="215">
        <f>IF(CdTrp2!D81=4,1,0)</f>
        <v>0</v>
      </c>
      <c r="BL63" s="215">
        <f>IF(CdTrp2!E81=4,1,0)</f>
        <v>0</v>
      </c>
      <c r="BM63" s="215">
        <f>IF(CdTrp2!F81=4,1,0)</f>
        <v>0</v>
      </c>
      <c r="BN63" s="215">
        <f>IF(CdTrp2!G81=4,1,0)</f>
        <v>0</v>
      </c>
      <c r="BO63" s="215">
        <f>IF(CdTrp2!H81=4,1,0)</f>
        <v>0</v>
      </c>
      <c r="BP63" s="215">
        <f>IF(CdTrp2!I81=4,1,0)</f>
        <v>0</v>
      </c>
      <c r="BQ63" s="215">
        <f>IF(CdTrp2!J81=4,1,0)</f>
        <v>0</v>
      </c>
      <c r="BR63" s="215">
        <f>IF(CdTrp2!K81=4,1,0)</f>
        <v>0</v>
      </c>
      <c r="BS63" s="215">
        <f>IF(CdTrp2!L81=4,1,0)</f>
        <v>0</v>
      </c>
      <c r="BT63" s="215">
        <f>IF(CdTrp2!M81=4,1,0)</f>
        <v>0</v>
      </c>
      <c r="BU63" s="215">
        <f>IF(CdTrp2!N81=4,1,0)</f>
        <v>0</v>
      </c>
      <c r="BV63" s="215">
        <f>IF(CdTrp2!O81=4,1,0)</f>
        <v>0</v>
      </c>
      <c r="BW63" s="215">
        <f>IF(CdTrp2!P81=4,1,0)</f>
        <v>0</v>
      </c>
      <c r="BX63" s="215">
        <f>IF(CdTrp2!Q81=4,1,0)</f>
        <v>0</v>
      </c>
      <c r="BY63" s="215">
        <f>IF(CdTrp2!R81=4,1,0)</f>
        <v>0</v>
      </c>
      <c r="BZ63" s="215">
        <f>IF(CdTrp2!S81=4,1,0)</f>
        <v>0</v>
      </c>
      <c r="CA63" s="215">
        <f>IF(CdTrp2!T81=4,1,0)</f>
        <v>0</v>
      </c>
      <c r="CB63" s="215">
        <f>IF(CdTrp2!U81=4,1,0)</f>
        <v>0</v>
      </c>
      <c r="CC63" s="215">
        <f>IF(CdTrp2!V81=4,1,0)</f>
        <v>0</v>
      </c>
      <c r="CD63" s="215">
        <f>IF(CdTrp2!W81=4,1,0)</f>
        <v>0</v>
      </c>
      <c r="CE63" s="215">
        <f>IF(CdTrp2!X81=4,1,0)</f>
        <v>0</v>
      </c>
      <c r="CF63" s="215">
        <f>IF(CdTrp2!Y81=4,1,0)</f>
        <v>0</v>
      </c>
      <c r="CG63" s="215"/>
      <c r="CH63" s="215"/>
      <c r="CI63" s="216"/>
      <c r="CJ63" s="215">
        <f t="shared" si="23"/>
        <v>0</v>
      </c>
      <c r="CK63" s="219">
        <f>IF(CdTrp3!B81=4,1,0)</f>
        <v>0</v>
      </c>
      <c r="CL63" s="219">
        <f>IF(CdTrp3!C81=4,1,0)</f>
        <v>0</v>
      </c>
      <c r="CM63" s="219">
        <f>IF(CdTrp3!D81=4,1,0)</f>
        <v>0</v>
      </c>
      <c r="CN63" s="219">
        <f>IF(CdTrp3!E81=4,1,0)</f>
        <v>0</v>
      </c>
      <c r="CO63" s="219">
        <f>IF(CdTrp3!F81=4,1,0)</f>
        <v>0</v>
      </c>
      <c r="CP63" s="219">
        <f>IF(CdTrp3!G81=4,1,0)</f>
        <v>0</v>
      </c>
      <c r="CQ63" s="219">
        <f>IF(CdTrp3!H81=4,1,0)</f>
        <v>0</v>
      </c>
      <c r="CR63" s="219">
        <f>IF(CdTrp3!I81=4,1,0)</f>
        <v>0</v>
      </c>
      <c r="CS63" s="219">
        <f>IF(CdTrp3!J81=4,1,0)</f>
        <v>0</v>
      </c>
      <c r="CT63" s="219">
        <f>IF(CdTrp3!K81=4,1,0)</f>
        <v>0</v>
      </c>
      <c r="CU63" s="219">
        <f>IF(CdTrp3!L81=4,1,0)</f>
        <v>0</v>
      </c>
      <c r="CV63" s="219">
        <f>IF(CdTrp3!M81=4,1,0)</f>
        <v>0</v>
      </c>
      <c r="CW63" s="219">
        <f>IF(CdTrp3!N81=4,1,0)</f>
        <v>0</v>
      </c>
      <c r="CX63" s="219">
        <f>IF(CdTrp3!O81=4,1,0)</f>
        <v>0</v>
      </c>
      <c r="CY63" s="219">
        <f>IF(CdTrp3!P81=4,1,0)</f>
        <v>0</v>
      </c>
      <c r="CZ63" s="219">
        <f>IF(CdTrp3!Q81=4,1,0)</f>
        <v>0</v>
      </c>
      <c r="DA63" s="219">
        <f>IF(CdTrp3!R81=4,1,0)</f>
        <v>0</v>
      </c>
      <c r="DB63" s="219">
        <f>IF(CdTrp3!S81=4,1,0)</f>
        <v>0</v>
      </c>
      <c r="DC63" s="219">
        <f>IF(CdTrp3!T81=4,1,0)</f>
        <v>0</v>
      </c>
      <c r="DD63" s="219">
        <f>IF(CdTrp3!U81=4,1,0)</f>
        <v>0</v>
      </c>
      <c r="DE63" s="219">
        <f>IF(CdTrp3!V81=4,1,0)</f>
        <v>0</v>
      </c>
      <c r="DF63" s="219">
        <f>IF(CdTrp3!W81=4,1,0)</f>
        <v>0</v>
      </c>
      <c r="DG63" s="219">
        <f>IF(CdTrp3!X81=4,1,0)</f>
        <v>0</v>
      </c>
      <c r="DH63" s="219">
        <f>IF(CdTrp3!Y81=4,1,0)</f>
        <v>0</v>
      </c>
      <c r="DI63" s="215"/>
      <c r="DJ63" s="215"/>
      <c r="DK63" s="216"/>
      <c r="DL63" s="215">
        <f t="shared" si="24"/>
        <v>0</v>
      </c>
      <c r="DM63" s="219">
        <f>IF(CdTrp4!B81=4,1,0)</f>
        <v>0</v>
      </c>
      <c r="DN63" s="219">
        <f>IF(CdTrp4!C81=4,1,0)</f>
        <v>0</v>
      </c>
      <c r="DO63" s="219">
        <f>IF(CdTrp4!D81=4,1,0)</f>
        <v>0</v>
      </c>
      <c r="DP63" s="219">
        <f>IF(CdTrp4!E81=4,1,0)</f>
        <v>0</v>
      </c>
      <c r="DQ63" s="219">
        <f>IF(CdTrp4!F81=4,1,0)</f>
        <v>0</v>
      </c>
      <c r="DR63" s="219">
        <f>IF(CdTrp4!G81=4,1,0)</f>
        <v>0</v>
      </c>
      <c r="DS63" s="219">
        <f>IF(CdTrp4!H81=4,1,0)</f>
        <v>0</v>
      </c>
      <c r="DT63" s="219">
        <f>IF(CdTrp4!I81=4,1,0)</f>
        <v>0</v>
      </c>
      <c r="DU63" s="219">
        <f>IF(CdTrp4!J81=4,1,0)</f>
        <v>0</v>
      </c>
      <c r="DV63" s="219">
        <f>IF(CdTrp4!K81=4,1,0)</f>
        <v>0</v>
      </c>
      <c r="DW63" s="219">
        <f>IF(CdTrp4!L81=4,1,0)</f>
        <v>0</v>
      </c>
      <c r="DX63" s="219">
        <f>IF(CdTrp4!M81=4,1,0)</f>
        <v>0</v>
      </c>
      <c r="DY63" s="219">
        <f>IF(CdTrp4!N81=4,1,0)</f>
        <v>0</v>
      </c>
      <c r="DZ63" s="219">
        <f>IF(CdTrp4!O81=4,1,0)</f>
        <v>0</v>
      </c>
      <c r="EA63" s="219">
        <f>IF(CdTrp4!P81=4,1,0)</f>
        <v>0</v>
      </c>
      <c r="EB63" s="219">
        <f>IF(CdTrp4!Q81=4,1,0)</f>
        <v>0</v>
      </c>
      <c r="EC63" s="219">
        <f>IF(CdTrp4!R81=4,1,0)</f>
        <v>0</v>
      </c>
      <c r="ED63" s="219">
        <f>IF(CdTrp4!S81=4,1,0)</f>
        <v>0</v>
      </c>
      <c r="EE63" s="219">
        <f>IF(CdTrp4!T81=4,1,0)</f>
        <v>0</v>
      </c>
      <c r="EF63" s="219">
        <f>IF(CdTrp4!U81=4,1,0)</f>
        <v>0</v>
      </c>
      <c r="EG63" s="219">
        <f>IF(CdTrp4!V81=4,1,0)</f>
        <v>0</v>
      </c>
      <c r="EH63" s="219">
        <f>IF(CdTrp4!W81=4,1,0)</f>
        <v>0</v>
      </c>
      <c r="EI63" s="219">
        <f>IF(CdTrp4!X81=4,1,0)</f>
        <v>0</v>
      </c>
      <c r="EJ63" s="219">
        <f>IF(CdTrp4!Y81=4,1,0)</f>
        <v>0</v>
      </c>
    </row>
    <row r="64" spans="1:143" x14ac:dyDescent="0.25">
      <c r="A64" s="5"/>
      <c r="B64" s="5"/>
      <c r="C64" s="5"/>
      <c r="D64" s="5"/>
      <c r="X64" s="215"/>
      <c r="Y64" s="215"/>
      <c r="Z64" s="215"/>
      <c r="AA64" s="215"/>
      <c r="AB64" s="215"/>
      <c r="AC64" s="215"/>
      <c r="AD64" s="215"/>
      <c r="AE64" s="215"/>
      <c r="AF64" s="215"/>
      <c r="AG64" s="272" t="str">
        <f>CdTrp1!A82</f>
        <v>lot7</v>
      </c>
      <c r="AH64" s="219">
        <f>IF(CdTrp1!B82=4,1,0)</f>
        <v>0</v>
      </c>
      <c r="AI64" s="219">
        <f>IF(CdTrp1!C82=4,1,0)</f>
        <v>0</v>
      </c>
      <c r="AJ64" s="219">
        <f>IF(CdTrp1!D82=4,1,0)</f>
        <v>0</v>
      </c>
      <c r="AK64" s="219">
        <f>IF(CdTrp1!E82=4,1,0)</f>
        <v>0</v>
      </c>
      <c r="AL64" s="219">
        <f>IF(CdTrp1!F82=4,1,0)</f>
        <v>0</v>
      </c>
      <c r="AM64" s="219">
        <f>IF(CdTrp1!G82=4,1,0)</f>
        <v>0</v>
      </c>
      <c r="AN64" s="219">
        <f>IF(CdTrp1!H82=4,1,0)</f>
        <v>0</v>
      </c>
      <c r="AO64" s="219">
        <f>IF(CdTrp1!I82=4,1,0)</f>
        <v>0</v>
      </c>
      <c r="AP64" s="219">
        <f>IF(CdTrp1!J82=4,1,0)</f>
        <v>0</v>
      </c>
      <c r="AQ64" s="219">
        <f>IF(CdTrp1!K82=4,1,0)</f>
        <v>0</v>
      </c>
      <c r="AR64" s="219">
        <f>IF(CdTrp1!L82=4,1,0)</f>
        <v>0</v>
      </c>
      <c r="AS64" s="219">
        <f>IF(CdTrp1!M82=4,1,0)</f>
        <v>0</v>
      </c>
      <c r="AT64" s="219">
        <f>IF(CdTrp1!N82=4,1,0)</f>
        <v>0</v>
      </c>
      <c r="AU64" s="219">
        <f>IF(CdTrp1!O82=4,1,0)</f>
        <v>0</v>
      </c>
      <c r="AV64" s="219">
        <f>IF(CdTrp1!P82=4,1,0)</f>
        <v>0</v>
      </c>
      <c r="AW64" s="219">
        <f>IF(CdTrp1!Q82=4,1,0)</f>
        <v>0</v>
      </c>
      <c r="AX64" s="219">
        <f>IF(CdTrp1!R82=4,1,0)</f>
        <v>0</v>
      </c>
      <c r="AY64" s="219">
        <f>IF(CdTrp1!S82=4,1,0)</f>
        <v>0</v>
      </c>
      <c r="AZ64" s="219">
        <f>IF(CdTrp1!T82=4,1,0)</f>
        <v>0</v>
      </c>
      <c r="BA64" s="219">
        <f>IF(CdTrp1!U82=4,1,0)</f>
        <v>0</v>
      </c>
      <c r="BB64" s="219">
        <f>IF(CdTrp1!V82=4,1,0)</f>
        <v>0</v>
      </c>
      <c r="BC64" s="219">
        <f>IF(CdTrp1!W82=4,1,0)</f>
        <v>0</v>
      </c>
      <c r="BD64" s="219">
        <f>IF(CdTrp1!X82=4,1,0)</f>
        <v>0</v>
      </c>
      <c r="BE64" s="219">
        <f>IF(CdTrp1!Y82=4,1,0)</f>
        <v>0</v>
      </c>
      <c r="BF64" s="215"/>
      <c r="BG64" s="216"/>
      <c r="BH64" s="215">
        <f t="shared" si="22"/>
        <v>0</v>
      </c>
      <c r="BI64" s="215">
        <f>IF(CdTrp2!B82=4,1,0)</f>
        <v>0</v>
      </c>
      <c r="BJ64" s="215">
        <f>IF(CdTrp2!C82=4,1,0)</f>
        <v>0</v>
      </c>
      <c r="BK64" s="215">
        <f>IF(CdTrp2!D82=4,1,0)</f>
        <v>0</v>
      </c>
      <c r="BL64" s="215">
        <f>IF(CdTrp2!E82=4,1,0)</f>
        <v>0</v>
      </c>
      <c r="BM64" s="215">
        <f>IF(CdTrp2!F82=4,1,0)</f>
        <v>0</v>
      </c>
      <c r="BN64" s="215">
        <f>IF(CdTrp2!G82=4,1,0)</f>
        <v>0</v>
      </c>
      <c r="BO64" s="215">
        <f>IF(CdTrp2!H82=4,1,0)</f>
        <v>0</v>
      </c>
      <c r="BP64" s="215">
        <f>IF(CdTrp2!I82=4,1,0)</f>
        <v>0</v>
      </c>
      <c r="BQ64" s="215">
        <f>IF(CdTrp2!J82=4,1,0)</f>
        <v>0</v>
      </c>
      <c r="BR64" s="215">
        <f>IF(CdTrp2!K82=4,1,0)</f>
        <v>0</v>
      </c>
      <c r="BS64" s="215">
        <f>IF(CdTrp2!L82=4,1,0)</f>
        <v>0</v>
      </c>
      <c r="BT64" s="215">
        <f>IF(CdTrp2!M82=4,1,0)</f>
        <v>0</v>
      </c>
      <c r="BU64" s="215">
        <f>IF(CdTrp2!N82=4,1,0)</f>
        <v>0</v>
      </c>
      <c r="BV64" s="215">
        <f>IF(CdTrp2!O82=4,1,0)</f>
        <v>0</v>
      </c>
      <c r="BW64" s="215">
        <f>IF(CdTrp2!P82=4,1,0)</f>
        <v>0</v>
      </c>
      <c r="BX64" s="215">
        <f>IF(CdTrp2!Q82=4,1,0)</f>
        <v>0</v>
      </c>
      <c r="BY64" s="215">
        <f>IF(CdTrp2!R82=4,1,0)</f>
        <v>0</v>
      </c>
      <c r="BZ64" s="215">
        <f>IF(CdTrp2!S82=4,1,0)</f>
        <v>0</v>
      </c>
      <c r="CA64" s="215">
        <f>IF(CdTrp2!T82=4,1,0)</f>
        <v>0</v>
      </c>
      <c r="CB64" s="215">
        <f>IF(CdTrp2!U82=4,1,0)</f>
        <v>0</v>
      </c>
      <c r="CC64" s="215">
        <f>IF(CdTrp2!V82=4,1,0)</f>
        <v>0</v>
      </c>
      <c r="CD64" s="215">
        <f>IF(CdTrp2!W82=4,1,0)</f>
        <v>0</v>
      </c>
      <c r="CE64" s="215">
        <f>IF(CdTrp2!X82=4,1,0)</f>
        <v>0</v>
      </c>
      <c r="CF64" s="215">
        <f>IF(CdTrp2!Y82=4,1,0)</f>
        <v>0</v>
      </c>
      <c r="CG64" s="215"/>
      <c r="CH64" s="215"/>
      <c r="CI64" s="216"/>
      <c r="CJ64" s="215">
        <f t="shared" si="23"/>
        <v>0</v>
      </c>
      <c r="CK64" s="219">
        <f>IF(CdTrp3!B82=4,1,0)</f>
        <v>0</v>
      </c>
      <c r="CL64" s="219">
        <f>IF(CdTrp3!C82=4,1,0)</f>
        <v>0</v>
      </c>
      <c r="CM64" s="219">
        <f>IF(CdTrp3!D82=4,1,0)</f>
        <v>0</v>
      </c>
      <c r="CN64" s="219">
        <f>IF(CdTrp3!E82=4,1,0)</f>
        <v>0</v>
      </c>
      <c r="CO64" s="219">
        <f>IF(CdTrp3!F82=4,1,0)</f>
        <v>0</v>
      </c>
      <c r="CP64" s="219">
        <f>IF(CdTrp3!G82=4,1,0)</f>
        <v>0</v>
      </c>
      <c r="CQ64" s="219">
        <f>IF(CdTrp3!H82=4,1,0)</f>
        <v>0</v>
      </c>
      <c r="CR64" s="219">
        <f>IF(CdTrp3!I82=4,1,0)</f>
        <v>0</v>
      </c>
      <c r="CS64" s="219">
        <f>IF(CdTrp3!J82=4,1,0)</f>
        <v>0</v>
      </c>
      <c r="CT64" s="219">
        <f>IF(CdTrp3!K82=4,1,0)</f>
        <v>0</v>
      </c>
      <c r="CU64" s="219">
        <f>IF(CdTrp3!L82=4,1,0)</f>
        <v>0</v>
      </c>
      <c r="CV64" s="219">
        <f>IF(CdTrp3!M82=4,1,0)</f>
        <v>0</v>
      </c>
      <c r="CW64" s="219">
        <f>IF(CdTrp3!N82=4,1,0)</f>
        <v>0</v>
      </c>
      <c r="CX64" s="219">
        <f>IF(CdTrp3!O82=4,1,0)</f>
        <v>0</v>
      </c>
      <c r="CY64" s="219">
        <f>IF(CdTrp3!P82=4,1,0)</f>
        <v>0</v>
      </c>
      <c r="CZ64" s="219">
        <f>IF(CdTrp3!Q82=4,1,0)</f>
        <v>0</v>
      </c>
      <c r="DA64" s="219">
        <f>IF(CdTrp3!R82=4,1,0)</f>
        <v>0</v>
      </c>
      <c r="DB64" s="219">
        <f>IF(CdTrp3!S82=4,1,0)</f>
        <v>0</v>
      </c>
      <c r="DC64" s="219">
        <f>IF(CdTrp3!T82=4,1,0)</f>
        <v>0</v>
      </c>
      <c r="DD64" s="219">
        <f>IF(CdTrp3!U82=4,1,0)</f>
        <v>0</v>
      </c>
      <c r="DE64" s="219">
        <f>IF(CdTrp3!V82=4,1,0)</f>
        <v>0</v>
      </c>
      <c r="DF64" s="219">
        <f>IF(CdTrp3!W82=4,1,0)</f>
        <v>0</v>
      </c>
      <c r="DG64" s="219">
        <f>IF(CdTrp3!X82=4,1,0)</f>
        <v>0</v>
      </c>
      <c r="DH64" s="219">
        <f>IF(CdTrp3!Y82=4,1,0)</f>
        <v>0</v>
      </c>
      <c r="DI64" s="215"/>
      <c r="DJ64" s="215"/>
      <c r="DK64" s="216"/>
      <c r="DL64" s="215">
        <f t="shared" si="24"/>
        <v>0</v>
      </c>
      <c r="DM64" s="219">
        <f>IF(CdTrp4!B82=4,1,0)</f>
        <v>0</v>
      </c>
      <c r="DN64" s="219">
        <f>IF(CdTrp4!C82=4,1,0)</f>
        <v>0</v>
      </c>
      <c r="DO64" s="219">
        <f>IF(CdTrp4!D82=4,1,0)</f>
        <v>0</v>
      </c>
      <c r="DP64" s="219">
        <f>IF(CdTrp4!E82=4,1,0)</f>
        <v>0</v>
      </c>
      <c r="DQ64" s="219">
        <f>IF(CdTrp4!F82=4,1,0)</f>
        <v>0</v>
      </c>
      <c r="DR64" s="219">
        <f>IF(CdTrp4!G82=4,1,0)</f>
        <v>0</v>
      </c>
      <c r="DS64" s="219">
        <f>IF(CdTrp4!H82=4,1,0)</f>
        <v>0</v>
      </c>
      <c r="DT64" s="219">
        <f>IF(CdTrp4!I82=4,1,0)</f>
        <v>0</v>
      </c>
      <c r="DU64" s="219">
        <f>IF(CdTrp4!J82=4,1,0)</f>
        <v>0</v>
      </c>
      <c r="DV64" s="219">
        <f>IF(CdTrp4!K82=4,1,0)</f>
        <v>0</v>
      </c>
      <c r="DW64" s="219">
        <f>IF(CdTrp4!L82=4,1,0)</f>
        <v>0</v>
      </c>
      <c r="DX64" s="219">
        <f>IF(CdTrp4!M82=4,1,0)</f>
        <v>0</v>
      </c>
      <c r="DY64" s="219">
        <f>IF(CdTrp4!N82=4,1,0)</f>
        <v>0</v>
      </c>
      <c r="DZ64" s="219">
        <f>IF(CdTrp4!O82=4,1,0)</f>
        <v>0</v>
      </c>
      <c r="EA64" s="219">
        <f>IF(CdTrp4!P82=4,1,0)</f>
        <v>0</v>
      </c>
      <c r="EB64" s="219">
        <f>IF(CdTrp4!Q82=4,1,0)</f>
        <v>0</v>
      </c>
      <c r="EC64" s="219">
        <f>IF(CdTrp4!R82=4,1,0)</f>
        <v>0</v>
      </c>
      <c r="ED64" s="219">
        <f>IF(CdTrp4!S82=4,1,0)</f>
        <v>0</v>
      </c>
      <c r="EE64" s="219">
        <f>IF(CdTrp4!T82=4,1,0)</f>
        <v>0</v>
      </c>
      <c r="EF64" s="219">
        <f>IF(CdTrp4!U82=4,1,0)</f>
        <v>0</v>
      </c>
      <c r="EG64" s="219">
        <f>IF(CdTrp4!V82=4,1,0)</f>
        <v>0</v>
      </c>
      <c r="EH64" s="219">
        <f>IF(CdTrp4!W82=4,1,0)</f>
        <v>0</v>
      </c>
      <c r="EI64" s="219">
        <f>IF(CdTrp4!X82=4,1,0)</f>
        <v>0</v>
      </c>
      <c r="EJ64" s="219">
        <f>IF(CdTrp4!Y82=4,1,0)</f>
        <v>0</v>
      </c>
    </row>
    <row r="65" spans="1:143" x14ac:dyDescent="0.25">
      <c r="A65" s="5"/>
      <c r="B65" s="5"/>
      <c r="C65" s="5"/>
      <c r="D65" s="5"/>
      <c r="X65" s="215"/>
      <c r="Y65" s="215"/>
      <c r="Z65" s="215"/>
      <c r="AA65" s="215"/>
      <c r="AB65" s="215"/>
      <c r="AC65" s="215"/>
      <c r="AD65" s="215"/>
      <c r="AE65" s="215"/>
      <c r="AF65" s="215"/>
      <c r="AG65" s="272" t="str">
        <f>CdTrp1!A83</f>
        <v>lot8</v>
      </c>
      <c r="AH65" s="219">
        <f>IF(CdTrp1!B83=4,1,0)</f>
        <v>0</v>
      </c>
      <c r="AI65" s="219">
        <f>IF(CdTrp1!C83=4,1,0)</f>
        <v>0</v>
      </c>
      <c r="AJ65" s="219">
        <f>IF(CdTrp1!D83=4,1,0)</f>
        <v>0</v>
      </c>
      <c r="AK65" s="219">
        <f>IF(CdTrp1!E83=4,1,0)</f>
        <v>0</v>
      </c>
      <c r="AL65" s="219">
        <f>IF(CdTrp1!F83=4,1,0)</f>
        <v>0</v>
      </c>
      <c r="AM65" s="219">
        <f>IF(CdTrp1!G83=4,1,0)</f>
        <v>0</v>
      </c>
      <c r="AN65" s="219">
        <f>IF(CdTrp1!H83=4,1,0)</f>
        <v>0</v>
      </c>
      <c r="AO65" s="219">
        <f>IF(CdTrp1!I83=4,1,0)</f>
        <v>0</v>
      </c>
      <c r="AP65" s="219">
        <f>IF(CdTrp1!J83=4,1,0)</f>
        <v>0</v>
      </c>
      <c r="AQ65" s="219">
        <f>IF(CdTrp1!K83=4,1,0)</f>
        <v>0</v>
      </c>
      <c r="AR65" s="219">
        <f>IF(CdTrp1!L83=4,1,0)</f>
        <v>0</v>
      </c>
      <c r="AS65" s="219">
        <f>IF(CdTrp1!M83=4,1,0)</f>
        <v>0</v>
      </c>
      <c r="AT65" s="219">
        <f>IF(CdTrp1!N83=4,1,0)</f>
        <v>0</v>
      </c>
      <c r="AU65" s="219">
        <f>IF(CdTrp1!O83=4,1,0)</f>
        <v>0</v>
      </c>
      <c r="AV65" s="219">
        <f>IF(CdTrp1!P83=4,1,0)</f>
        <v>0</v>
      </c>
      <c r="AW65" s="219">
        <f>IF(CdTrp1!Q83=4,1,0)</f>
        <v>0</v>
      </c>
      <c r="AX65" s="219">
        <f>IF(CdTrp1!R83=4,1,0)</f>
        <v>0</v>
      </c>
      <c r="AY65" s="219">
        <f>IF(CdTrp1!S83=4,1,0)</f>
        <v>0</v>
      </c>
      <c r="AZ65" s="219">
        <f>IF(CdTrp1!T83=4,1,0)</f>
        <v>0</v>
      </c>
      <c r="BA65" s="219">
        <f>IF(CdTrp1!U83=4,1,0)</f>
        <v>0</v>
      </c>
      <c r="BB65" s="219">
        <f>IF(CdTrp1!V83=4,1,0)</f>
        <v>0</v>
      </c>
      <c r="BC65" s="219">
        <f>IF(CdTrp1!W83=4,1,0)</f>
        <v>0</v>
      </c>
      <c r="BD65" s="219">
        <f>IF(CdTrp1!X83=4,1,0)</f>
        <v>0</v>
      </c>
      <c r="BE65" s="219">
        <f>IF(CdTrp1!Y83=4,1,0)</f>
        <v>0</v>
      </c>
      <c r="BF65" s="215"/>
      <c r="BG65" s="216"/>
      <c r="BH65" s="215">
        <f t="shared" si="22"/>
        <v>0</v>
      </c>
      <c r="BI65" s="215">
        <f>IF(CdTrp2!B83=4,1,0)</f>
        <v>0</v>
      </c>
      <c r="BJ65" s="215">
        <f>IF(CdTrp2!C83=4,1,0)</f>
        <v>0</v>
      </c>
      <c r="BK65" s="215">
        <f>IF(CdTrp2!D83=4,1,0)</f>
        <v>0</v>
      </c>
      <c r="BL65" s="215">
        <f>IF(CdTrp2!E83=4,1,0)</f>
        <v>0</v>
      </c>
      <c r="BM65" s="215">
        <f>IF(CdTrp2!F83=4,1,0)</f>
        <v>0</v>
      </c>
      <c r="BN65" s="215">
        <f>IF(CdTrp2!G83=4,1,0)</f>
        <v>0</v>
      </c>
      <c r="BO65" s="215">
        <f>IF(CdTrp2!H83=4,1,0)</f>
        <v>0</v>
      </c>
      <c r="BP65" s="215">
        <f>IF(CdTrp2!I83=4,1,0)</f>
        <v>0</v>
      </c>
      <c r="BQ65" s="215">
        <f>IF(CdTrp2!J83=4,1,0)</f>
        <v>0</v>
      </c>
      <c r="BR65" s="215">
        <f>IF(CdTrp2!K83=4,1,0)</f>
        <v>0</v>
      </c>
      <c r="BS65" s="215">
        <f>IF(CdTrp2!L83=4,1,0)</f>
        <v>0</v>
      </c>
      <c r="BT65" s="215">
        <f>IF(CdTrp2!M83=4,1,0)</f>
        <v>0</v>
      </c>
      <c r="BU65" s="215">
        <f>IF(CdTrp2!N83=4,1,0)</f>
        <v>0</v>
      </c>
      <c r="BV65" s="215">
        <f>IF(CdTrp2!O83=4,1,0)</f>
        <v>0</v>
      </c>
      <c r="BW65" s="215">
        <f>IF(CdTrp2!P83=4,1,0)</f>
        <v>0</v>
      </c>
      <c r="BX65" s="215">
        <f>IF(CdTrp2!Q83=4,1,0)</f>
        <v>0</v>
      </c>
      <c r="BY65" s="215">
        <f>IF(CdTrp2!R83=4,1,0)</f>
        <v>0</v>
      </c>
      <c r="BZ65" s="215">
        <f>IF(CdTrp2!S83=4,1,0)</f>
        <v>0</v>
      </c>
      <c r="CA65" s="215">
        <f>IF(CdTrp2!T83=4,1,0)</f>
        <v>0</v>
      </c>
      <c r="CB65" s="215">
        <f>IF(CdTrp2!U83=4,1,0)</f>
        <v>0</v>
      </c>
      <c r="CC65" s="215">
        <f>IF(CdTrp2!V83=4,1,0)</f>
        <v>0</v>
      </c>
      <c r="CD65" s="215">
        <f>IF(CdTrp2!W83=4,1,0)</f>
        <v>0</v>
      </c>
      <c r="CE65" s="215">
        <f>IF(CdTrp2!X83=4,1,0)</f>
        <v>0</v>
      </c>
      <c r="CF65" s="215">
        <f>IF(CdTrp2!Y83=4,1,0)</f>
        <v>0</v>
      </c>
      <c r="CG65" s="215"/>
      <c r="CH65" s="215"/>
      <c r="CI65" s="216"/>
      <c r="CJ65" s="215">
        <f t="shared" si="23"/>
        <v>0</v>
      </c>
      <c r="CK65" s="219">
        <f>IF(CdTrp3!B83=4,1,0)</f>
        <v>0</v>
      </c>
      <c r="CL65" s="219">
        <f>IF(CdTrp3!C83=4,1,0)</f>
        <v>0</v>
      </c>
      <c r="CM65" s="219">
        <f>IF(CdTrp3!D83=4,1,0)</f>
        <v>0</v>
      </c>
      <c r="CN65" s="219">
        <f>IF(CdTrp3!E83=4,1,0)</f>
        <v>0</v>
      </c>
      <c r="CO65" s="219">
        <f>IF(CdTrp3!F83=4,1,0)</f>
        <v>0</v>
      </c>
      <c r="CP65" s="219">
        <f>IF(CdTrp3!G83=4,1,0)</f>
        <v>0</v>
      </c>
      <c r="CQ65" s="219">
        <f>IF(CdTrp3!H83=4,1,0)</f>
        <v>0</v>
      </c>
      <c r="CR65" s="219">
        <f>IF(CdTrp3!I83=4,1,0)</f>
        <v>0</v>
      </c>
      <c r="CS65" s="219">
        <f>IF(CdTrp3!J83=4,1,0)</f>
        <v>0</v>
      </c>
      <c r="CT65" s="219">
        <f>IF(CdTrp3!K83=4,1,0)</f>
        <v>0</v>
      </c>
      <c r="CU65" s="219">
        <f>IF(CdTrp3!L83=4,1,0)</f>
        <v>0</v>
      </c>
      <c r="CV65" s="219">
        <f>IF(CdTrp3!M83=4,1,0)</f>
        <v>0</v>
      </c>
      <c r="CW65" s="219">
        <f>IF(CdTrp3!N83=4,1,0)</f>
        <v>0</v>
      </c>
      <c r="CX65" s="219">
        <f>IF(CdTrp3!O83=4,1,0)</f>
        <v>0</v>
      </c>
      <c r="CY65" s="219">
        <f>IF(CdTrp3!P83=4,1,0)</f>
        <v>0</v>
      </c>
      <c r="CZ65" s="219">
        <f>IF(CdTrp3!Q83=4,1,0)</f>
        <v>0</v>
      </c>
      <c r="DA65" s="219">
        <f>IF(CdTrp3!R83=4,1,0)</f>
        <v>0</v>
      </c>
      <c r="DB65" s="219">
        <f>IF(CdTrp3!S83=4,1,0)</f>
        <v>0</v>
      </c>
      <c r="DC65" s="219">
        <f>IF(CdTrp3!T83=4,1,0)</f>
        <v>0</v>
      </c>
      <c r="DD65" s="219">
        <f>IF(CdTrp3!U83=4,1,0)</f>
        <v>0</v>
      </c>
      <c r="DE65" s="219">
        <f>IF(CdTrp3!V83=4,1,0)</f>
        <v>0</v>
      </c>
      <c r="DF65" s="219">
        <f>IF(CdTrp3!W83=4,1,0)</f>
        <v>0</v>
      </c>
      <c r="DG65" s="219">
        <f>IF(CdTrp3!X83=4,1,0)</f>
        <v>0</v>
      </c>
      <c r="DH65" s="219">
        <f>IF(CdTrp3!Y83=4,1,0)</f>
        <v>0</v>
      </c>
      <c r="DI65" s="215"/>
      <c r="DJ65" s="215"/>
      <c r="DK65" s="216"/>
      <c r="DL65" s="215">
        <f t="shared" si="24"/>
        <v>0</v>
      </c>
      <c r="DM65" s="219">
        <f>IF(CdTrp4!B83=4,1,0)</f>
        <v>0</v>
      </c>
      <c r="DN65" s="219">
        <f>IF(CdTrp4!C83=4,1,0)</f>
        <v>0</v>
      </c>
      <c r="DO65" s="219">
        <f>IF(CdTrp4!D83=4,1,0)</f>
        <v>0</v>
      </c>
      <c r="DP65" s="219">
        <f>IF(CdTrp4!E83=4,1,0)</f>
        <v>0</v>
      </c>
      <c r="DQ65" s="219">
        <f>IF(CdTrp4!F83=4,1,0)</f>
        <v>0</v>
      </c>
      <c r="DR65" s="219">
        <f>IF(CdTrp4!G83=4,1,0)</f>
        <v>0</v>
      </c>
      <c r="DS65" s="219">
        <f>IF(CdTrp4!H83=4,1,0)</f>
        <v>0</v>
      </c>
      <c r="DT65" s="219">
        <f>IF(CdTrp4!I83=4,1,0)</f>
        <v>0</v>
      </c>
      <c r="DU65" s="219">
        <f>IF(CdTrp4!J83=4,1,0)</f>
        <v>0</v>
      </c>
      <c r="DV65" s="219">
        <f>IF(CdTrp4!K83=4,1,0)</f>
        <v>0</v>
      </c>
      <c r="DW65" s="219">
        <f>IF(CdTrp4!L83=4,1,0)</f>
        <v>0</v>
      </c>
      <c r="DX65" s="219">
        <f>IF(CdTrp4!M83=4,1,0)</f>
        <v>0</v>
      </c>
      <c r="DY65" s="219">
        <f>IF(CdTrp4!N83=4,1,0)</f>
        <v>0</v>
      </c>
      <c r="DZ65" s="219">
        <f>IF(CdTrp4!O83=4,1,0)</f>
        <v>0</v>
      </c>
      <c r="EA65" s="219">
        <f>IF(CdTrp4!P83=4,1,0)</f>
        <v>0</v>
      </c>
      <c r="EB65" s="219">
        <f>IF(CdTrp4!Q83=4,1,0)</f>
        <v>0</v>
      </c>
      <c r="EC65" s="219">
        <f>IF(CdTrp4!R83=4,1,0)</f>
        <v>0</v>
      </c>
      <c r="ED65" s="219">
        <f>IF(CdTrp4!S83=4,1,0)</f>
        <v>0</v>
      </c>
      <c r="EE65" s="219">
        <f>IF(CdTrp4!T83=4,1,0)</f>
        <v>0</v>
      </c>
      <c r="EF65" s="219">
        <f>IF(CdTrp4!U83=4,1,0)</f>
        <v>0</v>
      </c>
      <c r="EG65" s="219">
        <f>IF(CdTrp4!V83=4,1,0)</f>
        <v>0</v>
      </c>
      <c r="EH65" s="219">
        <f>IF(CdTrp4!W83=4,1,0)</f>
        <v>0</v>
      </c>
      <c r="EI65" s="219">
        <f>IF(CdTrp4!X83=4,1,0)</f>
        <v>0</v>
      </c>
      <c r="EJ65" s="219">
        <f>IF(CdTrp4!Y83=4,1,0)</f>
        <v>0</v>
      </c>
    </row>
    <row r="66" spans="1:143" x14ac:dyDescent="0.25">
      <c r="A66" s="5"/>
      <c r="B66" s="5"/>
      <c r="C66" s="5"/>
      <c r="D66" s="5"/>
      <c r="X66" s="215"/>
      <c r="Y66" s="215"/>
      <c r="Z66" s="215"/>
      <c r="AA66" s="215"/>
      <c r="AB66" s="215"/>
      <c r="AC66" s="215"/>
      <c r="AD66" s="215"/>
      <c r="AE66" s="215"/>
      <c r="AF66" s="215"/>
      <c r="AG66" s="215" t="str">
        <f>CdTrp1!A84</f>
        <v>lot9</v>
      </c>
      <c r="AH66" s="219">
        <f>IF(CdTrp1!B84=4,1,0)</f>
        <v>0</v>
      </c>
      <c r="AI66" s="219">
        <f>IF(CdTrp1!C84=4,1,0)</f>
        <v>0</v>
      </c>
      <c r="AJ66" s="219">
        <f>IF(CdTrp1!D84=4,1,0)</f>
        <v>0</v>
      </c>
      <c r="AK66" s="219">
        <f>IF(CdTrp1!E84=4,1,0)</f>
        <v>0</v>
      </c>
      <c r="AL66" s="219">
        <f>IF(CdTrp1!F84=4,1,0)</f>
        <v>0</v>
      </c>
      <c r="AM66" s="219">
        <f>IF(CdTrp1!G84=4,1,0)</f>
        <v>0</v>
      </c>
      <c r="AN66" s="219">
        <f>IF(CdTrp1!H84=4,1,0)</f>
        <v>0</v>
      </c>
      <c r="AO66" s="219">
        <f>IF(CdTrp1!I84=4,1,0)</f>
        <v>0</v>
      </c>
      <c r="AP66" s="219">
        <f>IF(CdTrp1!J84=4,1,0)</f>
        <v>0</v>
      </c>
      <c r="AQ66" s="219">
        <f>IF(CdTrp1!K84=4,1,0)</f>
        <v>0</v>
      </c>
      <c r="AR66" s="219">
        <f>IF(CdTrp1!L84=4,1,0)</f>
        <v>0</v>
      </c>
      <c r="AS66" s="219">
        <f>IF(CdTrp1!M84=4,1,0)</f>
        <v>0</v>
      </c>
      <c r="AT66" s="219">
        <f>IF(CdTrp1!N84=4,1,0)</f>
        <v>0</v>
      </c>
      <c r="AU66" s="219">
        <f>IF(CdTrp1!O84=4,1,0)</f>
        <v>0</v>
      </c>
      <c r="AV66" s="219">
        <f>IF(CdTrp1!P84=4,1,0)</f>
        <v>0</v>
      </c>
      <c r="AW66" s="219">
        <f>IF(CdTrp1!Q84=4,1,0)</f>
        <v>0</v>
      </c>
      <c r="AX66" s="219">
        <f>IF(CdTrp1!R84=4,1,0)</f>
        <v>0</v>
      </c>
      <c r="AY66" s="219">
        <f>IF(CdTrp1!S84=4,1,0)</f>
        <v>0</v>
      </c>
      <c r="AZ66" s="219">
        <f>IF(CdTrp1!T84=4,1,0)</f>
        <v>0</v>
      </c>
      <c r="BA66" s="219">
        <f>IF(CdTrp1!U84=4,1,0)</f>
        <v>0</v>
      </c>
      <c r="BB66" s="219">
        <f>IF(CdTrp1!V84=4,1,0)</f>
        <v>0</v>
      </c>
      <c r="BC66" s="219">
        <f>IF(CdTrp1!W84=4,1,0)</f>
        <v>0</v>
      </c>
      <c r="BD66" s="219">
        <f>IF(CdTrp1!X84=4,1,0)</f>
        <v>0</v>
      </c>
      <c r="BE66" s="219">
        <f>IF(CdTrp1!Y84=4,1,0)</f>
        <v>0</v>
      </c>
      <c r="BF66" s="215"/>
      <c r="BG66" s="216"/>
      <c r="BH66" s="215">
        <f t="shared" si="22"/>
        <v>0</v>
      </c>
      <c r="BI66" s="215">
        <f>IF(CdTrp2!B84=4,1,0)</f>
        <v>0</v>
      </c>
      <c r="BJ66" s="215">
        <f>IF(CdTrp2!C84=4,1,0)</f>
        <v>0</v>
      </c>
      <c r="BK66" s="215">
        <f>IF(CdTrp2!D84=4,1,0)</f>
        <v>0</v>
      </c>
      <c r="BL66" s="215">
        <f>IF(CdTrp2!E84=4,1,0)</f>
        <v>0</v>
      </c>
      <c r="BM66" s="215">
        <f>IF(CdTrp2!F84=4,1,0)</f>
        <v>0</v>
      </c>
      <c r="BN66" s="215">
        <f>IF(CdTrp2!G84=4,1,0)</f>
        <v>0</v>
      </c>
      <c r="BO66" s="215">
        <f>IF(CdTrp2!H84=4,1,0)</f>
        <v>0</v>
      </c>
      <c r="BP66" s="215">
        <f>IF(CdTrp2!I84=4,1,0)</f>
        <v>0</v>
      </c>
      <c r="BQ66" s="215">
        <f>IF(CdTrp2!J84=4,1,0)</f>
        <v>0</v>
      </c>
      <c r="BR66" s="215">
        <f>IF(CdTrp2!K84=4,1,0)</f>
        <v>0</v>
      </c>
      <c r="BS66" s="215">
        <f>IF(CdTrp2!L84=4,1,0)</f>
        <v>0</v>
      </c>
      <c r="BT66" s="215">
        <f>IF(CdTrp2!M84=4,1,0)</f>
        <v>0</v>
      </c>
      <c r="BU66" s="215">
        <f>IF(CdTrp2!N84=4,1,0)</f>
        <v>0</v>
      </c>
      <c r="BV66" s="215">
        <f>IF(CdTrp2!O84=4,1,0)</f>
        <v>0</v>
      </c>
      <c r="BW66" s="215">
        <f>IF(CdTrp2!P84=4,1,0)</f>
        <v>0</v>
      </c>
      <c r="BX66" s="215">
        <f>IF(CdTrp2!Q84=4,1,0)</f>
        <v>0</v>
      </c>
      <c r="BY66" s="215">
        <f>IF(CdTrp2!R84=4,1,0)</f>
        <v>0</v>
      </c>
      <c r="BZ66" s="215">
        <f>IF(CdTrp2!S84=4,1,0)</f>
        <v>0</v>
      </c>
      <c r="CA66" s="215">
        <f>IF(CdTrp2!T84=4,1,0)</f>
        <v>0</v>
      </c>
      <c r="CB66" s="215">
        <f>IF(CdTrp2!U84=4,1,0)</f>
        <v>0</v>
      </c>
      <c r="CC66" s="215">
        <f>IF(CdTrp2!V84=4,1,0)</f>
        <v>0</v>
      </c>
      <c r="CD66" s="215">
        <f>IF(CdTrp2!W84=4,1,0)</f>
        <v>0</v>
      </c>
      <c r="CE66" s="215">
        <f>IF(CdTrp2!X84=4,1,0)</f>
        <v>0</v>
      </c>
      <c r="CF66" s="215">
        <f>IF(CdTrp2!Y84=4,1,0)</f>
        <v>0</v>
      </c>
      <c r="CG66" s="215"/>
      <c r="CH66" s="215"/>
      <c r="CI66" s="216"/>
      <c r="CJ66" s="215">
        <f t="shared" si="23"/>
        <v>0</v>
      </c>
      <c r="CK66" s="219">
        <f>IF(CdTrp3!B84=4,1,0)</f>
        <v>0</v>
      </c>
      <c r="CL66" s="219">
        <f>IF(CdTrp3!C84=4,1,0)</f>
        <v>0</v>
      </c>
      <c r="CM66" s="219">
        <f>IF(CdTrp3!D84=4,1,0)</f>
        <v>0</v>
      </c>
      <c r="CN66" s="219">
        <f>IF(CdTrp3!E84=4,1,0)</f>
        <v>0</v>
      </c>
      <c r="CO66" s="219">
        <f>IF(CdTrp3!F84=4,1,0)</f>
        <v>0</v>
      </c>
      <c r="CP66" s="219">
        <f>IF(CdTrp3!G84=4,1,0)</f>
        <v>0</v>
      </c>
      <c r="CQ66" s="219">
        <f>IF(CdTrp3!H84=4,1,0)</f>
        <v>0</v>
      </c>
      <c r="CR66" s="219">
        <f>IF(CdTrp3!I84=4,1,0)</f>
        <v>0</v>
      </c>
      <c r="CS66" s="219">
        <f>IF(CdTrp3!J84=4,1,0)</f>
        <v>0</v>
      </c>
      <c r="CT66" s="219">
        <f>IF(CdTrp3!K84=4,1,0)</f>
        <v>0</v>
      </c>
      <c r="CU66" s="219">
        <f>IF(CdTrp3!L84=4,1,0)</f>
        <v>0</v>
      </c>
      <c r="CV66" s="219">
        <f>IF(CdTrp3!M84=4,1,0)</f>
        <v>0</v>
      </c>
      <c r="CW66" s="219">
        <f>IF(CdTrp3!N84=4,1,0)</f>
        <v>0</v>
      </c>
      <c r="CX66" s="219">
        <f>IF(CdTrp3!O84=4,1,0)</f>
        <v>0</v>
      </c>
      <c r="CY66" s="219">
        <f>IF(CdTrp3!P84=4,1,0)</f>
        <v>0</v>
      </c>
      <c r="CZ66" s="219">
        <f>IF(CdTrp3!Q84=4,1,0)</f>
        <v>0</v>
      </c>
      <c r="DA66" s="219">
        <f>IF(CdTrp3!R84=4,1,0)</f>
        <v>0</v>
      </c>
      <c r="DB66" s="219">
        <f>IF(CdTrp3!S84=4,1,0)</f>
        <v>0</v>
      </c>
      <c r="DC66" s="219">
        <f>IF(CdTrp3!T84=4,1,0)</f>
        <v>0</v>
      </c>
      <c r="DD66" s="219">
        <f>IF(CdTrp3!U84=4,1,0)</f>
        <v>0</v>
      </c>
      <c r="DE66" s="219">
        <f>IF(CdTrp3!V84=4,1,0)</f>
        <v>0</v>
      </c>
      <c r="DF66" s="219">
        <f>IF(CdTrp3!W84=4,1,0)</f>
        <v>0</v>
      </c>
      <c r="DG66" s="219">
        <f>IF(CdTrp3!X84=4,1,0)</f>
        <v>0</v>
      </c>
      <c r="DH66" s="219">
        <f>IF(CdTrp3!Y84=4,1,0)</f>
        <v>0</v>
      </c>
      <c r="DI66" s="215"/>
      <c r="DJ66" s="215"/>
      <c r="DK66" s="216"/>
      <c r="DL66" s="215">
        <f t="shared" si="24"/>
        <v>0</v>
      </c>
      <c r="DM66" s="219">
        <f>IF(CdTrp4!B84=4,1,0)</f>
        <v>0</v>
      </c>
      <c r="DN66" s="219">
        <f>IF(CdTrp4!C84=4,1,0)</f>
        <v>0</v>
      </c>
      <c r="DO66" s="219">
        <f>IF(CdTrp4!D84=4,1,0)</f>
        <v>0</v>
      </c>
      <c r="DP66" s="219">
        <f>IF(CdTrp4!E84=4,1,0)</f>
        <v>0</v>
      </c>
      <c r="DQ66" s="219">
        <f>IF(CdTrp4!F84=4,1,0)</f>
        <v>0</v>
      </c>
      <c r="DR66" s="219">
        <f>IF(CdTrp4!G84=4,1,0)</f>
        <v>0</v>
      </c>
      <c r="DS66" s="219">
        <f>IF(CdTrp4!H84=4,1,0)</f>
        <v>0</v>
      </c>
      <c r="DT66" s="219">
        <f>IF(CdTrp4!I84=4,1,0)</f>
        <v>0</v>
      </c>
      <c r="DU66" s="219">
        <f>IF(CdTrp4!J84=4,1,0)</f>
        <v>0</v>
      </c>
      <c r="DV66" s="219">
        <f>IF(CdTrp4!K84=4,1,0)</f>
        <v>0</v>
      </c>
      <c r="DW66" s="219">
        <f>IF(CdTrp4!L84=4,1,0)</f>
        <v>0</v>
      </c>
      <c r="DX66" s="219">
        <f>IF(CdTrp4!M84=4,1,0)</f>
        <v>0</v>
      </c>
      <c r="DY66" s="219">
        <f>IF(CdTrp4!N84=4,1,0)</f>
        <v>0</v>
      </c>
      <c r="DZ66" s="219">
        <f>IF(CdTrp4!O84=4,1,0)</f>
        <v>0</v>
      </c>
      <c r="EA66" s="219">
        <f>IF(CdTrp4!P84=4,1,0)</f>
        <v>0</v>
      </c>
      <c r="EB66" s="219">
        <f>IF(CdTrp4!Q84=4,1,0)</f>
        <v>0</v>
      </c>
      <c r="EC66" s="219">
        <f>IF(CdTrp4!R84=4,1,0)</f>
        <v>0</v>
      </c>
      <c r="ED66" s="219">
        <f>IF(CdTrp4!S84=4,1,0)</f>
        <v>0</v>
      </c>
      <c r="EE66" s="219">
        <f>IF(CdTrp4!T84=4,1,0)</f>
        <v>0</v>
      </c>
      <c r="EF66" s="219">
        <f>IF(CdTrp4!U84=4,1,0)</f>
        <v>0</v>
      </c>
      <c r="EG66" s="219">
        <f>IF(CdTrp4!V84=4,1,0)</f>
        <v>0</v>
      </c>
      <c r="EH66" s="219">
        <f>IF(CdTrp4!W84=4,1,0)</f>
        <v>0</v>
      </c>
      <c r="EI66" s="219">
        <f>IF(CdTrp4!X84=4,1,0)</f>
        <v>0</v>
      </c>
      <c r="EJ66" s="219">
        <f>IF(CdTrp4!Y84=4,1,0)</f>
        <v>0</v>
      </c>
    </row>
    <row r="67" spans="1:143" x14ac:dyDescent="0.25">
      <c r="A67" s="5"/>
      <c r="B67" s="5"/>
      <c r="C67" s="5"/>
      <c r="D67" s="5"/>
      <c r="X67" s="215"/>
      <c r="Y67" s="215"/>
      <c r="Z67" s="215"/>
      <c r="AA67" s="215"/>
      <c r="AB67" s="215"/>
      <c r="AC67" s="215"/>
      <c r="AD67" s="215"/>
      <c r="AE67" s="215"/>
      <c r="AF67" s="215"/>
      <c r="AG67" s="272" t="str">
        <f>CdTrp1!A85</f>
        <v>lot10</v>
      </c>
      <c r="AH67" s="219">
        <f>IF(CdTrp1!B85=4,1,0)</f>
        <v>0</v>
      </c>
      <c r="AI67" s="219">
        <f>IF(CdTrp1!C85=4,1,0)</f>
        <v>0</v>
      </c>
      <c r="AJ67" s="219">
        <f>IF(CdTrp1!D85=4,1,0)</f>
        <v>0</v>
      </c>
      <c r="AK67" s="219">
        <f>IF(CdTrp1!E85=4,1,0)</f>
        <v>0</v>
      </c>
      <c r="AL67" s="219">
        <f>IF(CdTrp1!F85=4,1,0)</f>
        <v>0</v>
      </c>
      <c r="AM67" s="219">
        <f>IF(CdTrp1!G85=4,1,0)</f>
        <v>0</v>
      </c>
      <c r="AN67" s="219">
        <f>IF(CdTrp1!H85=4,1,0)</f>
        <v>0</v>
      </c>
      <c r="AO67" s="219">
        <f>IF(CdTrp1!I85=4,1,0)</f>
        <v>0</v>
      </c>
      <c r="AP67" s="219">
        <f>IF(CdTrp1!J85=4,1,0)</f>
        <v>0</v>
      </c>
      <c r="AQ67" s="219">
        <f>IF(CdTrp1!K85=4,1,0)</f>
        <v>0</v>
      </c>
      <c r="AR67" s="219">
        <f>IF(CdTrp1!L85=4,1,0)</f>
        <v>0</v>
      </c>
      <c r="AS67" s="219">
        <f>IF(CdTrp1!M85=4,1,0)</f>
        <v>0</v>
      </c>
      <c r="AT67" s="219">
        <f>IF(CdTrp1!N85=4,1,0)</f>
        <v>0</v>
      </c>
      <c r="AU67" s="219">
        <f>IF(CdTrp1!O85=4,1,0)</f>
        <v>0</v>
      </c>
      <c r="AV67" s="219">
        <f>IF(CdTrp1!P85=4,1,0)</f>
        <v>0</v>
      </c>
      <c r="AW67" s="219">
        <f>IF(CdTrp1!Q85=4,1,0)</f>
        <v>0</v>
      </c>
      <c r="AX67" s="219">
        <f>IF(CdTrp1!R85=4,1,0)</f>
        <v>0</v>
      </c>
      <c r="AY67" s="219">
        <f>IF(CdTrp1!S85=4,1,0)</f>
        <v>0</v>
      </c>
      <c r="AZ67" s="219">
        <f>IF(CdTrp1!T85=4,1,0)</f>
        <v>0</v>
      </c>
      <c r="BA67" s="219">
        <f>IF(CdTrp1!U85=4,1,0)</f>
        <v>0</v>
      </c>
      <c r="BB67" s="219">
        <f>IF(CdTrp1!V85=4,1,0)</f>
        <v>0</v>
      </c>
      <c r="BC67" s="219">
        <f>IF(CdTrp1!W85=4,1,0)</f>
        <v>0</v>
      </c>
      <c r="BD67" s="219">
        <f>IF(CdTrp1!X85=4,1,0)</f>
        <v>0</v>
      </c>
      <c r="BE67" s="219">
        <f>IF(CdTrp1!Y85=4,1,0)</f>
        <v>0</v>
      </c>
      <c r="BF67" s="215"/>
      <c r="BG67" s="216"/>
      <c r="BH67" s="215">
        <f t="shared" si="22"/>
        <v>0</v>
      </c>
      <c r="BI67" s="215">
        <f>IF(CdTrp2!B85=4,1,0)</f>
        <v>0</v>
      </c>
      <c r="BJ67" s="215">
        <f>IF(CdTrp2!C85=4,1,0)</f>
        <v>0</v>
      </c>
      <c r="BK67" s="215">
        <f>IF(CdTrp2!D85=4,1,0)</f>
        <v>0</v>
      </c>
      <c r="BL67" s="215">
        <f>IF(CdTrp2!E85=4,1,0)</f>
        <v>0</v>
      </c>
      <c r="BM67" s="215">
        <f>IF(CdTrp2!F85=4,1,0)</f>
        <v>0</v>
      </c>
      <c r="BN67" s="215">
        <f>IF(CdTrp2!G85=4,1,0)</f>
        <v>0</v>
      </c>
      <c r="BO67" s="215">
        <f>IF(CdTrp2!H85=4,1,0)</f>
        <v>0</v>
      </c>
      <c r="BP67" s="215">
        <f>IF(CdTrp2!I85=4,1,0)</f>
        <v>0</v>
      </c>
      <c r="BQ67" s="215">
        <f>IF(CdTrp2!J85=4,1,0)</f>
        <v>0</v>
      </c>
      <c r="BR67" s="215">
        <f>IF(CdTrp2!K85=4,1,0)</f>
        <v>0</v>
      </c>
      <c r="BS67" s="215">
        <f>IF(CdTrp2!L85=4,1,0)</f>
        <v>0</v>
      </c>
      <c r="BT67" s="215">
        <f>IF(CdTrp2!M85=4,1,0)</f>
        <v>0</v>
      </c>
      <c r="BU67" s="215">
        <f>IF(CdTrp2!N85=4,1,0)</f>
        <v>0</v>
      </c>
      <c r="BV67" s="215">
        <f>IF(CdTrp2!O85=4,1,0)</f>
        <v>0</v>
      </c>
      <c r="BW67" s="215">
        <f>IF(CdTrp2!P85=4,1,0)</f>
        <v>0</v>
      </c>
      <c r="BX67" s="215">
        <f>IF(CdTrp2!Q85=4,1,0)</f>
        <v>0</v>
      </c>
      <c r="BY67" s="215">
        <f>IF(CdTrp2!R85=4,1,0)</f>
        <v>0</v>
      </c>
      <c r="BZ67" s="215">
        <f>IF(CdTrp2!S85=4,1,0)</f>
        <v>0</v>
      </c>
      <c r="CA67" s="215">
        <f>IF(CdTrp2!T85=4,1,0)</f>
        <v>0</v>
      </c>
      <c r="CB67" s="215">
        <f>IF(CdTrp2!U85=4,1,0)</f>
        <v>0</v>
      </c>
      <c r="CC67" s="215">
        <f>IF(CdTrp2!V85=4,1,0)</f>
        <v>0</v>
      </c>
      <c r="CD67" s="215">
        <f>IF(CdTrp2!W85=4,1,0)</f>
        <v>0</v>
      </c>
      <c r="CE67" s="215">
        <f>IF(CdTrp2!X85=4,1,0)</f>
        <v>0</v>
      </c>
      <c r="CF67" s="215">
        <f>IF(CdTrp2!Y85=4,1,0)</f>
        <v>0</v>
      </c>
      <c r="CG67" s="215"/>
      <c r="CH67" s="215"/>
      <c r="CI67" s="216"/>
      <c r="CJ67" s="215">
        <f t="shared" si="23"/>
        <v>0</v>
      </c>
      <c r="CK67" s="219">
        <f>IF(CdTrp3!B85=4,1,0)</f>
        <v>0</v>
      </c>
      <c r="CL67" s="219">
        <f>IF(CdTrp3!C85=4,1,0)</f>
        <v>0</v>
      </c>
      <c r="CM67" s="219">
        <f>IF(CdTrp3!D85=4,1,0)</f>
        <v>0</v>
      </c>
      <c r="CN67" s="219">
        <f>IF(CdTrp3!E85=4,1,0)</f>
        <v>0</v>
      </c>
      <c r="CO67" s="219">
        <f>IF(CdTrp3!F85=4,1,0)</f>
        <v>0</v>
      </c>
      <c r="CP67" s="219">
        <f>IF(CdTrp3!G85=4,1,0)</f>
        <v>0</v>
      </c>
      <c r="CQ67" s="219">
        <f>IF(CdTrp3!H85=4,1,0)</f>
        <v>0</v>
      </c>
      <c r="CR67" s="219">
        <f>IF(CdTrp3!I85=4,1,0)</f>
        <v>0</v>
      </c>
      <c r="CS67" s="219">
        <f>IF(CdTrp3!J85=4,1,0)</f>
        <v>0</v>
      </c>
      <c r="CT67" s="219">
        <f>IF(CdTrp3!K85=4,1,0)</f>
        <v>0</v>
      </c>
      <c r="CU67" s="219">
        <f>IF(CdTrp3!L85=4,1,0)</f>
        <v>0</v>
      </c>
      <c r="CV67" s="219">
        <f>IF(CdTrp3!M85=4,1,0)</f>
        <v>0</v>
      </c>
      <c r="CW67" s="219">
        <f>IF(CdTrp3!N85=4,1,0)</f>
        <v>0</v>
      </c>
      <c r="CX67" s="219">
        <f>IF(CdTrp3!O85=4,1,0)</f>
        <v>0</v>
      </c>
      <c r="CY67" s="219">
        <f>IF(CdTrp3!P85=4,1,0)</f>
        <v>0</v>
      </c>
      <c r="CZ67" s="219">
        <f>IF(CdTrp3!Q85=4,1,0)</f>
        <v>0</v>
      </c>
      <c r="DA67" s="219">
        <f>IF(CdTrp3!R85=4,1,0)</f>
        <v>0</v>
      </c>
      <c r="DB67" s="219">
        <f>IF(CdTrp3!S85=4,1,0)</f>
        <v>0</v>
      </c>
      <c r="DC67" s="219">
        <f>IF(CdTrp3!T85=4,1,0)</f>
        <v>0</v>
      </c>
      <c r="DD67" s="219">
        <f>IF(CdTrp3!U85=4,1,0)</f>
        <v>0</v>
      </c>
      <c r="DE67" s="219">
        <f>IF(CdTrp3!V85=4,1,0)</f>
        <v>0</v>
      </c>
      <c r="DF67" s="219">
        <f>IF(CdTrp3!W85=4,1,0)</f>
        <v>0</v>
      </c>
      <c r="DG67" s="219">
        <f>IF(CdTrp3!X85=4,1,0)</f>
        <v>0</v>
      </c>
      <c r="DH67" s="219">
        <f>IF(CdTrp3!Y85=4,1,0)</f>
        <v>0</v>
      </c>
      <c r="DI67" s="215"/>
      <c r="DJ67" s="215"/>
      <c r="DK67" s="216"/>
      <c r="DL67" s="215">
        <f t="shared" si="24"/>
        <v>0</v>
      </c>
      <c r="DM67" s="219">
        <f>IF(CdTrp4!B85=4,1,0)</f>
        <v>0</v>
      </c>
      <c r="DN67" s="219">
        <f>IF(CdTrp4!C85=4,1,0)</f>
        <v>0</v>
      </c>
      <c r="DO67" s="219">
        <f>IF(CdTrp4!D85=4,1,0)</f>
        <v>0</v>
      </c>
      <c r="DP67" s="219">
        <f>IF(CdTrp4!E85=4,1,0)</f>
        <v>0</v>
      </c>
      <c r="DQ67" s="219">
        <f>IF(CdTrp4!F85=4,1,0)</f>
        <v>0</v>
      </c>
      <c r="DR67" s="219">
        <f>IF(CdTrp4!G85=4,1,0)</f>
        <v>0</v>
      </c>
      <c r="DS67" s="219">
        <f>IF(CdTrp4!H85=4,1,0)</f>
        <v>0</v>
      </c>
      <c r="DT67" s="219">
        <f>IF(CdTrp4!I85=4,1,0)</f>
        <v>0</v>
      </c>
      <c r="DU67" s="219">
        <f>IF(CdTrp4!J85=4,1,0)</f>
        <v>0</v>
      </c>
      <c r="DV67" s="219">
        <f>IF(CdTrp4!K85=4,1,0)</f>
        <v>0</v>
      </c>
      <c r="DW67" s="219">
        <f>IF(CdTrp4!L85=4,1,0)</f>
        <v>0</v>
      </c>
      <c r="DX67" s="219">
        <f>IF(CdTrp4!M85=4,1,0)</f>
        <v>0</v>
      </c>
      <c r="DY67" s="219">
        <f>IF(CdTrp4!N85=4,1,0)</f>
        <v>0</v>
      </c>
      <c r="DZ67" s="219">
        <f>IF(CdTrp4!O85=4,1,0)</f>
        <v>0</v>
      </c>
      <c r="EA67" s="219">
        <f>IF(CdTrp4!P85=4,1,0)</f>
        <v>0</v>
      </c>
      <c r="EB67" s="219">
        <f>IF(CdTrp4!Q85=4,1,0)</f>
        <v>0</v>
      </c>
      <c r="EC67" s="219">
        <f>IF(CdTrp4!R85=4,1,0)</f>
        <v>0</v>
      </c>
      <c r="ED67" s="219">
        <f>IF(CdTrp4!S85=4,1,0)</f>
        <v>0</v>
      </c>
      <c r="EE67" s="219">
        <f>IF(CdTrp4!T85=4,1,0)</f>
        <v>0</v>
      </c>
      <c r="EF67" s="219">
        <f>IF(CdTrp4!U85=4,1,0)</f>
        <v>0</v>
      </c>
      <c r="EG67" s="219">
        <f>IF(CdTrp4!V85=4,1,0)</f>
        <v>0</v>
      </c>
      <c r="EH67" s="219">
        <f>IF(CdTrp4!W85=4,1,0)</f>
        <v>0</v>
      </c>
      <c r="EI67" s="219">
        <f>IF(CdTrp4!X85=4,1,0)</f>
        <v>0</v>
      </c>
      <c r="EJ67" s="219">
        <f>IF(CdTrp4!Y85=4,1,0)</f>
        <v>0</v>
      </c>
    </row>
    <row r="68" spans="1:143" x14ac:dyDescent="0.25">
      <c r="A68" s="5"/>
      <c r="B68" s="5"/>
      <c r="C68" s="5"/>
      <c r="D68" s="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6"/>
      <c r="BH68" s="215"/>
      <c r="BI68" s="215"/>
      <c r="BJ68" s="215"/>
      <c r="BK68" s="215"/>
      <c r="BL68" s="215"/>
      <c r="BM68" s="215"/>
      <c r="BN68" s="215"/>
      <c r="BO68" s="215"/>
      <c r="BP68" s="215"/>
      <c r="BQ68" s="215"/>
      <c r="BR68" s="215"/>
      <c r="BS68" s="215"/>
      <c r="BT68" s="215"/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6"/>
      <c r="CJ68" s="215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5"/>
      <c r="DJ68" s="215"/>
      <c r="DK68" s="216"/>
      <c r="DL68" s="215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</row>
    <row r="69" spans="1:143" x14ac:dyDescent="0.25">
      <c r="A69" s="5"/>
      <c r="B69" s="5"/>
      <c r="C69" s="5"/>
      <c r="D69" s="5"/>
      <c r="X69" s="215"/>
      <c r="Y69" s="215"/>
      <c r="Z69" s="215"/>
      <c r="AA69" s="215"/>
      <c r="AB69" s="215"/>
      <c r="AC69" s="215"/>
      <c r="AD69" s="215"/>
      <c r="AE69" s="215"/>
      <c r="AF69" s="222" t="s">
        <v>1045</v>
      </c>
      <c r="AG69" s="215" t="str">
        <f t="shared" ref="AG69:AG78" si="25">AG58</f>
        <v>Lot principal de brebis traites</v>
      </c>
      <c r="AH69" s="219">
        <f t="shared" ref="AH69:BE78" si="26">AH47*AH58</f>
        <v>0</v>
      </c>
      <c r="AI69" s="219">
        <f t="shared" si="26"/>
        <v>0</v>
      </c>
      <c r="AJ69" s="219">
        <f t="shared" si="26"/>
        <v>0</v>
      </c>
      <c r="AK69" s="219">
        <f t="shared" si="26"/>
        <v>0</v>
      </c>
      <c r="AL69" s="219">
        <f t="shared" si="26"/>
        <v>0</v>
      </c>
      <c r="AM69" s="219">
        <f t="shared" si="26"/>
        <v>0</v>
      </c>
      <c r="AN69" s="219">
        <f t="shared" si="26"/>
        <v>0</v>
      </c>
      <c r="AO69" s="219">
        <f t="shared" si="26"/>
        <v>0</v>
      </c>
      <c r="AP69" s="219">
        <f t="shared" si="26"/>
        <v>0</v>
      </c>
      <c r="AQ69" s="219">
        <f t="shared" si="26"/>
        <v>0</v>
      </c>
      <c r="AR69" s="219">
        <f t="shared" si="26"/>
        <v>0</v>
      </c>
      <c r="AS69" s="219">
        <f t="shared" si="26"/>
        <v>0</v>
      </c>
      <c r="AT69" s="219">
        <f t="shared" si="26"/>
        <v>0</v>
      </c>
      <c r="AU69" s="219">
        <f t="shared" si="26"/>
        <v>0</v>
      </c>
      <c r="AV69" s="219">
        <f t="shared" si="26"/>
        <v>0</v>
      </c>
      <c r="AW69" s="219">
        <f t="shared" si="26"/>
        <v>0</v>
      </c>
      <c r="AX69" s="219">
        <f t="shared" si="26"/>
        <v>0</v>
      </c>
      <c r="AY69" s="219">
        <f t="shared" si="26"/>
        <v>0</v>
      </c>
      <c r="AZ69" s="219">
        <f t="shared" si="26"/>
        <v>0</v>
      </c>
      <c r="BA69" s="219">
        <f t="shared" si="26"/>
        <v>0</v>
      </c>
      <c r="BB69" s="219">
        <f t="shared" si="26"/>
        <v>0</v>
      </c>
      <c r="BC69" s="219">
        <f t="shared" si="26"/>
        <v>0</v>
      </c>
      <c r="BD69" s="219">
        <f t="shared" si="26"/>
        <v>0</v>
      </c>
      <c r="BE69" s="219">
        <f t="shared" si="26"/>
        <v>0</v>
      </c>
      <c r="BF69" s="215"/>
      <c r="BG69" s="216" t="s">
        <v>1045</v>
      </c>
      <c r="BH69" s="215" t="str">
        <f t="shared" ref="BH69:BH78" si="27">BH58</f>
        <v>lot1</v>
      </c>
      <c r="BI69" s="215">
        <f t="shared" ref="BI69:CF78" si="28">BI47*BI58</f>
        <v>0</v>
      </c>
      <c r="BJ69" s="215">
        <f t="shared" si="28"/>
        <v>0</v>
      </c>
      <c r="BK69" s="215">
        <f t="shared" si="28"/>
        <v>0</v>
      </c>
      <c r="BL69" s="215">
        <f t="shared" si="28"/>
        <v>0</v>
      </c>
      <c r="BM69" s="215">
        <f t="shared" si="28"/>
        <v>0</v>
      </c>
      <c r="BN69" s="215">
        <f t="shared" si="28"/>
        <v>0</v>
      </c>
      <c r="BO69" s="215">
        <f t="shared" si="28"/>
        <v>0</v>
      </c>
      <c r="BP69" s="215">
        <f t="shared" si="28"/>
        <v>0</v>
      </c>
      <c r="BQ69" s="215">
        <f t="shared" si="28"/>
        <v>0</v>
      </c>
      <c r="BR69" s="215">
        <f t="shared" si="28"/>
        <v>0</v>
      </c>
      <c r="BS69" s="215">
        <f t="shared" si="28"/>
        <v>0</v>
      </c>
      <c r="BT69" s="215">
        <f t="shared" si="28"/>
        <v>0</v>
      </c>
      <c r="BU69" s="215">
        <f t="shared" si="28"/>
        <v>0</v>
      </c>
      <c r="BV69" s="215">
        <f t="shared" si="28"/>
        <v>0</v>
      </c>
      <c r="BW69" s="215">
        <f t="shared" si="28"/>
        <v>0</v>
      </c>
      <c r="BX69" s="215">
        <f t="shared" si="28"/>
        <v>0</v>
      </c>
      <c r="BY69" s="215">
        <f t="shared" si="28"/>
        <v>0</v>
      </c>
      <c r="BZ69" s="215">
        <f t="shared" si="28"/>
        <v>0</v>
      </c>
      <c r="CA69" s="215">
        <f t="shared" si="28"/>
        <v>0</v>
      </c>
      <c r="CB69" s="215">
        <f t="shared" si="28"/>
        <v>0</v>
      </c>
      <c r="CC69" s="215">
        <f t="shared" si="28"/>
        <v>0</v>
      </c>
      <c r="CD69" s="215">
        <f t="shared" si="28"/>
        <v>0</v>
      </c>
      <c r="CE69" s="215">
        <f t="shared" si="28"/>
        <v>0</v>
      </c>
      <c r="CF69" s="215">
        <f t="shared" si="28"/>
        <v>0</v>
      </c>
      <c r="CG69" s="215"/>
      <c r="CH69" s="215"/>
      <c r="CI69" s="216" t="s">
        <v>1045</v>
      </c>
      <c r="CJ69" s="215" t="str">
        <f t="shared" ref="CJ69:CJ78" si="29">CJ58</f>
        <v>lot1</v>
      </c>
      <c r="CK69" s="219">
        <f t="shared" ref="CK69:DH78" si="30">CK47*CK58</f>
        <v>0</v>
      </c>
      <c r="CL69" s="219">
        <f t="shared" si="30"/>
        <v>0</v>
      </c>
      <c r="CM69" s="219">
        <f t="shared" si="30"/>
        <v>0</v>
      </c>
      <c r="CN69" s="219">
        <f t="shared" si="30"/>
        <v>0</v>
      </c>
      <c r="CO69" s="219">
        <f t="shared" si="30"/>
        <v>0</v>
      </c>
      <c r="CP69" s="219">
        <f t="shared" si="30"/>
        <v>0</v>
      </c>
      <c r="CQ69" s="219">
        <f t="shared" si="30"/>
        <v>0</v>
      </c>
      <c r="CR69" s="219">
        <f t="shared" si="30"/>
        <v>0</v>
      </c>
      <c r="CS69" s="219">
        <f t="shared" si="30"/>
        <v>0</v>
      </c>
      <c r="CT69" s="219">
        <f t="shared" si="30"/>
        <v>0</v>
      </c>
      <c r="CU69" s="219">
        <f t="shared" si="30"/>
        <v>0</v>
      </c>
      <c r="CV69" s="219">
        <f t="shared" si="30"/>
        <v>0</v>
      </c>
      <c r="CW69" s="219">
        <f t="shared" si="30"/>
        <v>0</v>
      </c>
      <c r="CX69" s="219">
        <f t="shared" si="30"/>
        <v>0</v>
      </c>
      <c r="CY69" s="219">
        <f t="shared" si="30"/>
        <v>0</v>
      </c>
      <c r="CZ69" s="219">
        <f t="shared" si="30"/>
        <v>0</v>
      </c>
      <c r="DA69" s="219">
        <f t="shared" si="30"/>
        <v>0</v>
      </c>
      <c r="DB69" s="219">
        <f t="shared" si="30"/>
        <v>0</v>
      </c>
      <c r="DC69" s="219">
        <f t="shared" si="30"/>
        <v>0</v>
      </c>
      <c r="DD69" s="219">
        <f t="shared" si="30"/>
        <v>0</v>
      </c>
      <c r="DE69" s="219">
        <f t="shared" si="30"/>
        <v>0</v>
      </c>
      <c r="DF69" s="219">
        <f t="shared" si="30"/>
        <v>0</v>
      </c>
      <c r="DG69" s="219">
        <f t="shared" si="30"/>
        <v>0</v>
      </c>
      <c r="DH69" s="219">
        <f t="shared" si="30"/>
        <v>0</v>
      </c>
      <c r="DI69" s="215"/>
      <c r="DJ69" s="215"/>
      <c r="DK69" s="216" t="s">
        <v>1045</v>
      </c>
      <c r="DL69" s="215" t="str">
        <f t="shared" ref="DL69:DL78" si="31">DL58</f>
        <v>lot1</v>
      </c>
      <c r="DM69" s="219">
        <f t="shared" ref="DM69:EJ78" si="32">DM47*DM58</f>
        <v>0</v>
      </c>
      <c r="DN69" s="219">
        <f t="shared" si="32"/>
        <v>0</v>
      </c>
      <c r="DO69" s="219">
        <f t="shared" si="32"/>
        <v>0</v>
      </c>
      <c r="DP69" s="219">
        <f t="shared" si="32"/>
        <v>0</v>
      </c>
      <c r="DQ69" s="219">
        <f t="shared" si="32"/>
        <v>0</v>
      </c>
      <c r="DR69" s="219">
        <f t="shared" si="32"/>
        <v>0</v>
      </c>
      <c r="DS69" s="219">
        <f t="shared" si="32"/>
        <v>0</v>
      </c>
      <c r="DT69" s="219">
        <f t="shared" si="32"/>
        <v>0</v>
      </c>
      <c r="DU69" s="219">
        <f t="shared" si="32"/>
        <v>0</v>
      </c>
      <c r="DV69" s="219">
        <f t="shared" si="32"/>
        <v>0</v>
      </c>
      <c r="DW69" s="219">
        <f t="shared" si="32"/>
        <v>0</v>
      </c>
      <c r="DX69" s="219">
        <f t="shared" si="32"/>
        <v>0</v>
      </c>
      <c r="DY69" s="219">
        <f t="shared" si="32"/>
        <v>0</v>
      </c>
      <c r="DZ69" s="219">
        <f t="shared" si="32"/>
        <v>0</v>
      </c>
      <c r="EA69" s="219">
        <f t="shared" si="32"/>
        <v>0</v>
      </c>
      <c r="EB69" s="219">
        <f t="shared" si="32"/>
        <v>0</v>
      </c>
      <c r="EC69" s="219">
        <f t="shared" si="32"/>
        <v>0</v>
      </c>
      <c r="ED69" s="219">
        <f t="shared" si="32"/>
        <v>0</v>
      </c>
      <c r="EE69" s="219">
        <f t="shared" si="32"/>
        <v>0</v>
      </c>
      <c r="EF69" s="219">
        <f t="shared" si="32"/>
        <v>0</v>
      </c>
      <c r="EG69" s="219">
        <f t="shared" si="32"/>
        <v>0</v>
      </c>
      <c r="EH69" s="219">
        <f t="shared" si="32"/>
        <v>0</v>
      </c>
      <c r="EI69" s="219">
        <f t="shared" si="32"/>
        <v>0</v>
      </c>
      <c r="EJ69" s="219">
        <f t="shared" si="32"/>
        <v>0</v>
      </c>
    </row>
    <row r="70" spans="1:143" x14ac:dyDescent="0.25">
      <c r="A70" s="5"/>
      <c r="B70" s="5"/>
      <c r="C70" s="5"/>
      <c r="D70" s="5"/>
      <c r="X70" s="215"/>
      <c r="Y70" s="215"/>
      <c r="Z70" s="215"/>
      <c r="AA70" s="215"/>
      <c r="AB70" s="215"/>
      <c r="AC70" s="215"/>
      <c r="AD70" s="215"/>
      <c r="AE70" s="215"/>
      <c r="AF70" s="215"/>
      <c r="AG70" s="215" t="str">
        <f t="shared" si="25"/>
        <v>Lot des béliers</v>
      </c>
      <c r="AH70" s="219">
        <f t="shared" si="26"/>
        <v>0</v>
      </c>
      <c r="AI70" s="219">
        <f t="shared" si="26"/>
        <v>0</v>
      </c>
      <c r="AJ70" s="219">
        <f t="shared" si="26"/>
        <v>0</v>
      </c>
      <c r="AK70" s="219">
        <f t="shared" si="26"/>
        <v>0</v>
      </c>
      <c r="AL70" s="219">
        <f t="shared" si="26"/>
        <v>0</v>
      </c>
      <c r="AM70" s="219">
        <f t="shared" si="26"/>
        <v>0</v>
      </c>
      <c r="AN70" s="219">
        <f t="shared" si="26"/>
        <v>0</v>
      </c>
      <c r="AO70" s="219">
        <f t="shared" si="26"/>
        <v>0</v>
      </c>
      <c r="AP70" s="219">
        <f t="shared" si="26"/>
        <v>0</v>
      </c>
      <c r="AQ70" s="219">
        <f t="shared" si="26"/>
        <v>0</v>
      </c>
      <c r="AR70" s="219">
        <f t="shared" si="26"/>
        <v>0</v>
      </c>
      <c r="AS70" s="219">
        <f t="shared" si="26"/>
        <v>0</v>
      </c>
      <c r="AT70" s="219">
        <f t="shared" si="26"/>
        <v>0</v>
      </c>
      <c r="AU70" s="219">
        <f t="shared" si="26"/>
        <v>0</v>
      </c>
      <c r="AV70" s="219">
        <f t="shared" si="26"/>
        <v>0</v>
      </c>
      <c r="AW70" s="219">
        <f t="shared" si="26"/>
        <v>0</v>
      </c>
      <c r="AX70" s="219">
        <f t="shared" si="26"/>
        <v>0</v>
      </c>
      <c r="AY70" s="219">
        <f t="shared" si="26"/>
        <v>0</v>
      </c>
      <c r="AZ70" s="219">
        <f t="shared" si="26"/>
        <v>0</v>
      </c>
      <c r="BA70" s="219">
        <f t="shared" si="26"/>
        <v>0</v>
      </c>
      <c r="BB70" s="219">
        <f t="shared" si="26"/>
        <v>0</v>
      </c>
      <c r="BC70" s="219">
        <f t="shared" si="26"/>
        <v>0</v>
      </c>
      <c r="BD70" s="219">
        <f t="shared" si="26"/>
        <v>0</v>
      </c>
      <c r="BE70" s="219">
        <f t="shared" si="26"/>
        <v>0</v>
      </c>
      <c r="BF70" s="215"/>
      <c r="BG70" s="216"/>
      <c r="BH70" s="215">
        <f t="shared" si="27"/>
        <v>1</v>
      </c>
      <c r="BI70" s="215">
        <f t="shared" si="28"/>
        <v>0</v>
      </c>
      <c r="BJ70" s="215">
        <f t="shared" si="28"/>
        <v>0</v>
      </c>
      <c r="BK70" s="215">
        <f t="shared" si="28"/>
        <v>0</v>
      </c>
      <c r="BL70" s="215">
        <f t="shared" si="28"/>
        <v>0</v>
      </c>
      <c r="BM70" s="215">
        <f t="shared" si="28"/>
        <v>0</v>
      </c>
      <c r="BN70" s="215">
        <f t="shared" si="28"/>
        <v>0</v>
      </c>
      <c r="BO70" s="215">
        <f t="shared" si="28"/>
        <v>0</v>
      </c>
      <c r="BP70" s="215">
        <f t="shared" si="28"/>
        <v>0</v>
      </c>
      <c r="BQ70" s="215">
        <f t="shared" si="28"/>
        <v>0</v>
      </c>
      <c r="BR70" s="215">
        <f t="shared" si="28"/>
        <v>0</v>
      </c>
      <c r="BS70" s="215">
        <f t="shared" si="28"/>
        <v>0</v>
      </c>
      <c r="BT70" s="215">
        <f t="shared" si="28"/>
        <v>0</v>
      </c>
      <c r="BU70" s="215">
        <f t="shared" si="28"/>
        <v>0</v>
      </c>
      <c r="BV70" s="215">
        <f t="shared" si="28"/>
        <v>0</v>
      </c>
      <c r="BW70" s="215">
        <f t="shared" si="28"/>
        <v>0</v>
      </c>
      <c r="BX70" s="215">
        <f t="shared" si="28"/>
        <v>0</v>
      </c>
      <c r="BY70" s="215">
        <f t="shared" si="28"/>
        <v>0</v>
      </c>
      <c r="BZ70" s="215">
        <f t="shared" si="28"/>
        <v>0</v>
      </c>
      <c r="CA70" s="215">
        <f t="shared" si="28"/>
        <v>0</v>
      </c>
      <c r="CB70" s="215">
        <f t="shared" si="28"/>
        <v>0</v>
      </c>
      <c r="CC70" s="215">
        <f t="shared" si="28"/>
        <v>0</v>
      </c>
      <c r="CD70" s="215">
        <f t="shared" si="28"/>
        <v>0</v>
      </c>
      <c r="CE70" s="215">
        <f t="shared" si="28"/>
        <v>0</v>
      </c>
      <c r="CF70" s="215">
        <f t="shared" si="28"/>
        <v>0</v>
      </c>
      <c r="CG70" s="215"/>
      <c r="CH70" s="215"/>
      <c r="CI70" s="216"/>
      <c r="CJ70" s="215">
        <f t="shared" si="29"/>
        <v>0</v>
      </c>
      <c r="CK70" s="219">
        <f t="shared" si="30"/>
        <v>0</v>
      </c>
      <c r="CL70" s="219">
        <f t="shared" si="30"/>
        <v>0</v>
      </c>
      <c r="CM70" s="219">
        <f t="shared" si="30"/>
        <v>0</v>
      </c>
      <c r="CN70" s="219">
        <f t="shared" si="30"/>
        <v>0</v>
      </c>
      <c r="CO70" s="219">
        <f t="shared" si="30"/>
        <v>0</v>
      </c>
      <c r="CP70" s="219">
        <f t="shared" si="30"/>
        <v>0</v>
      </c>
      <c r="CQ70" s="219">
        <f t="shared" si="30"/>
        <v>0</v>
      </c>
      <c r="CR70" s="219">
        <f t="shared" si="30"/>
        <v>0</v>
      </c>
      <c r="CS70" s="219">
        <f t="shared" si="30"/>
        <v>0</v>
      </c>
      <c r="CT70" s="219">
        <f t="shared" si="30"/>
        <v>0</v>
      </c>
      <c r="CU70" s="219">
        <f t="shared" si="30"/>
        <v>0</v>
      </c>
      <c r="CV70" s="219">
        <f t="shared" si="30"/>
        <v>0</v>
      </c>
      <c r="CW70" s="219">
        <f t="shared" si="30"/>
        <v>0</v>
      </c>
      <c r="CX70" s="219">
        <f t="shared" si="30"/>
        <v>0</v>
      </c>
      <c r="CY70" s="219">
        <f t="shared" si="30"/>
        <v>0</v>
      </c>
      <c r="CZ70" s="219">
        <f t="shared" si="30"/>
        <v>0</v>
      </c>
      <c r="DA70" s="219">
        <f t="shared" si="30"/>
        <v>0</v>
      </c>
      <c r="DB70" s="219">
        <f t="shared" si="30"/>
        <v>0</v>
      </c>
      <c r="DC70" s="219">
        <f t="shared" si="30"/>
        <v>0</v>
      </c>
      <c r="DD70" s="219">
        <f t="shared" si="30"/>
        <v>0</v>
      </c>
      <c r="DE70" s="219">
        <f t="shared" si="30"/>
        <v>0</v>
      </c>
      <c r="DF70" s="219">
        <f t="shared" si="30"/>
        <v>0</v>
      </c>
      <c r="DG70" s="219">
        <f t="shared" si="30"/>
        <v>0</v>
      </c>
      <c r="DH70" s="219">
        <f t="shared" si="30"/>
        <v>0</v>
      </c>
      <c r="DI70" s="215"/>
      <c r="DJ70" s="215"/>
      <c r="DK70" s="216"/>
      <c r="DL70" s="215">
        <f t="shared" si="31"/>
        <v>0</v>
      </c>
      <c r="DM70" s="219">
        <f t="shared" si="32"/>
        <v>0</v>
      </c>
      <c r="DN70" s="219">
        <f t="shared" si="32"/>
        <v>0</v>
      </c>
      <c r="DO70" s="219">
        <f t="shared" si="32"/>
        <v>0</v>
      </c>
      <c r="DP70" s="219">
        <f t="shared" si="32"/>
        <v>0</v>
      </c>
      <c r="DQ70" s="219">
        <f t="shared" si="32"/>
        <v>0</v>
      </c>
      <c r="DR70" s="219">
        <f t="shared" si="32"/>
        <v>0</v>
      </c>
      <c r="DS70" s="219">
        <f t="shared" si="32"/>
        <v>0</v>
      </c>
      <c r="DT70" s="219">
        <f t="shared" si="32"/>
        <v>0</v>
      </c>
      <c r="DU70" s="219">
        <f t="shared" si="32"/>
        <v>0</v>
      </c>
      <c r="DV70" s="219">
        <f t="shared" si="32"/>
        <v>0</v>
      </c>
      <c r="DW70" s="219">
        <f t="shared" si="32"/>
        <v>0</v>
      </c>
      <c r="DX70" s="219">
        <f t="shared" si="32"/>
        <v>0</v>
      </c>
      <c r="DY70" s="219">
        <f t="shared" si="32"/>
        <v>0</v>
      </c>
      <c r="DZ70" s="219">
        <f t="shared" si="32"/>
        <v>0</v>
      </c>
      <c r="EA70" s="219">
        <f t="shared" si="32"/>
        <v>0</v>
      </c>
      <c r="EB70" s="219">
        <f t="shared" si="32"/>
        <v>0</v>
      </c>
      <c r="EC70" s="219">
        <f t="shared" si="32"/>
        <v>0</v>
      </c>
      <c r="ED70" s="219">
        <f t="shared" si="32"/>
        <v>0</v>
      </c>
      <c r="EE70" s="219">
        <f t="shared" si="32"/>
        <v>0</v>
      </c>
      <c r="EF70" s="219">
        <f t="shared" si="32"/>
        <v>0</v>
      </c>
      <c r="EG70" s="219">
        <f t="shared" si="32"/>
        <v>0</v>
      </c>
      <c r="EH70" s="219">
        <f t="shared" si="32"/>
        <v>0</v>
      </c>
      <c r="EI70" s="219">
        <f t="shared" si="32"/>
        <v>0</v>
      </c>
      <c r="EJ70" s="219">
        <f t="shared" si="32"/>
        <v>0</v>
      </c>
    </row>
    <row r="71" spans="1:143" x14ac:dyDescent="0.25">
      <c r="A71" s="5"/>
      <c r="B71" s="5"/>
      <c r="C71" s="5"/>
      <c r="D71" s="5"/>
      <c r="X71" s="215"/>
      <c r="Y71" s="215"/>
      <c r="Z71" s="215"/>
      <c r="AA71" s="215"/>
      <c r="AB71" s="215"/>
      <c r="AC71" s="215"/>
      <c r="AD71" s="215"/>
      <c r="AE71" s="215"/>
      <c r="AF71" s="215"/>
      <c r="AG71" s="215" t="str">
        <f t="shared" si="25"/>
        <v>Lot des vides</v>
      </c>
      <c r="AH71" s="219">
        <f t="shared" si="26"/>
        <v>0</v>
      </c>
      <c r="AI71" s="219">
        <f t="shared" si="26"/>
        <v>0</v>
      </c>
      <c r="AJ71" s="219">
        <f t="shared" si="26"/>
        <v>0</v>
      </c>
      <c r="AK71" s="219">
        <f t="shared" si="26"/>
        <v>0</v>
      </c>
      <c r="AL71" s="219">
        <f t="shared" si="26"/>
        <v>0</v>
      </c>
      <c r="AM71" s="219">
        <f t="shared" si="26"/>
        <v>0</v>
      </c>
      <c r="AN71" s="219">
        <f t="shared" si="26"/>
        <v>0</v>
      </c>
      <c r="AO71" s="219">
        <f t="shared" si="26"/>
        <v>0</v>
      </c>
      <c r="AP71" s="219">
        <f t="shared" si="26"/>
        <v>0</v>
      </c>
      <c r="AQ71" s="219">
        <f t="shared" si="26"/>
        <v>0</v>
      </c>
      <c r="AR71" s="219">
        <f t="shared" si="26"/>
        <v>0</v>
      </c>
      <c r="AS71" s="219">
        <f t="shared" si="26"/>
        <v>0</v>
      </c>
      <c r="AT71" s="219">
        <f t="shared" si="26"/>
        <v>0</v>
      </c>
      <c r="AU71" s="219">
        <f t="shared" si="26"/>
        <v>0</v>
      </c>
      <c r="AV71" s="219">
        <f t="shared" si="26"/>
        <v>0</v>
      </c>
      <c r="AW71" s="219">
        <f t="shared" si="26"/>
        <v>0</v>
      </c>
      <c r="AX71" s="219">
        <f t="shared" si="26"/>
        <v>0</v>
      </c>
      <c r="AY71" s="219">
        <f t="shared" si="26"/>
        <v>0</v>
      </c>
      <c r="AZ71" s="219">
        <f t="shared" si="26"/>
        <v>0</v>
      </c>
      <c r="BA71" s="219">
        <f t="shared" si="26"/>
        <v>0</v>
      </c>
      <c r="BB71" s="219">
        <f t="shared" si="26"/>
        <v>0</v>
      </c>
      <c r="BC71" s="219">
        <f t="shared" si="26"/>
        <v>0</v>
      </c>
      <c r="BD71" s="219">
        <f t="shared" si="26"/>
        <v>0</v>
      </c>
      <c r="BE71" s="219">
        <f t="shared" si="26"/>
        <v>0</v>
      </c>
      <c r="BF71" s="215"/>
      <c r="BG71" s="216"/>
      <c r="BH71" s="215">
        <f t="shared" si="27"/>
        <v>0</v>
      </c>
      <c r="BI71" s="215">
        <f t="shared" si="28"/>
        <v>0</v>
      </c>
      <c r="BJ71" s="215">
        <f t="shared" si="28"/>
        <v>0</v>
      </c>
      <c r="BK71" s="215">
        <f t="shared" si="28"/>
        <v>0</v>
      </c>
      <c r="BL71" s="215">
        <f t="shared" si="28"/>
        <v>0</v>
      </c>
      <c r="BM71" s="215">
        <f t="shared" si="28"/>
        <v>0</v>
      </c>
      <c r="BN71" s="215">
        <f t="shared" si="28"/>
        <v>0</v>
      </c>
      <c r="BO71" s="215">
        <f t="shared" si="28"/>
        <v>0</v>
      </c>
      <c r="BP71" s="215">
        <f t="shared" si="28"/>
        <v>0</v>
      </c>
      <c r="BQ71" s="215">
        <f t="shared" si="28"/>
        <v>0</v>
      </c>
      <c r="BR71" s="215">
        <f t="shared" si="28"/>
        <v>0</v>
      </c>
      <c r="BS71" s="215">
        <f t="shared" si="28"/>
        <v>0</v>
      </c>
      <c r="BT71" s="215">
        <f t="shared" si="28"/>
        <v>0</v>
      </c>
      <c r="BU71" s="215">
        <f t="shared" si="28"/>
        <v>0</v>
      </c>
      <c r="BV71" s="215">
        <f t="shared" si="28"/>
        <v>0</v>
      </c>
      <c r="BW71" s="215">
        <f t="shared" si="28"/>
        <v>0</v>
      </c>
      <c r="BX71" s="215">
        <f t="shared" si="28"/>
        <v>0</v>
      </c>
      <c r="BY71" s="215">
        <f t="shared" si="28"/>
        <v>0</v>
      </c>
      <c r="BZ71" s="215">
        <f t="shared" si="28"/>
        <v>0</v>
      </c>
      <c r="CA71" s="215">
        <f t="shared" si="28"/>
        <v>0</v>
      </c>
      <c r="CB71" s="215">
        <f t="shared" si="28"/>
        <v>0</v>
      </c>
      <c r="CC71" s="215">
        <f t="shared" si="28"/>
        <v>0</v>
      </c>
      <c r="CD71" s="215">
        <f t="shared" si="28"/>
        <v>0</v>
      </c>
      <c r="CE71" s="215">
        <f t="shared" si="28"/>
        <v>0</v>
      </c>
      <c r="CF71" s="215">
        <f t="shared" si="28"/>
        <v>0</v>
      </c>
      <c r="CG71" s="215"/>
      <c r="CH71" s="215"/>
      <c r="CI71" s="216"/>
      <c r="CJ71" s="215">
        <f t="shared" si="29"/>
        <v>0</v>
      </c>
      <c r="CK71" s="219">
        <f t="shared" si="30"/>
        <v>0</v>
      </c>
      <c r="CL71" s="219">
        <f t="shared" si="30"/>
        <v>0</v>
      </c>
      <c r="CM71" s="219">
        <f t="shared" si="30"/>
        <v>0</v>
      </c>
      <c r="CN71" s="219">
        <f t="shared" si="30"/>
        <v>0</v>
      </c>
      <c r="CO71" s="219">
        <f t="shared" si="30"/>
        <v>0</v>
      </c>
      <c r="CP71" s="219">
        <f t="shared" si="30"/>
        <v>0</v>
      </c>
      <c r="CQ71" s="219">
        <f t="shared" si="30"/>
        <v>0</v>
      </c>
      <c r="CR71" s="219">
        <f t="shared" si="30"/>
        <v>0</v>
      </c>
      <c r="CS71" s="219">
        <f t="shared" si="30"/>
        <v>0</v>
      </c>
      <c r="CT71" s="219">
        <f t="shared" si="30"/>
        <v>0</v>
      </c>
      <c r="CU71" s="219">
        <f t="shared" si="30"/>
        <v>0</v>
      </c>
      <c r="CV71" s="219">
        <f t="shared" si="30"/>
        <v>0</v>
      </c>
      <c r="CW71" s="219">
        <f t="shared" si="30"/>
        <v>0</v>
      </c>
      <c r="CX71" s="219">
        <f t="shared" si="30"/>
        <v>0</v>
      </c>
      <c r="CY71" s="219">
        <f t="shared" si="30"/>
        <v>0</v>
      </c>
      <c r="CZ71" s="219">
        <f t="shared" si="30"/>
        <v>0</v>
      </c>
      <c r="DA71" s="219">
        <f t="shared" si="30"/>
        <v>0</v>
      </c>
      <c r="DB71" s="219">
        <f t="shared" si="30"/>
        <v>0</v>
      </c>
      <c r="DC71" s="219">
        <f t="shared" si="30"/>
        <v>0</v>
      </c>
      <c r="DD71" s="219">
        <f t="shared" si="30"/>
        <v>0</v>
      </c>
      <c r="DE71" s="219">
        <f t="shared" si="30"/>
        <v>0</v>
      </c>
      <c r="DF71" s="219">
        <f t="shared" si="30"/>
        <v>0</v>
      </c>
      <c r="DG71" s="219">
        <f t="shared" si="30"/>
        <v>0</v>
      </c>
      <c r="DH71" s="219">
        <f t="shared" si="30"/>
        <v>0</v>
      </c>
      <c r="DI71" s="215"/>
      <c r="DJ71" s="215"/>
      <c r="DK71" s="216"/>
      <c r="DL71" s="215">
        <f t="shared" si="31"/>
        <v>0</v>
      </c>
      <c r="DM71" s="219">
        <f t="shared" si="32"/>
        <v>0</v>
      </c>
      <c r="DN71" s="219">
        <f t="shared" si="32"/>
        <v>0</v>
      </c>
      <c r="DO71" s="219">
        <f t="shared" si="32"/>
        <v>0</v>
      </c>
      <c r="DP71" s="219">
        <f t="shared" si="32"/>
        <v>0</v>
      </c>
      <c r="DQ71" s="219">
        <f t="shared" si="32"/>
        <v>0</v>
      </c>
      <c r="DR71" s="219">
        <f t="shared" si="32"/>
        <v>0</v>
      </c>
      <c r="DS71" s="219">
        <f t="shared" si="32"/>
        <v>0</v>
      </c>
      <c r="DT71" s="219">
        <f t="shared" si="32"/>
        <v>0</v>
      </c>
      <c r="DU71" s="219">
        <f t="shared" si="32"/>
        <v>0</v>
      </c>
      <c r="DV71" s="219">
        <f t="shared" si="32"/>
        <v>0</v>
      </c>
      <c r="DW71" s="219">
        <f t="shared" si="32"/>
        <v>0</v>
      </c>
      <c r="DX71" s="219">
        <f t="shared" si="32"/>
        <v>0</v>
      </c>
      <c r="DY71" s="219">
        <f t="shared" si="32"/>
        <v>0</v>
      </c>
      <c r="DZ71" s="219">
        <f t="shared" si="32"/>
        <v>0</v>
      </c>
      <c r="EA71" s="219">
        <f t="shared" si="32"/>
        <v>0</v>
      </c>
      <c r="EB71" s="219">
        <f t="shared" si="32"/>
        <v>0</v>
      </c>
      <c r="EC71" s="219">
        <f t="shared" si="32"/>
        <v>0</v>
      </c>
      <c r="ED71" s="219">
        <f t="shared" si="32"/>
        <v>0</v>
      </c>
      <c r="EE71" s="219">
        <f t="shared" si="32"/>
        <v>0</v>
      </c>
      <c r="EF71" s="219">
        <f t="shared" si="32"/>
        <v>0</v>
      </c>
      <c r="EG71" s="219">
        <f t="shared" si="32"/>
        <v>0</v>
      </c>
      <c r="EH71" s="219">
        <f t="shared" si="32"/>
        <v>0</v>
      </c>
      <c r="EI71" s="219">
        <f t="shared" si="32"/>
        <v>0</v>
      </c>
      <c r="EJ71" s="219">
        <f t="shared" si="32"/>
        <v>0</v>
      </c>
    </row>
    <row r="72" spans="1:143" x14ac:dyDescent="0.25">
      <c r="A72" s="5"/>
      <c r="B72" s="5"/>
      <c r="C72" s="5"/>
      <c r="D72" s="5"/>
      <c r="X72" s="215"/>
      <c r="Y72" s="215"/>
      <c r="Z72" s="215"/>
      <c r="AA72" s="215"/>
      <c r="AB72" s="215"/>
      <c r="AC72" s="215"/>
      <c r="AD72" s="215"/>
      <c r="AE72" s="215"/>
      <c r="AF72" s="215"/>
      <c r="AG72" s="215" t="str">
        <f t="shared" si="25"/>
        <v>Lot des tardives</v>
      </c>
      <c r="AH72" s="219">
        <f t="shared" si="26"/>
        <v>0</v>
      </c>
      <c r="AI72" s="219">
        <f t="shared" si="26"/>
        <v>0</v>
      </c>
      <c r="AJ72" s="219">
        <f t="shared" si="26"/>
        <v>0</v>
      </c>
      <c r="AK72" s="219">
        <f t="shared" si="26"/>
        <v>0</v>
      </c>
      <c r="AL72" s="219">
        <f t="shared" si="26"/>
        <v>0</v>
      </c>
      <c r="AM72" s="219">
        <f t="shared" si="26"/>
        <v>0</v>
      </c>
      <c r="AN72" s="219">
        <f t="shared" si="26"/>
        <v>0</v>
      </c>
      <c r="AO72" s="219">
        <f t="shared" si="26"/>
        <v>0</v>
      </c>
      <c r="AP72" s="219">
        <f t="shared" si="26"/>
        <v>0</v>
      </c>
      <c r="AQ72" s="219">
        <f t="shared" si="26"/>
        <v>0</v>
      </c>
      <c r="AR72" s="219">
        <f t="shared" si="26"/>
        <v>0</v>
      </c>
      <c r="AS72" s="219">
        <f t="shared" si="26"/>
        <v>0</v>
      </c>
      <c r="AT72" s="219">
        <f t="shared" si="26"/>
        <v>0</v>
      </c>
      <c r="AU72" s="219">
        <f t="shared" si="26"/>
        <v>0</v>
      </c>
      <c r="AV72" s="219">
        <f t="shared" si="26"/>
        <v>0</v>
      </c>
      <c r="AW72" s="219">
        <f t="shared" si="26"/>
        <v>0</v>
      </c>
      <c r="AX72" s="219">
        <f t="shared" si="26"/>
        <v>0</v>
      </c>
      <c r="AY72" s="219">
        <f t="shared" si="26"/>
        <v>0</v>
      </c>
      <c r="AZ72" s="219">
        <f t="shared" si="26"/>
        <v>0</v>
      </c>
      <c r="BA72" s="219">
        <f t="shared" si="26"/>
        <v>0</v>
      </c>
      <c r="BB72" s="219">
        <f t="shared" si="26"/>
        <v>0</v>
      </c>
      <c r="BC72" s="219">
        <f t="shared" si="26"/>
        <v>0</v>
      </c>
      <c r="BD72" s="219">
        <f t="shared" si="26"/>
        <v>0</v>
      </c>
      <c r="BE72" s="219">
        <f t="shared" si="26"/>
        <v>0</v>
      </c>
      <c r="BF72" s="215"/>
      <c r="BG72" s="216"/>
      <c r="BH72" s="215">
        <f t="shared" si="27"/>
        <v>0</v>
      </c>
      <c r="BI72" s="215">
        <f t="shared" si="28"/>
        <v>0</v>
      </c>
      <c r="BJ72" s="215">
        <f t="shared" si="28"/>
        <v>0</v>
      </c>
      <c r="BK72" s="215">
        <f t="shared" si="28"/>
        <v>0</v>
      </c>
      <c r="BL72" s="215">
        <f t="shared" si="28"/>
        <v>0</v>
      </c>
      <c r="BM72" s="215">
        <f t="shared" si="28"/>
        <v>0</v>
      </c>
      <c r="BN72" s="215">
        <f t="shared" si="28"/>
        <v>0</v>
      </c>
      <c r="BO72" s="215">
        <f t="shared" si="28"/>
        <v>0</v>
      </c>
      <c r="BP72" s="215">
        <f t="shared" si="28"/>
        <v>0</v>
      </c>
      <c r="BQ72" s="215">
        <f t="shared" si="28"/>
        <v>0</v>
      </c>
      <c r="BR72" s="215">
        <f t="shared" si="28"/>
        <v>0</v>
      </c>
      <c r="BS72" s="215">
        <f t="shared" si="28"/>
        <v>0</v>
      </c>
      <c r="BT72" s="215">
        <f t="shared" si="28"/>
        <v>0</v>
      </c>
      <c r="BU72" s="215">
        <f t="shared" si="28"/>
        <v>0</v>
      </c>
      <c r="BV72" s="215">
        <f t="shared" si="28"/>
        <v>0</v>
      </c>
      <c r="BW72" s="215">
        <f t="shared" si="28"/>
        <v>0</v>
      </c>
      <c r="BX72" s="215">
        <f t="shared" si="28"/>
        <v>0</v>
      </c>
      <c r="BY72" s="215">
        <f t="shared" si="28"/>
        <v>0</v>
      </c>
      <c r="BZ72" s="215">
        <f t="shared" si="28"/>
        <v>0</v>
      </c>
      <c r="CA72" s="215">
        <f t="shared" si="28"/>
        <v>0</v>
      </c>
      <c r="CB72" s="215">
        <f t="shared" si="28"/>
        <v>0</v>
      </c>
      <c r="CC72" s="215">
        <f t="shared" si="28"/>
        <v>0</v>
      </c>
      <c r="CD72" s="215">
        <f t="shared" si="28"/>
        <v>0</v>
      </c>
      <c r="CE72" s="215">
        <f t="shared" si="28"/>
        <v>0</v>
      </c>
      <c r="CF72" s="215">
        <f t="shared" si="28"/>
        <v>0</v>
      </c>
      <c r="CG72" s="215"/>
      <c r="CH72" s="215"/>
      <c r="CI72" s="216"/>
      <c r="CJ72" s="215">
        <f t="shared" si="29"/>
        <v>0</v>
      </c>
      <c r="CK72" s="219">
        <f t="shared" si="30"/>
        <v>0</v>
      </c>
      <c r="CL72" s="219">
        <f t="shared" si="30"/>
        <v>0</v>
      </c>
      <c r="CM72" s="219">
        <f t="shared" si="30"/>
        <v>0</v>
      </c>
      <c r="CN72" s="219">
        <f t="shared" si="30"/>
        <v>0</v>
      </c>
      <c r="CO72" s="219">
        <f t="shared" si="30"/>
        <v>0</v>
      </c>
      <c r="CP72" s="219">
        <f t="shared" si="30"/>
        <v>0</v>
      </c>
      <c r="CQ72" s="219">
        <f t="shared" si="30"/>
        <v>0</v>
      </c>
      <c r="CR72" s="219">
        <f t="shared" si="30"/>
        <v>0</v>
      </c>
      <c r="CS72" s="219">
        <f t="shared" si="30"/>
        <v>0</v>
      </c>
      <c r="CT72" s="219">
        <f t="shared" si="30"/>
        <v>0</v>
      </c>
      <c r="CU72" s="219">
        <f t="shared" si="30"/>
        <v>0</v>
      </c>
      <c r="CV72" s="219">
        <f t="shared" si="30"/>
        <v>0</v>
      </c>
      <c r="CW72" s="219">
        <f t="shared" si="30"/>
        <v>0</v>
      </c>
      <c r="CX72" s="219">
        <f t="shared" si="30"/>
        <v>0</v>
      </c>
      <c r="CY72" s="219">
        <f t="shared" si="30"/>
        <v>0</v>
      </c>
      <c r="CZ72" s="219">
        <f t="shared" si="30"/>
        <v>0</v>
      </c>
      <c r="DA72" s="219">
        <f t="shared" si="30"/>
        <v>0</v>
      </c>
      <c r="DB72" s="219">
        <f t="shared" si="30"/>
        <v>0</v>
      </c>
      <c r="DC72" s="219">
        <f t="shared" si="30"/>
        <v>0</v>
      </c>
      <c r="DD72" s="219">
        <f t="shared" si="30"/>
        <v>0</v>
      </c>
      <c r="DE72" s="219">
        <f t="shared" si="30"/>
        <v>0</v>
      </c>
      <c r="DF72" s="219">
        <f t="shared" si="30"/>
        <v>0</v>
      </c>
      <c r="DG72" s="219">
        <f t="shared" si="30"/>
        <v>0</v>
      </c>
      <c r="DH72" s="219">
        <f t="shared" si="30"/>
        <v>0</v>
      </c>
      <c r="DI72" s="215"/>
      <c r="DJ72" s="215"/>
      <c r="DK72" s="216"/>
      <c r="DL72" s="215">
        <f t="shared" si="31"/>
        <v>0</v>
      </c>
      <c r="DM72" s="219">
        <f t="shared" si="32"/>
        <v>0</v>
      </c>
      <c r="DN72" s="219">
        <f t="shared" si="32"/>
        <v>0</v>
      </c>
      <c r="DO72" s="219">
        <f t="shared" si="32"/>
        <v>0</v>
      </c>
      <c r="DP72" s="219">
        <f t="shared" si="32"/>
        <v>0</v>
      </c>
      <c r="DQ72" s="219">
        <f t="shared" si="32"/>
        <v>0</v>
      </c>
      <c r="DR72" s="219">
        <f t="shared" si="32"/>
        <v>0</v>
      </c>
      <c r="DS72" s="219">
        <f t="shared" si="32"/>
        <v>0</v>
      </c>
      <c r="DT72" s="219">
        <f t="shared" si="32"/>
        <v>0</v>
      </c>
      <c r="DU72" s="219">
        <f t="shared" si="32"/>
        <v>0</v>
      </c>
      <c r="DV72" s="219">
        <f t="shared" si="32"/>
        <v>0</v>
      </c>
      <c r="DW72" s="219">
        <f t="shared" si="32"/>
        <v>0</v>
      </c>
      <c r="DX72" s="219">
        <f t="shared" si="32"/>
        <v>0</v>
      </c>
      <c r="DY72" s="219">
        <f t="shared" si="32"/>
        <v>0</v>
      </c>
      <c r="DZ72" s="219">
        <f t="shared" si="32"/>
        <v>0</v>
      </c>
      <c r="EA72" s="219">
        <f t="shared" si="32"/>
        <v>0</v>
      </c>
      <c r="EB72" s="219">
        <f t="shared" si="32"/>
        <v>0</v>
      </c>
      <c r="EC72" s="219">
        <f t="shared" si="32"/>
        <v>0</v>
      </c>
      <c r="ED72" s="219">
        <f t="shared" si="32"/>
        <v>0</v>
      </c>
      <c r="EE72" s="219">
        <f t="shared" si="32"/>
        <v>0</v>
      </c>
      <c r="EF72" s="219">
        <f t="shared" si="32"/>
        <v>0</v>
      </c>
      <c r="EG72" s="219">
        <f t="shared" si="32"/>
        <v>0</v>
      </c>
      <c r="EH72" s="219">
        <f t="shared" si="32"/>
        <v>0</v>
      </c>
      <c r="EI72" s="219">
        <f t="shared" si="32"/>
        <v>0</v>
      </c>
      <c r="EJ72" s="219">
        <f t="shared" si="32"/>
        <v>0</v>
      </c>
    </row>
    <row r="73" spans="1:143" x14ac:dyDescent="0.25">
      <c r="A73" s="5"/>
      <c r="B73" s="5"/>
      <c r="C73" s="5"/>
      <c r="D73" s="5"/>
      <c r="X73" s="215"/>
      <c r="Y73" s="215"/>
      <c r="Z73" s="215"/>
      <c r="AA73" s="215"/>
      <c r="AB73" s="215"/>
      <c r="AC73" s="215"/>
      <c r="AD73" s="215"/>
      <c r="AE73" s="215"/>
      <c r="AF73" s="215"/>
      <c r="AG73" s="215" t="str">
        <f t="shared" si="25"/>
        <v>Lot des agnelles</v>
      </c>
      <c r="AH73" s="219">
        <f t="shared" si="26"/>
        <v>0</v>
      </c>
      <c r="AI73" s="219">
        <f t="shared" si="26"/>
        <v>0</v>
      </c>
      <c r="AJ73" s="219">
        <f t="shared" si="26"/>
        <v>0</v>
      </c>
      <c r="AK73" s="219">
        <f t="shared" si="26"/>
        <v>0</v>
      </c>
      <c r="AL73" s="219">
        <f t="shared" si="26"/>
        <v>0</v>
      </c>
      <c r="AM73" s="219">
        <f t="shared" si="26"/>
        <v>0</v>
      </c>
      <c r="AN73" s="219">
        <f t="shared" si="26"/>
        <v>0</v>
      </c>
      <c r="AO73" s="219">
        <f t="shared" si="26"/>
        <v>0</v>
      </c>
      <c r="AP73" s="219">
        <f t="shared" si="26"/>
        <v>0</v>
      </c>
      <c r="AQ73" s="219">
        <f t="shared" si="26"/>
        <v>0</v>
      </c>
      <c r="AR73" s="219">
        <f t="shared" si="26"/>
        <v>0</v>
      </c>
      <c r="AS73" s="219">
        <f t="shared" si="26"/>
        <v>0</v>
      </c>
      <c r="AT73" s="219">
        <f t="shared" si="26"/>
        <v>0</v>
      </c>
      <c r="AU73" s="219">
        <f t="shared" si="26"/>
        <v>0</v>
      </c>
      <c r="AV73" s="219">
        <f t="shared" si="26"/>
        <v>0</v>
      </c>
      <c r="AW73" s="219">
        <f t="shared" si="26"/>
        <v>0</v>
      </c>
      <c r="AX73" s="219">
        <f t="shared" si="26"/>
        <v>0</v>
      </c>
      <c r="AY73" s="219">
        <f t="shared" si="26"/>
        <v>0</v>
      </c>
      <c r="AZ73" s="219">
        <f t="shared" si="26"/>
        <v>0</v>
      </c>
      <c r="BA73" s="219">
        <f t="shared" si="26"/>
        <v>0</v>
      </c>
      <c r="BB73" s="219">
        <f t="shared" si="26"/>
        <v>0</v>
      </c>
      <c r="BC73" s="219">
        <f t="shared" si="26"/>
        <v>0</v>
      </c>
      <c r="BD73" s="219">
        <f t="shared" si="26"/>
        <v>0</v>
      </c>
      <c r="BE73" s="219">
        <f t="shared" si="26"/>
        <v>0</v>
      </c>
      <c r="BF73" s="215"/>
      <c r="BG73" s="216"/>
      <c r="BH73" s="215">
        <f t="shared" si="27"/>
        <v>0</v>
      </c>
      <c r="BI73" s="215">
        <f t="shared" si="28"/>
        <v>0</v>
      </c>
      <c r="BJ73" s="215">
        <f t="shared" si="28"/>
        <v>0</v>
      </c>
      <c r="BK73" s="215">
        <f t="shared" si="28"/>
        <v>0</v>
      </c>
      <c r="BL73" s="215">
        <f t="shared" si="28"/>
        <v>0</v>
      </c>
      <c r="BM73" s="215">
        <f t="shared" si="28"/>
        <v>0</v>
      </c>
      <c r="BN73" s="215">
        <f t="shared" si="28"/>
        <v>0</v>
      </c>
      <c r="BO73" s="215">
        <f t="shared" si="28"/>
        <v>0</v>
      </c>
      <c r="BP73" s="215">
        <f t="shared" si="28"/>
        <v>0</v>
      </c>
      <c r="BQ73" s="215">
        <f t="shared" si="28"/>
        <v>0</v>
      </c>
      <c r="BR73" s="215">
        <f t="shared" si="28"/>
        <v>0</v>
      </c>
      <c r="BS73" s="215">
        <f t="shared" si="28"/>
        <v>0</v>
      </c>
      <c r="BT73" s="215">
        <f t="shared" si="28"/>
        <v>0</v>
      </c>
      <c r="BU73" s="215">
        <f t="shared" si="28"/>
        <v>0</v>
      </c>
      <c r="BV73" s="215">
        <f t="shared" si="28"/>
        <v>0</v>
      </c>
      <c r="BW73" s="215">
        <f t="shared" si="28"/>
        <v>0</v>
      </c>
      <c r="BX73" s="215">
        <f t="shared" si="28"/>
        <v>0</v>
      </c>
      <c r="BY73" s="215">
        <f t="shared" si="28"/>
        <v>0</v>
      </c>
      <c r="BZ73" s="215">
        <f t="shared" si="28"/>
        <v>0</v>
      </c>
      <c r="CA73" s="215">
        <f t="shared" si="28"/>
        <v>0</v>
      </c>
      <c r="CB73" s="215">
        <f t="shared" si="28"/>
        <v>0</v>
      </c>
      <c r="CC73" s="215">
        <f t="shared" si="28"/>
        <v>0</v>
      </c>
      <c r="CD73" s="215">
        <f t="shared" si="28"/>
        <v>0</v>
      </c>
      <c r="CE73" s="215">
        <f t="shared" si="28"/>
        <v>0</v>
      </c>
      <c r="CF73" s="215">
        <f t="shared" si="28"/>
        <v>0</v>
      </c>
      <c r="CG73" s="215"/>
      <c r="CH73" s="215"/>
      <c r="CI73" s="216"/>
      <c r="CJ73" s="215">
        <f t="shared" si="29"/>
        <v>0</v>
      </c>
      <c r="CK73" s="219">
        <f t="shared" si="30"/>
        <v>0</v>
      </c>
      <c r="CL73" s="219">
        <f t="shared" si="30"/>
        <v>0</v>
      </c>
      <c r="CM73" s="219">
        <f t="shared" si="30"/>
        <v>0</v>
      </c>
      <c r="CN73" s="219">
        <f t="shared" si="30"/>
        <v>0</v>
      </c>
      <c r="CO73" s="219">
        <f t="shared" si="30"/>
        <v>0</v>
      </c>
      <c r="CP73" s="219">
        <f t="shared" si="30"/>
        <v>0</v>
      </c>
      <c r="CQ73" s="219">
        <f t="shared" si="30"/>
        <v>0</v>
      </c>
      <c r="CR73" s="219">
        <f t="shared" si="30"/>
        <v>0</v>
      </c>
      <c r="CS73" s="219">
        <f t="shared" si="30"/>
        <v>0</v>
      </c>
      <c r="CT73" s="219">
        <f t="shared" si="30"/>
        <v>0</v>
      </c>
      <c r="CU73" s="219">
        <f t="shared" si="30"/>
        <v>0</v>
      </c>
      <c r="CV73" s="219">
        <f t="shared" si="30"/>
        <v>0</v>
      </c>
      <c r="CW73" s="219">
        <f t="shared" si="30"/>
        <v>0</v>
      </c>
      <c r="CX73" s="219">
        <f t="shared" si="30"/>
        <v>0</v>
      </c>
      <c r="CY73" s="219">
        <f t="shared" si="30"/>
        <v>0</v>
      </c>
      <c r="CZ73" s="219">
        <f t="shared" si="30"/>
        <v>0</v>
      </c>
      <c r="DA73" s="219">
        <f t="shared" si="30"/>
        <v>0</v>
      </c>
      <c r="DB73" s="219">
        <f t="shared" si="30"/>
        <v>0</v>
      </c>
      <c r="DC73" s="219">
        <f t="shared" si="30"/>
        <v>0</v>
      </c>
      <c r="DD73" s="219">
        <f t="shared" si="30"/>
        <v>0</v>
      </c>
      <c r="DE73" s="219">
        <f t="shared" si="30"/>
        <v>0</v>
      </c>
      <c r="DF73" s="219">
        <f t="shared" si="30"/>
        <v>0</v>
      </c>
      <c r="DG73" s="219">
        <f t="shared" si="30"/>
        <v>0</v>
      </c>
      <c r="DH73" s="219">
        <f t="shared" si="30"/>
        <v>0</v>
      </c>
      <c r="DI73" s="215"/>
      <c r="DJ73" s="215"/>
      <c r="DK73" s="216"/>
      <c r="DL73" s="215">
        <f t="shared" si="31"/>
        <v>0</v>
      </c>
      <c r="DM73" s="219">
        <f t="shared" si="32"/>
        <v>0</v>
      </c>
      <c r="DN73" s="219">
        <f t="shared" si="32"/>
        <v>0</v>
      </c>
      <c r="DO73" s="219">
        <f t="shared" si="32"/>
        <v>0</v>
      </c>
      <c r="DP73" s="219">
        <f t="shared" si="32"/>
        <v>0</v>
      </c>
      <c r="DQ73" s="219">
        <f t="shared" si="32"/>
        <v>0</v>
      </c>
      <c r="DR73" s="219">
        <f t="shared" si="32"/>
        <v>0</v>
      </c>
      <c r="DS73" s="219">
        <f t="shared" si="32"/>
        <v>0</v>
      </c>
      <c r="DT73" s="219">
        <f t="shared" si="32"/>
        <v>0</v>
      </c>
      <c r="DU73" s="219">
        <f t="shared" si="32"/>
        <v>0</v>
      </c>
      <c r="DV73" s="219">
        <f t="shared" si="32"/>
        <v>0</v>
      </c>
      <c r="DW73" s="219">
        <f t="shared" si="32"/>
        <v>0</v>
      </c>
      <c r="DX73" s="219">
        <f t="shared" si="32"/>
        <v>0</v>
      </c>
      <c r="DY73" s="219">
        <f t="shared" si="32"/>
        <v>0</v>
      </c>
      <c r="DZ73" s="219">
        <f t="shared" si="32"/>
        <v>0</v>
      </c>
      <c r="EA73" s="219">
        <f t="shared" si="32"/>
        <v>0</v>
      </c>
      <c r="EB73" s="219">
        <f t="shared" si="32"/>
        <v>0</v>
      </c>
      <c r="EC73" s="219">
        <f t="shared" si="32"/>
        <v>0</v>
      </c>
      <c r="ED73" s="219">
        <f t="shared" si="32"/>
        <v>0</v>
      </c>
      <c r="EE73" s="219">
        <f t="shared" si="32"/>
        <v>0</v>
      </c>
      <c r="EF73" s="219">
        <f t="shared" si="32"/>
        <v>0</v>
      </c>
      <c r="EG73" s="219">
        <f t="shared" si="32"/>
        <v>0</v>
      </c>
      <c r="EH73" s="219">
        <f t="shared" si="32"/>
        <v>0</v>
      </c>
      <c r="EI73" s="219">
        <f t="shared" si="32"/>
        <v>0</v>
      </c>
      <c r="EJ73" s="219">
        <f t="shared" si="32"/>
        <v>0</v>
      </c>
    </row>
    <row r="74" spans="1:143" x14ac:dyDescent="0.25">
      <c r="A74" s="5"/>
      <c r="B74" s="5"/>
      <c r="C74" s="5"/>
      <c r="D74" s="5"/>
      <c r="X74" s="215"/>
      <c r="Y74" s="215"/>
      <c r="Z74" s="215"/>
      <c r="AA74" s="215"/>
      <c r="AB74" s="215"/>
      <c r="AC74" s="215"/>
      <c r="AD74" s="215"/>
      <c r="AE74" s="215"/>
      <c r="AF74" s="215"/>
      <c r="AG74" s="215" t="str">
        <f t="shared" si="25"/>
        <v>lot6</v>
      </c>
      <c r="AH74" s="219">
        <f t="shared" si="26"/>
        <v>0</v>
      </c>
      <c r="AI74" s="219">
        <f t="shared" si="26"/>
        <v>0</v>
      </c>
      <c r="AJ74" s="219">
        <f t="shared" si="26"/>
        <v>0</v>
      </c>
      <c r="AK74" s="219">
        <f t="shared" si="26"/>
        <v>0</v>
      </c>
      <c r="AL74" s="219">
        <f t="shared" si="26"/>
        <v>0</v>
      </c>
      <c r="AM74" s="219">
        <f t="shared" si="26"/>
        <v>0</v>
      </c>
      <c r="AN74" s="219">
        <f t="shared" si="26"/>
        <v>0</v>
      </c>
      <c r="AO74" s="219">
        <f t="shared" si="26"/>
        <v>0</v>
      </c>
      <c r="AP74" s="219">
        <f t="shared" si="26"/>
        <v>0</v>
      </c>
      <c r="AQ74" s="219">
        <f t="shared" si="26"/>
        <v>0</v>
      </c>
      <c r="AR74" s="219">
        <f t="shared" si="26"/>
        <v>0</v>
      </c>
      <c r="AS74" s="219">
        <f t="shared" si="26"/>
        <v>0</v>
      </c>
      <c r="AT74" s="219">
        <f t="shared" si="26"/>
        <v>0</v>
      </c>
      <c r="AU74" s="219">
        <f t="shared" si="26"/>
        <v>0</v>
      </c>
      <c r="AV74" s="219">
        <f t="shared" si="26"/>
        <v>0</v>
      </c>
      <c r="AW74" s="219">
        <f t="shared" si="26"/>
        <v>0</v>
      </c>
      <c r="AX74" s="219">
        <f t="shared" si="26"/>
        <v>0</v>
      </c>
      <c r="AY74" s="219">
        <f t="shared" si="26"/>
        <v>0</v>
      </c>
      <c r="AZ74" s="219">
        <f t="shared" si="26"/>
        <v>0</v>
      </c>
      <c r="BA74" s="219">
        <f t="shared" si="26"/>
        <v>0</v>
      </c>
      <c r="BB74" s="219">
        <f t="shared" si="26"/>
        <v>0</v>
      </c>
      <c r="BC74" s="219">
        <f t="shared" si="26"/>
        <v>0</v>
      </c>
      <c r="BD74" s="219">
        <f t="shared" si="26"/>
        <v>0</v>
      </c>
      <c r="BE74" s="219">
        <f t="shared" si="26"/>
        <v>0</v>
      </c>
      <c r="BF74" s="215"/>
      <c r="BG74" s="216"/>
      <c r="BH74" s="215">
        <f t="shared" si="27"/>
        <v>0</v>
      </c>
      <c r="BI74" s="215">
        <f t="shared" si="28"/>
        <v>0</v>
      </c>
      <c r="BJ74" s="215">
        <f t="shared" si="28"/>
        <v>0</v>
      </c>
      <c r="BK74" s="215">
        <f t="shared" si="28"/>
        <v>0</v>
      </c>
      <c r="BL74" s="215">
        <f t="shared" si="28"/>
        <v>0</v>
      </c>
      <c r="BM74" s="215">
        <f t="shared" si="28"/>
        <v>0</v>
      </c>
      <c r="BN74" s="215">
        <f t="shared" si="28"/>
        <v>0</v>
      </c>
      <c r="BO74" s="215">
        <f t="shared" si="28"/>
        <v>0</v>
      </c>
      <c r="BP74" s="215">
        <f t="shared" si="28"/>
        <v>0</v>
      </c>
      <c r="BQ74" s="215">
        <f t="shared" si="28"/>
        <v>0</v>
      </c>
      <c r="BR74" s="215">
        <f t="shared" si="28"/>
        <v>0</v>
      </c>
      <c r="BS74" s="215">
        <f t="shared" si="28"/>
        <v>0</v>
      </c>
      <c r="BT74" s="215">
        <f t="shared" si="28"/>
        <v>0</v>
      </c>
      <c r="BU74" s="215">
        <f t="shared" si="28"/>
        <v>0</v>
      </c>
      <c r="BV74" s="215">
        <f t="shared" si="28"/>
        <v>0</v>
      </c>
      <c r="BW74" s="215">
        <f t="shared" si="28"/>
        <v>0</v>
      </c>
      <c r="BX74" s="215">
        <f t="shared" si="28"/>
        <v>0</v>
      </c>
      <c r="BY74" s="215">
        <f t="shared" si="28"/>
        <v>0</v>
      </c>
      <c r="BZ74" s="215">
        <f t="shared" si="28"/>
        <v>0</v>
      </c>
      <c r="CA74" s="215">
        <f t="shared" si="28"/>
        <v>0</v>
      </c>
      <c r="CB74" s="215">
        <f t="shared" si="28"/>
        <v>0</v>
      </c>
      <c r="CC74" s="215">
        <f t="shared" si="28"/>
        <v>0</v>
      </c>
      <c r="CD74" s="215">
        <f t="shared" si="28"/>
        <v>0</v>
      </c>
      <c r="CE74" s="215">
        <f t="shared" si="28"/>
        <v>0</v>
      </c>
      <c r="CF74" s="215">
        <f t="shared" si="28"/>
        <v>0</v>
      </c>
      <c r="CG74" s="215"/>
      <c r="CH74" s="215"/>
      <c r="CI74" s="216"/>
      <c r="CJ74" s="215">
        <f t="shared" si="29"/>
        <v>0</v>
      </c>
      <c r="CK74" s="219">
        <f t="shared" si="30"/>
        <v>0</v>
      </c>
      <c r="CL74" s="219">
        <f t="shared" si="30"/>
        <v>0</v>
      </c>
      <c r="CM74" s="219">
        <f t="shared" si="30"/>
        <v>0</v>
      </c>
      <c r="CN74" s="219">
        <f t="shared" si="30"/>
        <v>0</v>
      </c>
      <c r="CO74" s="219">
        <f t="shared" si="30"/>
        <v>0</v>
      </c>
      <c r="CP74" s="219">
        <f t="shared" si="30"/>
        <v>0</v>
      </c>
      <c r="CQ74" s="219">
        <f t="shared" si="30"/>
        <v>0</v>
      </c>
      <c r="CR74" s="219">
        <f t="shared" si="30"/>
        <v>0</v>
      </c>
      <c r="CS74" s="219">
        <f t="shared" si="30"/>
        <v>0</v>
      </c>
      <c r="CT74" s="219">
        <f t="shared" si="30"/>
        <v>0</v>
      </c>
      <c r="CU74" s="219">
        <f t="shared" si="30"/>
        <v>0</v>
      </c>
      <c r="CV74" s="219">
        <f t="shared" si="30"/>
        <v>0</v>
      </c>
      <c r="CW74" s="219">
        <f t="shared" si="30"/>
        <v>0</v>
      </c>
      <c r="CX74" s="219">
        <f t="shared" si="30"/>
        <v>0</v>
      </c>
      <c r="CY74" s="219">
        <f t="shared" si="30"/>
        <v>0</v>
      </c>
      <c r="CZ74" s="219">
        <f t="shared" si="30"/>
        <v>0</v>
      </c>
      <c r="DA74" s="219">
        <f t="shared" si="30"/>
        <v>0</v>
      </c>
      <c r="DB74" s="219">
        <f t="shared" si="30"/>
        <v>0</v>
      </c>
      <c r="DC74" s="219">
        <f t="shared" si="30"/>
        <v>0</v>
      </c>
      <c r="DD74" s="219">
        <f t="shared" si="30"/>
        <v>0</v>
      </c>
      <c r="DE74" s="219">
        <f t="shared" si="30"/>
        <v>0</v>
      </c>
      <c r="DF74" s="219">
        <f t="shared" si="30"/>
        <v>0</v>
      </c>
      <c r="DG74" s="219">
        <f t="shared" si="30"/>
        <v>0</v>
      </c>
      <c r="DH74" s="219">
        <f t="shared" si="30"/>
        <v>0</v>
      </c>
      <c r="DI74" s="215"/>
      <c r="DJ74" s="215"/>
      <c r="DK74" s="216"/>
      <c r="DL74" s="215">
        <f t="shared" si="31"/>
        <v>0</v>
      </c>
      <c r="DM74" s="219">
        <f t="shared" si="32"/>
        <v>0</v>
      </c>
      <c r="DN74" s="219">
        <f t="shared" si="32"/>
        <v>0</v>
      </c>
      <c r="DO74" s="219">
        <f t="shared" si="32"/>
        <v>0</v>
      </c>
      <c r="DP74" s="219">
        <f t="shared" si="32"/>
        <v>0</v>
      </c>
      <c r="DQ74" s="219">
        <f t="shared" si="32"/>
        <v>0</v>
      </c>
      <c r="DR74" s="219">
        <f t="shared" si="32"/>
        <v>0</v>
      </c>
      <c r="DS74" s="219">
        <f t="shared" si="32"/>
        <v>0</v>
      </c>
      <c r="DT74" s="219">
        <f t="shared" si="32"/>
        <v>0</v>
      </c>
      <c r="DU74" s="219">
        <f t="shared" si="32"/>
        <v>0</v>
      </c>
      <c r="DV74" s="219">
        <f t="shared" si="32"/>
        <v>0</v>
      </c>
      <c r="DW74" s="219">
        <f t="shared" si="32"/>
        <v>0</v>
      </c>
      <c r="DX74" s="219">
        <f t="shared" si="32"/>
        <v>0</v>
      </c>
      <c r="DY74" s="219">
        <f t="shared" si="32"/>
        <v>0</v>
      </c>
      <c r="DZ74" s="219">
        <f t="shared" si="32"/>
        <v>0</v>
      </c>
      <c r="EA74" s="219">
        <f t="shared" si="32"/>
        <v>0</v>
      </c>
      <c r="EB74" s="219">
        <f t="shared" si="32"/>
        <v>0</v>
      </c>
      <c r="EC74" s="219">
        <f t="shared" si="32"/>
        <v>0</v>
      </c>
      <c r="ED74" s="219">
        <f t="shared" si="32"/>
        <v>0</v>
      </c>
      <c r="EE74" s="219">
        <f t="shared" si="32"/>
        <v>0</v>
      </c>
      <c r="EF74" s="219">
        <f t="shared" si="32"/>
        <v>0</v>
      </c>
      <c r="EG74" s="219">
        <f t="shared" si="32"/>
        <v>0</v>
      </c>
      <c r="EH74" s="219">
        <f t="shared" si="32"/>
        <v>0</v>
      </c>
      <c r="EI74" s="219">
        <f t="shared" si="32"/>
        <v>0</v>
      </c>
      <c r="EJ74" s="219">
        <f t="shared" si="32"/>
        <v>0</v>
      </c>
    </row>
    <row r="75" spans="1:143" x14ac:dyDescent="0.25">
      <c r="A75" s="5"/>
      <c r="B75" s="5"/>
      <c r="C75" s="5"/>
      <c r="D75" s="5"/>
      <c r="X75" s="215"/>
      <c r="Y75" s="215"/>
      <c r="Z75" s="215"/>
      <c r="AA75" s="215"/>
      <c r="AB75" s="215"/>
      <c r="AC75" s="215"/>
      <c r="AD75" s="215"/>
      <c r="AE75" s="215"/>
      <c r="AF75" s="215"/>
      <c r="AG75" s="215" t="str">
        <f t="shared" si="25"/>
        <v>lot7</v>
      </c>
      <c r="AH75" s="219">
        <f t="shared" si="26"/>
        <v>0</v>
      </c>
      <c r="AI75" s="219">
        <f t="shared" si="26"/>
        <v>0</v>
      </c>
      <c r="AJ75" s="219">
        <f t="shared" si="26"/>
        <v>0</v>
      </c>
      <c r="AK75" s="219">
        <f t="shared" si="26"/>
        <v>0</v>
      </c>
      <c r="AL75" s="219">
        <f t="shared" si="26"/>
        <v>0</v>
      </c>
      <c r="AM75" s="219">
        <f t="shared" si="26"/>
        <v>0</v>
      </c>
      <c r="AN75" s="219">
        <f t="shared" si="26"/>
        <v>0</v>
      </c>
      <c r="AO75" s="219">
        <f t="shared" si="26"/>
        <v>0</v>
      </c>
      <c r="AP75" s="219">
        <f t="shared" si="26"/>
        <v>0</v>
      </c>
      <c r="AQ75" s="219">
        <f t="shared" si="26"/>
        <v>0</v>
      </c>
      <c r="AR75" s="219">
        <f t="shared" si="26"/>
        <v>0</v>
      </c>
      <c r="AS75" s="219">
        <f t="shared" si="26"/>
        <v>0</v>
      </c>
      <c r="AT75" s="219">
        <f t="shared" si="26"/>
        <v>0</v>
      </c>
      <c r="AU75" s="219">
        <f t="shared" si="26"/>
        <v>0</v>
      </c>
      <c r="AV75" s="219">
        <f t="shared" si="26"/>
        <v>0</v>
      </c>
      <c r="AW75" s="219">
        <f t="shared" si="26"/>
        <v>0</v>
      </c>
      <c r="AX75" s="219">
        <f t="shared" si="26"/>
        <v>0</v>
      </c>
      <c r="AY75" s="219">
        <f t="shared" si="26"/>
        <v>0</v>
      </c>
      <c r="AZ75" s="219">
        <f t="shared" si="26"/>
        <v>0</v>
      </c>
      <c r="BA75" s="219">
        <f t="shared" si="26"/>
        <v>0</v>
      </c>
      <c r="BB75" s="219">
        <f t="shared" si="26"/>
        <v>0</v>
      </c>
      <c r="BC75" s="219">
        <f t="shared" si="26"/>
        <v>0</v>
      </c>
      <c r="BD75" s="219">
        <f t="shared" si="26"/>
        <v>0</v>
      </c>
      <c r="BE75" s="219">
        <f t="shared" si="26"/>
        <v>0</v>
      </c>
      <c r="BF75" s="215"/>
      <c r="BG75" s="216"/>
      <c r="BH75" s="215">
        <f t="shared" si="27"/>
        <v>0</v>
      </c>
      <c r="BI75" s="215">
        <f t="shared" si="28"/>
        <v>0</v>
      </c>
      <c r="BJ75" s="215">
        <f t="shared" si="28"/>
        <v>0</v>
      </c>
      <c r="BK75" s="215">
        <f t="shared" si="28"/>
        <v>0</v>
      </c>
      <c r="BL75" s="215">
        <f t="shared" si="28"/>
        <v>0</v>
      </c>
      <c r="BM75" s="215">
        <f t="shared" si="28"/>
        <v>0</v>
      </c>
      <c r="BN75" s="215">
        <f t="shared" si="28"/>
        <v>0</v>
      </c>
      <c r="BO75" s="215">
        <f t="shared" si="28"/>
        <v>0</v>
      </c>
      <c r="BP75" s="215">
        <f t="shared" si="28"/>
        <v>0</v>
      </c>
      <c r="BQ75" s="215">
        <f t="shared" si="28"/>
        <v>0</v>
      </c>
      <c r="BR75" s="215">
        <f t="shared" si="28"/>
        <v>0</v>
      </c>
      <c r="BS75" s="215">
        <f t="shared" si="28"/>
        <v>0</v>
      </c>
      <c r="BT75" s="215">
        <f t="shared" si="28"/>
        <v>0</v>
      </c>
      <c r="BU75" s="215">
        <f t="shared" si="28"/>
        <v>0</v>
      </c>
      <c r="BV75" s="215">
        <f t="shared" si="28"/>
        <v>0</v>
      </c>
      <c r="BW75" s="215">
        <f t="shared" si="28"/>
        <v>0</v>
      </c>
      <c r="BX75" s="215">
        <f t="shared" si="28"/>
        <v>0</v>
      </c>
      <c r="BY75" s="215">
        <f t="shared" si="28"/>
        <v>0</v>
      </c>
      <c r="BZ75" s="215">
        <f t="shared" si="28"/>
        <v>0</v>
      </c>
      <c r="CA75" s="215">
        <f t="shared" si="28"/>
        <v>0</v>
      </c>
      <c r="CB75" s="215">
        <f t="shared" si="28"/>
        <v>0</v>
      </c>
      <c r="CC75" s="215">
        <f t="shared" si="28"/>
        <v>0</v>
      </c>
      <c r="CD75" s="215">
        <f t="shared" si="28"/>
        <v>0</v>
      </c>
      <c r="CE75" s="215">
        <f t="shared" si="28"/>
        <v>0</v>
      </c>
      <c r="CF75" s="215">
        <f t="shared" si="28"/>
        <v>0</v>
      </c>
      <c r="CG75" s="215"/>
      <c r="CH75" s="215"/>
      <c r="CI75" s="216"/>
      <c r="CJ75" s="215">
        <f t="shared" si="29"/>
        <v>0</v>
      </c>
      <c r="CK75" s="219">
        <f t="shared" si="30"/>
        <v>0</v>
      </c>
      <c r="CL75" s="219">
        <f t="shared" si="30"/>
        <v>0</v>
      </c>
      <c r="CM75" s="219">
        <f t="shared" si="30"/>
        <v>0</v>
      </c>
      <c r="CN75" s="219">
        <f t="shared" si="30"/>
        <v>0</v>
      </c>
      <c r="CO75" s="219">
        <f t="shared" si="30"/>
        <v>0</v>
      </c>
      <c r="CP75" s="219">
        <f t="shared" si="30"/>
        <v>0</v>
      </c>
      <c r="CQ75" s="219">
        <f t="shared" si="30"/>
        <v>0</v>
      </c>
      <c r="CR75" s="219">
        <f t="shared" si="30"/>
        <v>0</v>
      </c>
      <c r="CS75" s="219">
        <f t="shared" si="30"/>
        <v>0</v>
      </c>
      <c r="CT75" s="219">
        <f t="shared" si="30"/>
        <v>0</v>
      </c>
      <c r="CU75" s="219">
        <f t="shared" si="30"/>
        <v>0</v>
      </c>
      <c r="CV75" s="219">
        <f t="shared" si="30"/>
        <v>0</v>
      </c>
      <c r="CW75" s="219">
        <f t="shared" si="30"/>
        <v>0</v>
      </c>
      <c r="CX75" s="219">
        <f t="shared" si="30"/>
        <v>0</v>
      </c>
      <c r="CY75" s="219">
        <f t="shared" si="30"/>
        <v>0</v>
      </c>
      <c r="CZ75" s="219">
        <f t="shared" si="30"/>
        <v>0</v>
      </c>
      <c r="DA75" s="219">
        <f t="shared" si="30"/>
        <v>0</v>
      </c>
      <c r="DB75" s="219">
        <f t="shared" si="30"/>
        <v>0</v>
      </c>
      <c r="DC75" s="219">
        <f t="shared" si="30"/>
        <v>0</v>
      </c>
      <c r="DD75" s="219">
        <f t="shared" si="30"/>
        <v>0</v>
      </c>
      <c r="DE75" s="219">
        <f t="shared" si="30"/>
        <v>0</v>
      </c>
      <c r="DF75" s="219">
        <f t="shared" si="30"/>
        <v>0</v>
      </c>
      <c r="DG75" s="219">
        <f t="shared" si="30"/>
        <v>0</v>
      </c>
      <c r="DH75" s="219">
        <f t="shared" si="30"/>
        <v>0</v>
      </c>
      <c r="DI75" s="215"/>
      <c r="DJ75" s="215"/>
      <c r="DK75" s="216"/>
      <c r="DL75" s="215">
        <f t="shared" si="31"/>
        <v>0</v>
      </c>
      <c r="DM75" s="219">
        <f t="shared" si="32"/>
        <v>0</v>
      </c>
      <c r="DN75" s="219">
        <f t="shared" si="32"/>
        <v>0</v>
      </c>
      <c r="DO75" s="219">
        <f t="shared" si="32"/>
        <v>0</v>
      </c>
      <c r="DP75" s="219">
        <f t="shared" si="32"/>
        <v>0</v>
      </c>
      <c r="DQ75" s="219">
        <f t="shared" si="32"/>
        <v>0</v>
      </c>
      <c r="DR75" s="219">
        <f t="shared" si="32"/>
        <v>0</v>
      </c>
      <c r="DS75" s="219">
        <f t="shared" si="32"/>
        <v>0</v>
      </c>
      <c r="DT75" s="219">
        <f t="shared" si="32"/>
        <v>0</v>
      </c>
      <c r="DU75" s="219">
        <f t="shared" si="32"/>
        <v>0</v>
      </c>
      <c r="DV75" s="219">
        <f t="shared" si="32"/>
        <v>0</v>
      </c>
      <c r="DW75" s="219">
        <f t="shared" si="32"/>
        <v>0</v>
      </c>
      <c r="DX75" s="219">
        <f t="shared" si="32"/>
        <v>0</v>
      </c>
      <c r="DY75" s="219">
        <f t="shared" si="32"/>
        <v>0</v>
      </c>
      <c r="DZ75" s="219">
        <f t="shared" si="32"/>
        <v>0</v>
      </c>
      <c r="EA75" s="219">
        <f t="shared" si="32"/>
        <v>0</v>
      </c>
      <c r="EB75" s="219">
        <f t="shared" si="32"/>
        <v>0</v>
      </c>
      <c r="EC75" s="219">
        <f t="shared" si="32"/>
        <v>0</v>
      </c>
      <c r="ED75" s="219">
        <f t="shared" si="32"/>
        <v>0</v>
      </c>
      <c r="EE75" s="219">
        <f t="shared" si="32"/>
        <v>0</v>
      </c>
      <c r="EF75" s="219">
        <f t="shared" si="32"/>
        <v>0</v>
      </c>
      <c r="EG75" s="219">
        <f t="shared" si="32"/>
        <v>0</v>
      </c>
      <c r="EH75" s="219">
        <f t="shared" si="32"/>
        <v>0</v>
      </c>
      <c r="EI75" s="219">
        <f t="shared" si="32"/>
        <v>0</v>
      </c>
      <c r="EJ75" s="219">
        <f t="shared" si="32"/>
        <v>0</v>
      </c>
    </row>
    <row r="76" spans="1:143" s="221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6"/>
      <c r="P76"/>
      <c r="Q76"/>
      <c r="R76"/>
      <c r="S76"/>
      <c r="T76"/>
      <c r="U76"/>
      <c r="V76"/>
      <c r="W76"/>
      <c r="X76" s="215"/>
      <c r="Y76" s="215"/>
      <c r="Z76" s="215"/>
      <c r="AA76" s="215"/>
      <c r="AB76" s="215"/>
      <c r="AC76" s="215"/>
      <c r="AD76" s="215"/>
      <c r="AE76" s="215"/>
      <c r="AF76" s="215"/>
      <c r="AG76" s="215" t="str">
        <f t="shared" si="25"/>
        <v>lot8</v>
      </c>
      <c r="AH76" s="219">
        <f t="shared" si="26"/>
        <v>0</v>
      </c>
      <c r="AI76" s="219">
        <f t="shared" si="26"/>
        <v>0</v>
      </c>
      <c r="AJ76" s="219">
        <f t="shared" si="26"/>
        <v>0</v>
      </c>
      <c r="AK76" s="219">
        <f t="shared" si="26"/>
        <v>0</v>
      </c>
      <c r="AL76" s="219">
        <f t="shared" si="26"/>
        <v>0</v>
      </c>
      <c r="AM76" s="219">
        <f t="shared" si="26"/>
        <v>0</v>
      </c>
      <c r="AN76" s="219">
        <f t="shared" si="26"/>
        <v>0</v>
      </c>
      <c r="AO76" s="219">
        <f t="shared" si="26"/>
        <v>0</v>
      </c>
      <c r="AP76" s="219">
        <f t="shared" si="26"/>
        <v>0</v>
      </c>
      <c r="AQ76" s="219">
        <f t="shared" si="26"/>
        <v>0</v>
      </c>
      <c r="AR76" s="219">
        <f t="shared" si="26"/>
        <v>0</v>
      </c>
      <c r="AS76" s="219">
        <f t="shared" si="26"/>
        <v>0</v>
      </c>
      <c r="AT76" s="219">
        <f t="shared" si="26"/>
        <v>0</v>
      </c>
      <c r="AU76" s="219">
        <f t="shared" si="26"/>
        <v>0</v>
      </c>
      <c r="AV76" s="219">
        <f t="shared" si="26"/>
        <v>0</v>
      </c>
      <c r="AW76" s="219">
        <f t="shared" si="26"/>
        <v>0</v>
      </c>
      <c r="AX76" s="219">
        <f t="shared" si="26"/>
        <v>0</v>
      </c>
      <c r="AY76" s="219">
        <f t="shared" si="26"/>
        <v>0</v>
      </c>
      <c r="AZ76" s="219">
        <f t="shared" si="26"/>
        <v>0</v>
      </c>
      <c r="BA76" s="219">
        <f t="shared" si="26"/>
        <v>0</v>
      </c>
      <c r="BB76" s="219">
        <f t="shared" si="26"/>
        <v>0</v>
      </c>
      <c r="BC76" s="219">
        <f t="shared" si="26"/>
        <v>0</v>
      </c>
      <c r="BD76" s="219">
        <f t="shared" si="26"/>
        <v>0</v>
      </c>
      <c r="BE76" s="219">
        <f t="shared" si="26"/>
        <v>0</v>
      </c>
      <c r="BF76" s="215"/>
      <c r="BG76" s="216"/>
      <c r="BH76" s="215">
        <f t="shared" si="27"/>
        <v>0</v>
      </c>
      <c r="BI76" s="215">
        <f t="shared" si="28"/>
        <v>0</v>
      </c>
      <c r="BJ76" s="215">
        <f t="shared" si="28"/>
        <v>0</v>
      </c>
      <c r="BK76" s="215">
        <f t="shared" si="28"/>
        <v>0</v>
      </c>
      <c r="BL76" s="215">
        <f t="shared" si="28"/>
        <v>0</v>
      </c>
      <c r="BM76" s="215">
        <f t="shared" si="28"/>
        <v>0</v>
      </c>
      <c r="BN76" s="215">
        <f t="shared" si="28"/>
        <v>0</v>
      </c>
      <c r="BO76" s="215">
        <f t="shared" si="28"/>
        <v>0</v>
      </c>
      <c r="BP76" s="215">
        <f t="shared" si="28"/>
        <v>0</v>
      </c>
      <c r="BQ76" s="215">
        <f t="shared" si="28"/>
        <v>0</v>
      </c>
      <c r="BR76" s="215">
        <f t="shared" si="28"/>
        <v>0</v>
      </c>
      <c r="BS76" s="215">
        <f t="shared" si="28"/>
        <v>0</v>
      </c>
      <c r="BT76" s="215">
        <f t="shared" si="28"/>
        <v>0</v>
      </c>
      <c r="BU76" s="215">
        <f t="shared" si="28"/>
        <v>0</v>
      </c>
      <c r="BV76" s="215">
        <f t="shared" si="28"/>
        <v>0</v>
      </c>
      <c r="BW76" s="215">
        <f t="shared" si="28"/>
        <v>0</v>
      </c>
      <c r="BX76" s="215">
        <f t="shared" si="28"/>
        <v>0</v>
      </c>
      <c r="BY76" s="215">
        <f t="shared" si="28"/>
        <v>0</v>
      </c>
      <c r="BZ76" s="215">
        <f t="shared" si="28"/>
        <v>0</v>
      </c>
      <c r="CA76" s="215">
        <f t="shared" si="28"/>
        <v>0</v>
      </c>
      <c r="CB76" s="215">
        <f t="shared" si="28"/>
        <v>0</v>
      </c>
      <c r="CC76" s="215">
        <f t="shared" si="28"/>
        <v>0</v>
      </c>
      <c r="CD76" s="215">
        <f t="shared" si="28"/>
        <v>0</v>
      </c>
      <c r="CE76" s="215">
        <f t="shared" si="28"/>
        <v>0</v>
      </c>
      <c r="CF76" s="215">
        <f t="shared" si="28"/>
        <v>0</v>
      </c>
      <c r="CG76" s="215"/>
      <c r="CH76" s="215"/>
      <c r="CI76" s="216"/>
      <c r="CJ76" s="215">
        <f t="shared" si="29"/>
        <v>0</v>
      </c>
      <c r="CK76" s="219">
        <f t="shared" si="30"/>
        <v>0</v>
      </c>
      <c r="CL76" s="219">
        <f t="shared" si="30"/>
        <v>0</v>
      </c>
      <c r="CM76" s="219">
        <f t="shared" si="30"/>
        <v>0</v>
      </c>
      <c r="CN76" s="219">
        <f t="shared" si="30"/>
        <v>0</v>
      </c>
      <c r="CO76" s="219">
        <f t="shared" si="30"/>
        <v>0</v>
      </c>
      <c r="CP76" s="219">
        <f t="shared" si="30"/>
        <v>0</v>
      </c>
      <c r="CQ76" s="219">
        <f t="shared" si="30"/>
        <v>0</v>
      </c>
      <c r="CR76" s="219">
        <f t="shared" si="30"/>
        <v>0</v>
      </c>
      <c r="CS76" s="219">
        <f t="shared" si="30"/>
        <v>0</v>
      </c>
      <c r="CT76" s="219">
        <f t="shared" si="30"/>
        <v>0</v>
      </c>
      <c r="CU76" s="219">
        <f t="shared" si="30"/>
        <v>0</v>
      </c>
      <c r="CV76" s="219">
        <f t="shared" si="30"/>
        <v>0</v>
      </c>
      <c r="CW76" s="219">
        <f t="shared" si="30"/>
        <v>0</v>
      </c>
      <c r="CX76" s="219">
        <f t="shared" si="30"/>
        <v>0</v>
      </c>
      <c r="CY76" s="219">
        <f t="shared" si="30"/>
        <v>0</v>
      </c>
      <c r="CZ76" s="219">
        <f t="shared" si="30"/>
        <v>0</v>
      </c>
      <c r="DA76" s="219">
        <f t="shared" si="30"/>
        <v>0</v>
      </c>
      <c r="DB76" s="219">
        <f t="shared" si="30"/>
        <v>0</v>
      </c>
      <c r="DC76" s="219">
        <f t="shared" si="30"/>
        <v>0</v>
      </c>
      <c r="DD76" s="219">
        <f t="shared" si="30"/>
        <v>0</v>
      </c>
      <c r="DE76" s="219">
        <f t="shared" si="30"/>
        <v>0</v>
      </c>
      <c r="DF76" s="219">
        <f t="shared" si="30"/>
        <v>0</v>
      </c>
      <c r="DG76" s="219">
        <f t="shared" si="30"/>
        <v>0</v>
      </c>
      <c r="DH76" s="219">
        <f t="shared" si="30"/>
        <v>0</v>
      </c>
      <c r="DI76" s="215"/>
      <c r="DJ76" s="215"/>
      <c r="DK76" s="216"/>
      <c r="DL76" s="215">
        <f t="shared" si="31"/>
        <v>0</v>
      </c>
      <c r="DM76" s="219">
        <f t="shared" si="32"/>
        <v>0</v>
      </c>
      <c r="DN76" s="219">
        <f t="shared" si="32"/>
        <v>0</v>
      </c>
      <c r="DO76" s="219">
        <f t="shared" si="32"/>
        <v>0</v>
      </c>
      <c r="DP76" s="219">
        <f t="shared" si="32"/>
        <v>0</v>
      </c>
      <c r="DQ76" s="219">
        <f t="shared" si="32"/>
        <v>0</v>
      </c>
      <c r="DR76" s="219">
        <f t="shared" si="32"/>
        <v>0</v>
      </c>
      <c r="DS76" s="219">
        <f t="shared" si="32"/>
        <v>0</v>
      </c>
      <c r="DT76" s="219">
        <f t="shared" si="32"/>
        <v>0</v>
      </c>
      <c r="DU76" s="219">
        <f t="shared" si="32"/>
        <v>0</v>
      </c>
      <c r="DV76" s="219">
        <f t="shared" si="32"/>
        <v>0</v>
      </c>
      <c r="DW76" s="219">
        <f t="shared" si="32"/>
        <v>0</v>
      </c>
      <c r="DX76" s="219">
        <f t="shared" si="32"/>
        <v>0</v>
      </c>
      <c r="DY76" s="219">
        <f t="shared" si="32"/>
        <v>0</v>
      </c>
      <c r="DZ76" s="219">
        <f t="shared" si="32"/>
        <v>0</v>
      </c>
      <c r="EA76" s="219">
        <f t="shared" si="32"/>
        <v>0</v>
      </c>
      <c r="EB76" s="219">
        <f t="shared" si="32"/>
        <v>0</v>
      </c>
      <c r="EC76" s="219">
        <f t="shared" si="32"/>
        <v>0</v>
      </c>
      <c r="ED76" s="219">
        <f t="shared" si="32"/>
        <v>0</v>
      </c>
      <c r="EE76" s="219">
        <f t="shared" si="32"/>
        <v>0</v>
      </c>
      <c r="EF76" s="219">
        <f t="shared" si="32"/>
        <v>0</v>
      </c>
      <c r="EG76" s="219">
        <f t="shared" si="32"/>
        <v>0</v>
      </c>
      <c r="EH76" s="219">
        <f t="shared" si="32"/>
        <v>0</v>
      </c>
      <c r="EI76" s="219">
        <f t="shared" si="32"/>
        <v>0</v>
      </c>
      <c r="EJ76" s="219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5"/>
      <c r="Y77" s="215"/>
      <c r="Z77" s="215"/>
      <c r="AA77" s="215"/>
      <c r="AB77" s="215"/>
      <c r="AC77" s="215"/>
      <c r="AD77" s="215"/>
      <c r="AE77" s="215"/>
      <c r="AF77" s="215"/>
      <c r="AG77" s="215" t="str">
        <f t="shared" si="25"/>
        <v>lot9</v>
      </c>
      <c r="AH77" s="219">
        <f t="shared" si="26"/>
        <v>0</v>
      </c>
      <c r="AI77" s="219">
        <f t="shared" si="26"/>
        <v>0</v>
      </c>
      <c r="AJ77" s="219">
        <f t="shared" si="26"/>
        <v>0</v>
      </c>
      <c r="AK77" s="219">
        <f t="shared" si="26"/>
        <v>0</v>
      </c>
      <c r="AL77" s="219">
        <f t="shared" si="26"/>
        <v>0</v>
      </c>
      <c r="AM77" s="219">
        <f t="shared" si="26"/>
        <v>0</v>
      </c>
      <c r="AN77" s="219">
        <f t="shared" si="26"/>
        <v>0</v>
      </c>
      <c r="AO77" s="219">
        <f t="shared" si="26"/>
        <v>0</v>
      </c>
      <c r="AP77" s="219">
        <f t="shared" si="26"/>
        <v>0</v>
      </c>
      <c r="AQ77" s="219">
        <f t="shared" si="26"/>
        <v>0</v>
      </c>
      <c r="AR77" s="219">
        <f t="shared" si="26"/>
        <v>0</v>
      </c>
      <c r="AS77" s="219">
        <f t="shared" si="26"/>
        <v>0</v>
      </c>
      <c r="AT77" s="219">
        <f t="shared" si="26"/>
        <v>0</v>
      </c>
      <c r="AU77" s="219">
        <f t="shared" si="26"/>
        <v>0</v>
      </c>
      <c r="AV77" s="219">
        <f t="shared" si="26"/>
        <v>0</v>
      </c>
      <c r="AW77" s="219">
        <f t="shared" si="26"/>
        <v>0</v>
      </c>
      <c r="AX77" s="219">
        <f t="shared" si="26"/>
        <v>0</v>
      </c>
      <c r="AY77" s="219">
        <f t="shared" si="26"/>
        <v>0</v>
      </c>
      <c r="AZ77" s="219">
        <f t="shared" si="26"/>
        <v>0</v>
      </c>
      <c r="BA77" s="219">
        <f t="shared" si="26"/>
        <v>0</v>
      </c>
      <c r="BB77" s="219">
        <f t="shared" si="26"/>
        <v>0</v>
      </c>
      <c r="BC77" s="219">
        <f t="shared" si="26"/>
        <v>0</v>
      </c>
      <c r="BD77" s="219">
        <f t="shared" si="26"/>
        <v>0</v>
      </c>
      <c r="BE77" s="219">
        <f t="shared" si="26"/>
        <v>0</v>
      </c>
      <c r="BF77" s="215"/>
      <c r="BG77" s="216"/>
      <c r="BH77" s="215">
        <f t="shared" si="27"/>
        <v>0</v>
      </c>
      <c r="BI77" s="215">
        <f t="shared" si="28"/>
        <v>0</v>
      </c>
      <c r="BJ77" s="215">
        <f t="shared" si="28"/>
        <v>0</v>
      </c>
      <c r="BK77" s="215">
        <f t="shared" si="28"/>
        <v>0</v>
      </c>
      <c r="BL77" s="215">
        <f t="shared" si="28"/>
        <v>0</v>
      </c>
      <c r="BM77" s="215">
        <f t="shared" si="28"/>
        <v>0</v>
      </c>
      <c r="BN77" s="215">
        <f t="shared" si="28"/>
        <v>0</v>
      </c>
      <c r="BO77" s="215">
        <f t="shared" si="28"/>
        <v>0</v>
      </c>
      <c r="BP77" s="215">
        <f t="shared" si="28"/>
        <v>0</v>
      </c>
      <c r="BQ77" s="215">
        <f t="shared" si="28"/>
        <v>0</v>
      </c>
      <c r="BR77" s="215">
        <f t="shared" si="28"/>
        <v>0</v>
      </c>
      <c r="BS77" s="215">
        <f t="shared" si="28"/>
        <v>0</v>
      </c>
      <c r="BT77" s="215">
        <f t="shared" si="28"/>
        <v>0</v>
      </c>
      <c r="BU77" s="215">
        <f t="shared" si="28"/>
        <v>0</v>
      </c>
      <c r="BV77" s="215">
        <f t="shared" si="28"/>
        <v>0</v>
      </c>
      <c r="BW77" s="215">
        <f t="shared" si="28"/>
        <v>0</v>
      </c>
      <c r="BX77" s="215">
        <f t="shared" si="28"/>
        <v>0</v>
      </c>
      <c r="BY77" s="215">
        <f t="shared" si="28"/>
        <v>0</v>
      </c>
      <c r="BZ77" s="215">
        <f t="shared" si="28"/>
        <v>0</v>
      </c>
      <c r="CA77" s="215">
        <f t="shared" si="28"/>
        <v>0</v>
      </c>
      <c r="CB77" s="215">
        <f t="shared" si="28"/>
        <v>0</v>
      </c>
      <c r="CC77" s="215">
        <f t="shared" si="28"/>
        <v>0</v>
      </c>
      <c r="CD77" s="215">
        <f t="shared" si="28"/>
        <v>0</v>
      </c>
      <c r="CE77" s="215">
        <f t="shared" si="28"/>
        <v>0</v>
      </c>
      <c r="CF77" s="215">
        <f t="shared" si="28"/>
        <v>0</v>
      </c>
      <c r="CG77" s="215"/>
      <c r="CH77" s="215"/>
      <c r="CI77" s="216"/>
      <c r="CJ77" s="215">
        <f t="shared" si="29"/>
        <v>0</v>
      </c>
      <c r="CK77" s="219">
        <f t="shared" si="30"/>
        <v>0</v>
      </c>
      <c r="CL77" s="219">
        <f t="shared" si="30"/>
        <v>0</v>
      </c>
      <c r="CM77" s="219">
        <f t="shared" si="30"/>
        <v>0</v>
      </c>
      <c r="CN77" s="219">
        <f t="shared" si="30"/>
        <v>0</v>
      </c>
      <c r="CO77" s="219">
        <f t="shared" si="30"/>
        <v>0</v>
      </c>
      <c r="CP77" s="219">
        <f t="shared" si="30"/>
        <v>0</v>
      </c>
      <c r="CQ77" s="219">
        <f t="shared" si="30"/>
        <v>0</v>
      </c>
      <c r="CR77" s="219">
        <f t="shared" si="30"/>
        <v>0</v>
      </c>
      <c r="CS77" s="219">
        <f t="shared" si="30"/>
        <v>0</v>
      </c>
      <c r="CT77" s="219">
        <f t="shared" si="30"/>
        <v>0</v>
      </c>
      <c r="CU77" s="219">
        <f t="shared" si="30"/>
        <v>0</v>
      </c>
      <c r="CV77" s="219">
        <f t="shared" si="30"/>
        <v>0</v>
      </c>
      <c r="CW77" s="219">
        <f t="shared" si="30"/>
        <v>0</v>
      </c>
      <c r="CX77" s="219">
        <f t="shared" si="30"/>
        <v>0</v>
      </c>
      <c r="CY77" s="219">
        <f t="shared" si="30"/>
        <v>0</v>
      </c>
      <c r="CZ77" s="219">
        <f t="shared" si="30"/>
        <v>0</v>
      </c>
      <c r="DA77" s="219">
        <f t="shared" si="30"/>
        <v>0</v>
      </c>
      <c r="DB77" s="219">
        <f t="shared" si="30"/>
        <v>0</v>
      </c>
      <c r="DC77" s="219">
        <f t="shared" si="30"/>
        <v>0</v>
      </c>
      <c r="DD77" s="219">
        <f t="shared" si="30"/>
        <v>0</v>
      </c>
      <c r="DE77" s="219">
        <f t="shared" si="30"/>
        <v>0</v>
      </c>
      <c r="DF77" s="219">
        <f t="shared" si="30"/>
        <v>0</v>
      </c>
      <c r="DG77" s="219">
        <f t="shared" si="30"/>
        <v>0</v>
      </c>
      <c r="DH77" s="219">
        <f t="shared" si="30"/>
        <v>0</v>
      </c>
      <c r="DI77" s="215"/>
      <c r="DJ77" s="215"/>
      <c r="DK77" s="216"/>
      <c r="DL77" s="215">
        <f t="shared" si="31"/>
        <v>0</v>
      </c>
      <c r="DM77" s="219">
        <f t="shared" si="32"/>
        <v>0</v>
      </c>
      <c r="DN77" s="219">
        <f t="shared" si="32"/>
        <v>0</v>
      </c>
      <c r="DO77" s="219">
        <f t="shared" si="32"/>
        <v>0</v>
      </c>
      <c r="DP77" s="219">
        <f t="shared" si="32"/>
        <v>0</v>
      </c>
      <c r="DQ77" s="219">
        <f t="shared" si="32"/>
        <v>0</v>
      </c>
      <c r="DR77" s="219">
        <f t="shared" si="32"/>
        <v>0</v>
      </c>
      <c r="DS77" s="219">
        <f t="shared" si="32"/>
        <v>0</v>
      </c>
      <c r="DT77" s="219">
        <f t="shared" si="32"/>
        <v>0</v>
      </c>
      <c r="DU77" s="219">
        <f t="shared" si="32"/>
        <v>0</v>
      </c>
      <c r="DV77" s="219">
        <f t="shared" si="32"/>
        <v>0</v>
      </c>
      <c r="DW77" s="219">
        <f t="shared" si="32"/>
        <v>0</v>
      </c>
      <c r="DX77" s="219">
        <f t="shared" si="32"/>
        <v>0</v>
      </c>
      <c r="DY77" s="219">
        <f t="shared" si="32"/>
        <v>0</v>
      </c>
      <c r="DZ77" s="219">
        <f t="shared" si="32"/>
        <v>0</v>
      </c>
      <c r="EA77" s="219">
        <f t="shared" si="32"/>
        <v>0</v>
      </c>
      <c r="EB77" s="219">
        <f t="shared" si="32"/>
        <v>0</v>
      </c>
      <c r="EC77" s="219">
        <f t="shared" si="32"/>
        <v>0</v>
      </c>
      <c r="ED77" s="219">
        <f t="shared" si="32"/>
        <v>0</v>
      </c>
      <c r="EE77" s="219">
        <f t="shared" si="32"/>
        <v>0</v>
      </c>
      <c r="EF77" s="219">
        <f t="shared" si="32"/>
        <v>0</v>
      </c>
      <c r="EG77" s="219">
        <f t="shared" si="32"/>
        <v>0</v>
      </c>
      <c r="EH77" s="219">
        <f t="shared" si="32"/>
        <v>0</v>
      </c>
      <c r="EI77" s="219">
        <f t="shared" si="32"/>
        <v>0</v>
      </c>
      <c r="EJ77" s="219">
        <f t="shared" si="32"/>
        <v>0</v>
      </c>
    </row>
    <row r="78" spans="1:143" x14ac:dyDescent="0.25">
      <c r="A78" s="223" t="s">
        <v>1046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7"/>
      <c r="X78" s="215"/>
      <c r="Y78" s="215"/>
      <c r="Z78" s="215"/>
      <c r="AA78" s="215"/>
      <c r="AB78" s="215"/>
      <c r="AC78" s="215"/>
      <c r="AD78" s="215"/>
      <c r="AE78" s="215"/>
      <c r="AF78" s="215"/>
      <c r="AG78" s="215" t="str">
        <f t="shared" si="25"/>
        <v>lot10</v>
      </c>
      <c r="AH78" s="219">
        <f t="shared" si="26"/>
        <v>0</v>
      </c>
      <c r="AI78" s="219">
        <f t="shared" si="26"/>
        <v>0</v>
      </c>
      <c r="AJ78" s="219">
        <f t="shared" si="26"/>
        <v>0</v>
      </c>
      <c r="AK78" s="219">
        <f t="shared" si="26"/>
        <v>0</v>
      </c>
      <c r="AL78" s="219">
        <f t="shared" si="26"/>
        <v>0</v>
      </c>
      <c r="AM78" s="219">
        <f t="shared" si="26"/>
        <v>0</v>
      </c>
      <c r="AN78" s="219">
        <f t="shared" si="26"/>
        <v>0</v>
      </c>
      <c r="AO78" s="219">
        <f t="shared" si="26"/>
        <v>0</v>
      </c>
      <c r="AP78" s="219">
        <f t="shared" si="26"/>
        <v>0</v>
      </c>
      <c r="AQ78" s="219">
        <f t="shared" si="26"/>
        <v>0</v>
      </c>
      <c r="AR78" s="219">
        <f t="shared" si="26"/>
        <v>0</v>
      </c>
      <c r="AS78" s="219">
        <f t="shared" si="26"/>
        <v>0</v>
      </c>
      <c r="AT78" s="219">
        <f t="shared" si="26"/>
        <v>0</v>
      </c>
      <c r="AU78" s="219">
        <f t="shared" si="26"/>
        <v>0</v>
      </c>
      <c r="AV78" s="219">
        <f t="shared" si="26"/>
        <v>0</v>
      </c>
      <c r="AW78" s="219">
        <f t="shared" si="26"/>
        <v>0</v>
      </c>
      <c r="AX78" s="219">
        <f t="shared" si="26"/>
        <v>0</v>
      </c>
      <c r="AY78" s="219">
        <f t="shared" si="26"/>
        <v>0</v>
      </c>
      <c r="AZ78" s="219">
        <f t="shared" si="26"/>
        <v>0</v>
      </c>
      <c r="BA78" s="219">
        <f t="shared" si="26"/>
        <v>0</v>
      </c>
      <c r="BB78" s="219">
        <f t="shared" si="26"/>
        <v>0</v>
      </c>
      <c r="BC78" s="219">
        <f t="shared" si="26"/>
        <v>0</v>
      </c>
      <c r="BD78" s="219">
        <f t="shared" si="26"/>
        <v>0</v>
      </c>
      <c r="BE78" s="219">
        <f t="shared" si="26"/>
        <v>0</v>
      </c>
      <c r="BF78" s="215"/>
      <c r="BG78" s="216"/>
      <c r="BH78" s="215">
        <f t="shared" si="27"/>
        <v>0</v>
      </c>
      <c r="BI78" s="215">
        <f t="shared" si="28"/>
        <v>0</v>
      </c>
      <c r="BJ78" s="215">
        <f t="shared" si="28"/>
        <v>0</v>
      </c>
      <c r="BK78" s="215">
        <f t="shared" si="28"/>
        <v>0</v>
      </c>
      <c r="BL78" s="215">
        <f t="shared" si="28"/>
        <v>0</v>
      </c>
      <c r="BM78" s="215">
        <f t="shared" si="28"/>
        <v>0</v>
      </c>
      <c r="BN78" s="215">
        <f t="shared" si="28"/>
        <v>0</v>
      </c>
      <c r="BO78" s="215">
        <f t="shared" si="28"/>
        <v>0</v>
      </c>
      <c r="BP78" s="215">
        <f t="shared" si="28"/>
        <v>0</v>
      </c>
      <c r="BQ78" s="215">
        <f t="shared" si="28"/>
        <v>0</v>
      </c>
      <c r="BR78" s="215">
        <f t="shared" si="28"/>
        <v>0</v>
      </c>
      <c r="BS78" s="215">
        <f t="shared" si="28"/>
        <v>0</v>
      </c>
      <c r="BT78" s="215">
        <f t="shared" si="28"/>
        <v>0</v>
      </c>
      <c r="BU78" s="215">
        <f t="shared" si="28"/>
        <v>0</v>
      </c>
      <c r="BV78" s="215">
        <f t="shared" si="28"/>
        <v>0</v>
      </c>
      <c r="BW78" s="215">
        <f t="shared" si="28"/>
        <v>0</v>
      </c>
      <c r="BX78" s="215">
        <f t="shared" si="28"/>
        <v>0</v>
      </c>
      <c r="BY78" s="215">
        <f t="shared" si="28"/>
        <v>0</v>
      </c>
      <c r="BZ78" s="215">
        <f t="shared" si="28"/>
        <v>0</v>
      </c>
      <c r="CA78" s="215">
        <f t="shared" si="28"/>
        <v>0</v>
      </c>
      <c r="CB78" s="215">
        <f t="shared" si="28"/>
        <v>0</v>
      </c>
      <c r="CC78" s="215">
        <f t="shared" si="28"/>
        <v>0</v>
      </c>
      <c r="CD78" s="215">
        <f t="shared" si="28"/>
        <v>0</v>
      </c>
      <c r="CE78" s="215">
        <f t="shared" si="28"/>
        <v>0</v>
      </c>
      <c r="CF78" s="215">
        <f t="shared" si="28"/>
        <v>0</v>
      </c>
      <c r="CG78" s="215"/>
      <c r="CH78" s="215"/>
      <c r="CI78" s="216"/>
      <c r="CJ78" s="215">
        <f t="shared" si="29"/>
        <v>0</v>
      </c>
      <c r="CK78" s="219">
        <f t="shared" si="30"/>
        <v>0</v>
      </c>
      <c r="CL78" s="219">
        <f t="shared" si="30"/>
        <v>0</v>
      </c>
      <c r="CM78" s="219">
        <f t="shared" si="30"/>
        <v>0</v>
      </c>
      <c r="CN78" s="219">
        <f t="shared" si="30"/>
        <v>0</v>
      </c>
      <c r="CO78" s="219">
        <f t="shared" si="30"/>
        <v>0</v>
      </c>
      <c r="CP78" s="219">
        <f t="shared" si="30"/>
        <v>0</v>
      </c>
      <c r="CQ78" s="219">
        <f t="shared" si="30"/>
        <v>0</v>
      </c>
      <c r="CR78" s="219">
        <f t="shared" si="30"/>
        <v>0</v>
      </c>
      <c r="CS78" s="219">
        <f t="shared" si="30"/>
        <v>0</v>
      </c>
      <c r="CT78" s="219">
        <f t="shared" si="30"/>
        <v>0</v>
      </c>
      <c r="CU78" s="219">
        <f t="shared" si="30"/>
        <v>0</v>
      </c>
      <c r="CV78" s="219">
        <f t="shared" si="30"/>
        <v>0</v>
      </c>
      <c r="CW78" s="219">
        <f t="shared" si="30"/>
        <v>0</v>
      </c>
      <c r="CX78" s="219">
        <f t="shared" si="30"/>
        <v>0</v>
      </c>
      <c r="CY78" s="219">
        <f t="shared" si="30"/>
        <v>0</v>
      </c>
      <c r="CZ78" s="219">
        <f t="shared" si="30"/>
        <v>0</v>
      </c>
      <c r="DA78" s="219">
        <f t="shared" si="30"/>
        <v>0</v>
      </c>
      <c r="DB78" s="219">
        <f t="shared" si="30"/>
        <v>0</v>
      </c>
      <c r="DC78" s="219">
        <f t="shared" si="30"/>
        <v>0</v>
      </c>
      <c r="DD78" s="219">
        <f t="shared" si="30"/>
        <v>0</v>
      </c>
      <c r="DE78" s="219">
        <f t="shared" si="30"/>
        <v>0</v>
      </c>
      <c r="DF78" s="219">
        <f t="shared" si="30"/>
        <v>0</v>
      </c>
      <c r="DG78" s="219">
        <f t="shared" si="30"/>
        <v>0</v>
      </c>
      <c r="DH78" s="219">
        <f t="shared" si="30"/>
        <v>0</v>
      </c>
      <c r="DI78" s="215"/>
      <c r="DJ78" s="215"/>
      <c r="DK78" s="216"/>
      <c r="DL78" s="215">
        <f t="shared" si="31"/>
        <v>0</v>
      </c>
      <c r="DM78" s="219">
        <f t="shared" si="32"/>
        <v>0</v>
      </c>
      <c r="DN78" s="219">
        <f t="shared" si="32"/>
        <v>0</v>
      </c>
      <c r="DO78" s="219">
        <f t="shared" si="32"/>
        <v>0</v>
      </c>
      <c r="DP78" s="219">
        <f t="shared" si="32"/>
        <v>0</v>
      </c>
      <c r="DQ78" s="219">
        <f t="shared" si="32"/>
        <v>0</v>
      </c>
      <c r="DR78" s="219">
        <f t="shared" si="32"/>
        <v>0</v>
      </c>
      <c r="DS78" s="219">
        <f t="shared" si="32"/>
        <v>0</v>
      </c>
      <c r="DT78" s="219">
        <f t="shared" si="32"/>
        <v>0</v>
      </c>
      <c r="DU78" s="219">
        <f t="shared" si="32"/>
        <v>0</v>
      </c>
      <c r="DV78" s="219">
        <f t="shared" si="32"/>
        <v>0</v>
      </c>
      <c r="DW78" s="219">
        <f t="shared" si="32"/>
        <v>0</v>
      </c>
      <c r="DX78" s="219">
        <f t="shared" si="32"/>
        <v>0</v>
      </c>
      <c r="DY78" s="219">
        <f t="shared" si="32"/>
        <v>0</v>
      </c>
      <c r="DZ78" s="219">
        <f t="shared" si="32"/>
        <v>0</v>
      </c>
      <c r="EA78" s="219">
        <f t="shared" si="32"/>
        <v>0</v>
      </c>
      <c r="EB78" s="219">
        <f t="shared" si="32"/>
        <v>0</v>
      </c>
      <c r="EC78" s="219">
        <f t="shared" si="32"/>
        <v>0</v>
      </c>
      <c r="ED78" s="219">
        <f t="shared" si="32"/>
        <v>0</v>
      </c>
      <c r="EE78" s="219">
        <f t="shared" si="32"/>
        <v>0</v>
      </c>
      <c r="EF78" s="219">
        <f t="shared" si="32"/>
        <v>0</v>
      </c>
      <c r="EG78" s="219">
        <f t="shared" si="32"/>
        <v>0</v>
      </c>
      <c r="EH78" s="219">
        <f t="shared" si="32"/>
        <v>0</v>
      </c>
      <c r="EI78" s="219">
        <f t="shared" si="32"/>
        <v>0</v>
      </c>
      <c r="EJ78" s="219">
        <f t="shared" si="32"/>
        <v>0</v>
      </c>
    </row>
    <row r="79" spans="1:143" x14ac:dyDescent="0.25">
      <c r="X79" s="215"/>
      <c r="Y79" s="215"/>
      <c r="Z79" s="215"/>
      <c r="AA79" s="215"/>
      <c r="AB79" s="215"/>
      <c r="AC79" s="215"/>
      <c r="AD79" s="215"/>
      <c r="AE79" s="215"/>
      <c r="AF79" s="215" t="s">
        <v>1047</v>
      </c>
      <c r="AG79" s="217">
        <f>SUM(AH69:BE78)</f>
        <v>0</v>
      </c>
      <c r="AH79" s="215" t="s">
        <v>1048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6" t="s">
        <v>1047</v>
      </c>
      <c r="BH79" s="215">
        <f>SUM(BI69:CF78)</f>
        <v>0</v>
      </c>
      <c r="BI79" s="215" t="s">
        <v>1048</v>
      </c>
      <c r="BJ79" s="215"/>
      <c r="BK79" s="215"/>
      <c r="BL79" s="215"/>
      <c r="BM79" s="215"/>
      <c r="BN79" s="215"/>
      <c r="BO79" s="215"/>
      <c r="BP79" s="215"/>
      <c r="BQ79" s="215"/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6" t="s">
        <v>1047</v>
      </c>
      <c r="CJ79" s="215">
        <f>SUM(CK69:DH78)</f>
        <v>0</v>
      </c>
      <c r="CK79" s="215" t="s">
        <v>1048</v>
      </c>
      <c r="CL79" s="215"/>
      <c r="CM79" s="215"/>
      <c r="CN79" s="215"/>
      <c r="CO79" s="215"/>
      <c r="CP79" s="215"/>
      <c r="CQ79" s="215"/>
      <c r="CR79" s="215"/>
      <c r="CS79" s="215"/>
      <c r="CT79" s="215"/>
      <c r="CU79" s="215"/>
      <c r="CV79" s="215"/>
      <c r="CW79" s="215"/>
      <c r="CX79" s="215"/>
      <c r="CY79" s="215"/>
      <c r="CZ79" s="215"/>
      <c r="DA79" s="215"/>
      <c r="DB79" s="215"/>
      <c r="DC79" s="215"/>
      <c r="DD79" s="215"/>
      <c r="DE79" s="215"/>
      <c r="DF79" s="215"/>
      <c r="DG79" s="215"/>
      <c r="DH79" s="215"/>
      <c r="DI79" s="215"/>
      <c r="DJ79" s="215"/>
      <c r="DK79" s="216" t="s">
        <v>1047</v>
      </c>
      <c r="DL79" s="215">
        <f>SUM(DM69:EJ78)</f>
        <v>0</v>
      </c>
      <c r="DM79" s="215" t="s">
        <v>1048</v>
      </c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</row>
    <row r="80" spans="1:143" x14ac:dyDescent="0.25">
      <c r="A80" s="2" t="s">
        <v>1049</v>
      </c>
      <c r="D80" s="33" t="s">
        <v>1050</v>
      </c>
      <c r="X80" s="215"/>
      <c r="Y80" s="215"/>
      <c r="Z80" s="215"/>
      <c r="AA80" s="215"/>
      <c r="AB80" s="215"/>
      <c r="AC80" s="215"/>
      <c r="AD80" s="215"/>
      <c r="AE80" s="215"/>
      <c r="AF80" s="216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6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  <c r="CP80" s="215"/>
      <c r="CQ80" s="215"/>
      <c r="CR80" s="215"/>
      <c r="CS80" s="215"/>
      <c r="CT80" s="215"/>
      <c r="CU80" s="215"/>
      <c r="CV80" s="215"/>
      <c r="CW80" s="215"/>
      <c r="CX80" s="215"/>
      <c r="CY80" s="215"/>
      <c r="CZ80" s="215"/>
      <c r="DA80" s="215"/>
      <c r="DB80" s="215"/>
      <c r="DC80" s="215"/>
      <c r="DD80" s="215"/>
      <c r="DE80" s="215"/>
      <c r="DF80" s="215"/>
      <c r="DG80" s="215"/>
      <c r="DH80" s="215"/>
      <c r="DI80" s="215"/>
      <c r="DJ80" s="215"/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</row>
    <row r="81" spans="1:143" x14ac:dyDescent="0.25">
      <c r="A81" s="2" t="s">
        <v>1051</v>
      </c>
      <c r="C81" s="36" t="s">
        <v>1052</v>
      </c>
      <c r="D81" s="170" t="str">
        <f>Troupeau!B3</f>
        <v>OL</v>
      </c>
      <c r="E81" s="170">
        <f>Troupeau!C3</f>
        <v>0</v>
      </c>
      <c r="F81" s="170">
        <f>Troupeau!D3</f>
        <v>0</v>
      </c>
      <c r="J81" s="170" t="s">
        <v>13</v>
      </c>
      <c r="K81" s="170" t="str">
        <f>Troupeau!B3</f>
        <v>OL</v>
      </c>
      <c r="L81" s="170">
        <f>Troupeau!C3</f>
        <v>0</v>
      </c>
      <c r="M81" s="170">
        <f>Troupeau!D3</f>
        <v>0</v>
      </c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175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19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C81" s="221"/>
      <c r="CD81" s="221"/>
      <c r="CE81" s="221"/>
      <c r="CF81" s="221"/>
      <c r="CG81" s="221"/>
      <c r="CH81" s="221"/>
      <c r="CI81" s="221"/>
      <c r="CJ81" s="221"/>
      <c r="CK81" s="221"/>
      <c r="CL81" s="221"/>
      <c r="CM81" s="221"/>
      <c r="CN81" s="221"/>
      <c r="CO81" s="221"/>
      <c r="CP81" s="221"/>
      <c r="CQ81" s="221"/>
      <c r="CR81" s="221"/>
      <c r="CS81" s="221"/>
      <c r="CT81" s="221"/>
      <c r="CU81" s="221"/>
      <c r="CV81" s="221"/>
      <c r="CW81" s="221"/>
      <c r="CX81" s="221"/>
      <c r="CY81" s="221"/>
      <c r="CZ81" s="221"/>
      <c r="DA81" s="221"/>
      <c r="DB81" s="221"/>
      <c r="DC81" s="221"/>
      <c r="DD81" s="221"/>
      <c r="DE81" s="221"/>
      <c r="DF81" s="221"/>
      <c r="DG81" s="221"/>
      <c r="DH81" s="221"/>
      <c r="DI81" s="221"/>
      <c r="DJ81" s="221"/>
      <c r="DK81" s="221"/>
      <c r="DL81" s="221"/>
      <c r="DM81" s="221"/>
      <c r="DN81" s="221"/>
      <c r="DO81" s="221"/>
      <c r="DP81" s="221"/>
      <c r="DQ81" s="221"/>
      <c r="DR81" s="221"/>
      <c r="DS81" s="221"/>
      <c r="DT81" s="221"/>
      <c r="DU81" s="221"/>
      <c r="DV81" s="221"/>
      <c r="DW81" s="221"/>
      <c r="DX81" s="221"/>
      <c r="DY81" s="221"/>
      <c r="DZ81" s="221"/>
      <c r="EA81" s="221"/>
      <c r="EB81" s="221"/>
      <c r="EC81" s="221"/>
      <c r="ED81" s="221"/>
      <c r="EE81" s="221"/>
      <c r="EF81" s="221"/>
      <c r="EG81" s="221"/>
      <c r="EH81" s="221"/>
      <c r="EI81" s="221"/>
      <c r="EJ81" s="221"/>
      <c r="EK81" s="221"/>
      <c r="EL81" s="221"/>
      <c r="EM81" s="221"/>
    </row>
    <row r="82" spans="1:143" x14ac:dyDescent="0.25">
      <c r="A82" s="221" t="str">
        <f>'Conduite Trp'!B11</f>
        <v>1 -maïs-grain</v>
      </c>
      <c r="C82" s="187">
        <f>[1]Conc!$D5</f>
        <v>200</v>
      </c>
      <c r="D82" s="172">
        <f>BY89+CC89</f>
        <v>36.400000000000006</v>
      </c>
      <c r="E82" s="172">
        <f t="shared" ref="E82:F97" si="33">BZ89+CD89</f>
        <v>0</v>
      </c>
      <c r="F82" s="172">
        <f t="shared" si="33"/>
        <v>0</v>
      </c>
      <c r="J82" s="172">
        <f>SUM(K82:M82)</f>
        <v>7280.0000000000009</v>
      </c>
      <c r="K82" s="172">
        <f>$C82*D82</f>
        <v>7280.0000000000009</v>
      </c>
      <c r="L82" s="172">
        <f t="shared" ref="L82:M97" si="34">$C82*E82</f>
        <v>0</v>
      </c>
      <c r="M82" s="172">
        <f t="shared" si="34"/>
        <v>0</v>
      </c>
      <c r="X82" s="14" t="s">
        <v>1053</v>
      </c>
      <c r="Y82" s="172">
        <f>B14</f>
        <v>0</v>
      </c>
    </row>
    <row r="83" spans="1:143" x14ac:dyDescent="0.25">
      <c r="A83" s="221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8.1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1336.5</v>
      </c>
      <c r="K83" s="172">
        <f t="shared" ref="K83:M106" si="37">$C83*D83</f>
        <v>1336.5</v>
      </c>
      <c r="L83" s="172">
        <f t="shared" si="34"/>
        <v>0</v>
      </c>
      <c r="M83" s="172">
        <f t="shared" si="34"/>
        <v>0</v>
      </c>
      <c r="Q83" s="2" t="s">
        <v>1054</v>
      </c>
      <c r="X83" s="14" t="s">
        <v>1055</v>
      </c>
      <c r="Y83" s="172">
        <f>U12</f>
        <v>0</v>
      </c>
    </row>
    <row r="84" spans="1:143" x14ac:dyDescent="0.25">
      <c r="A84" s="221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1056</v>
      </c>
      <c r="Y84" s="172">
        <f>V12</f>
        <v>0</v>
      </c>
    </row>
    <row r="85" spans="1:143" x14ac:dyDescent="0.25">
      <c r="A85" s="221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1057</v>
      </c>
      <c r="Y85" s="172">
        <f>W12</f>
        <v>0</v>
      </c>
    </row>
    <row r="86" spans="1:143" x14ac:dyDescent="0.25">
      <c r="A86" s="221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1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1058</v>
      </c>
      <c r="AB87" t="s">
        <v>87</v>
      </c>
      <c r="AL87"/>
      <c r="BG87"/>
      <c r="BY87" t="s">
        <v>954</v>
      </c>
      <c r="CC87" t="s">
        <v>1059</v>
      </c>
    </row>
    <row r="88" spans="1:143" x14ac:dyDescent="0.25">
      <c r="A88" s="221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1060</v>
      </c>
      <c r="Z88" t="s">
        <v>730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928</v>
      </c>
      <c r="BZ88" s="170" t="s">
        <v>944</v>
      </c>
      <c r="CA88" s="170" t="s">
        <v>945</v>
      </c>
      <c r="CB88" s="170"/>
      <c r="CC88" s="170" t="s">
        <v>928</v>
      </c>
      <c r="CD88" s="170" t="s">
        <v>944</v>
      </c>
      <c r="CE88" s="170" t="s">
        <v>945</v>
      </c>
    </row>
    <row r="89" spans="1:143" x14ac:dyDescent="0.25">
      <c r="A89" s="221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8">
        <v>36</v>
      </c>
      <c r="U89" s="228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36.400000000000006</v>
      </c>
      <c r="CD89" s="172">
        <f>CdTrp2!AK$54</f>
        <v>0</v>
      </c>
      <c r="CE89" s="172">
        <f>CdTrp3!AK$54</f>
        <v>0</v>
      </c>
    </row>
    <row r="90" spans="1:143" x14ac:dyDescent="0.25">
      <c r="A90" s="221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8">
        <v>37</v>
      </c>
      <c r="U90" s="228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8.1</v>
      </c>
      <c r="CD90" s="172">
        <f>CdTrp2!AL$54</f>
        <v>0</v>
      </c>
      <c r="CE90" s="172">
        <f>CdTrp3!AL$54</f>
        <v>0</v>
      </c>
    </row>
    <row r="91" spans="1:143" x14ac:dyDescent="0.25">
      <c r="A91" s="221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8">
        <v>38</v>
      </c>
      <c r="U91" s="228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1" t="str">
        <f>'Conduite Trp'!B21</f>
        <v xml:space="preserve">11 -correcteur N brebis lait </v>
      </c>
      <c r="C92" s="187">
        <f>[1]Conc!$D15</f>
        <v>416</v>
      </c>
      <c r="D92" s="172">
        <f t="shared" si="35"/>
        <v>5.8</v>
      </c>
      <c r="E92" s="172">
        <f t="shared" si="33"/>
        <v>0</v>
      </c>
      <c r="F92" s="172">
        <f t="shared" si="33"/>
        <v>0</v>
      </c>
      <c r="J92" s="172">
        <f t="shared" si="36"/>
        <v>2412.7999999999997</v>
      </c>
      <c r="K92" s="172">
        <f t="shared" si="37"/>
        <v>2412.7999999999997</v>
      </c>
      <c r="L92" s="172">
        <f t="shared" si="34"/>
        <v>0</v>
      </c>
      <c r="M92" s="172">
        <f t="shared" si="34"/>
        <v>0</v>
      </c>
      <c r="R92" t="s">
        <v>380</v>
      </c>
      <c r="T92" s="228">
        <v>39</v>
      </c>
      <c r="U92" s="228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1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8">
        <v>40</v>
      </c>
      <c r="U93" s="228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1" t="str">
        <f>'Conduite Trp'!B23</f>
        <v>13 -aliment complet brebis lait</v>
      </c>
      <c r="C94" s="187">
        <f>[1]Conc!$D17</f>
        <v>308</v>
      </c>
      <c r="D94" s="172">
        <f t="shared" si="35"/>
        <v>5</v>
      </c>
      <c r="E94" s="172">
        <f t="shared" si="33"/>
        <v>0</v>
      </c>
      <c r="F94" s="172">
        <f t="shared" si="33"/>
        <v>0</v>
      </c>
      <c r="J94" s="172">
        <f t="shared" si="36"/>
        <v>1540</v>
      </c>
      <c r="K94" s="172">
        <f t="shared" si="37"/>
        <v>1540</v>
      </c>
      <c r="L94" s="172">
        <f t="shared" si="34"/>
        <v>0</v>
      </c>
      <c r="M94" s="172">
        <f t="shared" si="34"/>
        <v>0</v>
      </c>
      <c r="AB94" s="229">
        <f>SUM(AB89:AB93)</f>
        <v>0</v>
      </c>
      <c r="AC94" s="229">
        <f t="shared" ref="AC94:BV94" si="42">SUM(AC89:AC93)</f>
        <v>0</v>
      </c>
      <c r="AD94" s="229">
        <f t="shared" si="42"/>
        <v>0</v>
      </c>
      <c r="AE94" s="229">
        <f t="shared" si="42"/>
        <v>0</v>
      </c>
      <c r="AF94" s="229">
        <f t="shared" si="42"/>
        <v>0</v>
      </c>
      <c r="AG94" s="229">
        <f t="shared" si="42"/>
        <v>0</v>
      </c>
      <c r="AH94" s="229">
        <f t="shared" si="42"/>
        <v>0</v>
      </c>
      <c r="AI94" s="229">
        <f t="shared" si="42"/>
        <v>0</v>
      </c>
      <c r="AJ94" s="229">
        <f t="shared" si="42"/>
        <v>0</v>
      </c>
      <c r="AK94" s="229">
        <f t="shared" si="42"/>
        <v>0</v>
      </c>
      <c r="AL94" s="229">
        <f t="shared" si="42"/>
        <v>0</v>
      </c>
      <c r="AM94" s="229">
        <f t="shared" si="42"/>
        <v>0</v>
      </c>
      <c r="AN94" s="229">
        <f t="shared" si="42"/>
        <v>0</v>
      </c>
      <c r="AO94" s="229">
        <f t="shared" si="42"/>
        <v>0</v>
      </c>
      <c r="AP94" s="229">
        <f t="shared" si="42"/>
        <v>0</v>
      </c>
      <c r="AQ94" s="229">
        <f t="shared" si="42"/>
        <v>0</v>
      </c>
      <c r="AR94" s="229">
        <f t="shared" si="42"/>
        <v>0</v>
      </c>
      <c r="AS94" s="229">
        <f t="shared" si="42"/>
        <v>0</v>
      </c>
      <c r="AT94" s="229">
        <f t="shared" si="42"/>
        <v>0</v>
      </c>
      <c r="AU94" s="229">
        <f t="shared" si="42"/>
        <v>0</v>
      </c>
      <c r="AV94" s="229">
        <f t="shared" si="42"/>
        <v>0</v>
      </c>
      <c r="AW94" s="229">
        <f t="shared" si="42"/>
        <v>0</v>
      </c>
      <c r="AX94" s="229">
        <f t="shared" si="42"/>
        <v>0</v>
      </c>
      <c r="AY94" s="229">
        <f t="shared" si="42"/>
        <v>0</v>
      </c>
      <c r="AZ94" s="229">
        <f t="shared" si="42"/>
        <v>0</v>
      </c>
      <c r="BA94" s="229">
        <f t="shared" si="42"/>
        <v>0</v>
      </c>
      <c r="BB94" s="229">
        <f t="shared" si="42"/>
        <v>0</v>
      </c>
      <c r="BC94" s="229">
        <f t="shared" si="42"/>
        <v>0</v>
      </c>
      <c r="BD94" s="229">
        <f t="shared" si="42"/>
        <v>0</v>
      </c>
      <c r="BE94" s="229">
        <f t="shared" si="42"/>
        <v>0</v>
      </c>
      <c r="BF94" s="229">
        <f t="shared" si="42"/>
        <v>0</v>
      </c>
      <c r="BG94" s="229">
        <f t="shared" si="42"/>
        <v>0</v>
      </c>
      <c r="BH94" s="229">
        <f t="shared" si="42"/>
        <v>0</v>
      </c>
      <c r="BI94" s="229">
        <f t="shared" si="42"/>
        <v>0</v>
      </c>
      <c r="BJ94" s="229">
        <f t="shared" si="42"/>
        <v>0</v>
      </c>
      <c r="BK94" s="229">
        <f t="shared" si="42"/>
        <v>0</v>
      </c>
      <c r="BL94" s="229">
        <f t="shared" si="42"/>
        <v>0</v>
      </c>
      <c r="BM94" s="229">
        <f t="shared" si="42"/>
        <v>0</v>
      </c>
      <c r="BN94" s="229">
        <f t="shared" si="42"/>
        <v>0</v>
      </c>
      <c r="BO94" s="229">
        <f t="shared" si="42"/>
        <v>0</v>
      </c>
      <c r="BP94" s="229">
        <f t="shared" si="42"/>
        <v>0</v>
      </c>
      <c r="BQ94" s="229">
        <f t="shared" si="42"/>
        <v>0</v>
      </c>
      <c r="BR94" s="229">
        <f t="shared" si="42"/>
        <v>0</v>
      </c>
      <c r="BS94" s="229">
        <f t="shared" si="42"/>
        <v>0</v>
      </c>
      <c r="BT94" s="229">
        <f t="shared" si="42"/>
        <v>0</v>
      </c>
      <c r="BU94" s="229">
        <f t="shared" si="42"/>
        <v>0</v>
      </c>
      <c r="BV94" s="229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1" t="str">
        <f>'Conduite Trp'!B24</f>
        <v xml:space="preserve">14 -concentré agnelle lait </v>
      </c>
      <c r="C95" s="187">
        <f>[1]Conc!$D18</f>
        <v>270</v>
      </c>
      <c r="D95" s="172">
        <f t="shared" si="35"/>
        <v>8.5</v>
      </c>
      <c r="E95" s="172">
        <f t="shared" si="33"/>
        <v>0</v>
      </c>
      <c r="F95" s="172">
        <f t="shared" si="33"/>
        <v>0</v>
      </c>
      <c r="J95" s="172">
        <f t="shared" si="36"/>
        <v>2295</v>
      </c>
      <c r="K95" s="172">
        <f t="shared" si="37"/>
        <v>2295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1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0</v>
      </c>
      <c r="F96" s="172">
        <f t="shared" si="33"/>
        <v>0</v>
      </c>
      <c r="J96" s="172">
        <f t="shared" si="36"/>
        <v>0</v>
      </c>
      <c r="K96" s="172">
        <f t="shared" si="37"/>
        <v>0</v>
      </c>
      <c r="L96" s="172">
        <f t="shared" si="34"/>
        <v>0</v>
      </c>
      <c r="M96" s="172">
        <f t="shared" si="34"/>
        <v>0</v>
      </c>
      <c r="Q96" s="2" t="s">
        <v>95</v>
      </c>
      <c r="R96" t="s">
        <v>377</v>
      </c>
      <c r="T96" s="228">
        <v>36</v>
      </c>
      <c r="U96" s="228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1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0</v>
      </c>
      <c r="F97" s="172">
        <f t="shared" si="33"/>
        <v>0</v>
      </c>
      <c r="J97" s="172">
        <f t="shared" si="36"/>
        <v>0</v>
      </c>
      <c r="K97" s="172">
        <f t="shared" si="37"/>
        <v>0</v>
      </c>
      <c r="L97" s="172">
        <f t="shared" si="34"/>
        <v>0</v>
      </c>
      <c r="M97" s="172">
        <f t="shared" si="34"/>
        <v>0</v>
      </c>
      <c r="R97" t="s">
        <v>378</v>
      </c>
      <c r="T97" s="228">
        <v>37</v>
      </c>
      <c r="U97" s="228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1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8">
        <v>38</v>
      </c>
      <c r="U98" s="228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1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8">
        <v>39</v>
      </c>
      <c r="U99" s="228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5.8</v>
      </c>
      <c r="CD99" s="172">
        <f>CdTrp2!AU$54</f>
        <v>0</v>
      </c>
      <c r="CE99" s="172">
        <f>CdTrp3!AU$54</f>
        <v>0</v>
      </c>
    </row>
    <row r="100" spans="1:83" x14ac:dyDescent="0.25">
      <c r="A100" s="221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8">
        <v>40</v>
      </c>
      <c r="U100" s="228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1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</v>
      </c>
      <c r="CD101" s="172">
        <f>CdTrp2!AW$54</f>
        <v>0</v>
      </c>
      <c r="CE101" s="172">
        <f>CdTrp3!AW$54</f>
        <v>0</v>
      </c>
    </row>
    <row r="102" spans="1:83" x14ac:dyDescent="0.25">
      <c r="A102" s="221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8.5</v>
      </c>
      <c r="CD102" s="172">
        <f>CdTrp2!AX$54</f>
        <v>0</v>
      </c>
      <c r="CE102" s="172">
        <f>CdTrp3!AX$54</f>
        <v>0</v>
      </c>
    </row>
    <row r="103" spans="1:83" x14ac:dyDescent="0.25">
      <c r="A103" s="221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8">
        <v>36</v>
      </c>
      <c r="U103" s="228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0</v>
      </c>
      <c r="CE103" s="172">
        <f>CdTrp3!AY$54</f>
        <v>0</v>
      </c>
    </row>
    <row r="104" spans="1:83" x14ac:dyDescent="0.25">
      <c r="A104" s="221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8">
        <v>37</v>
      </c>
      <c r="U104" s="228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0</v>
      </c>
      <c r="CE104" s="172">
        <f>CdTrp3!AZ$54</f>
        <v>0</v>
      </c>
    </row>
    <row r="105" spans="1:83" x14ac:dyDescent="0.25">
      <c r="A105" s="221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8">
        <v>38</v>
      </c>
      <c r="U105" s="228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1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8">
        <v>39</v>
      </c>
      <c r="U106" s="228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1"/>
      <c r="B107" s="230"/>
      <c r="C107" s="171"/>
      <c r="R107" t="s">
        <v>381</v>
      </c>
      <c r="S107" s="5"/>
      <c r="T107" s="228">
        <v>40</v>
      </c>
      <c r="U107" s="228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>
        <f>Troupeau!C3</f>
        <v>0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1061</v>
      </c>
      <c r="J110" s="172">
        <f t="shared" ref="J110:J115" si="54">SUM(K110:N110)</f>
        <v>2573</v>
      </c>
      <c r="K110" s="176">
        <f t="shared" ref="K110:K115" si="55">ROUND(T132*U132,0)</f>
        <v>2573</v>
      </c>
      <c r="L110" s="176">
        <f>ROUND(V132*W132,0)</f>
        <v>0</v>
      </c>
      <c r="M110" s="176">
        <f t="shared" ref="M110:M115" si="56">ROUND(X132*Y132,0)</f>
        <v>0</v>
      </c>
      <c r="R110" s="40" t="s">
        <v>1062</v>
      </c>
      <c r="S110" s="170" t="str">
        <f>Troupeau!B3</f>
        <v>OL</v>
      </c>
      <c r="T110" s="61">
        <f>SUM(K82:K106)</f>
        <v>14864.3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1063</v>
      </c>
      <c r="J111" s="172">
        <f t="shared" si="54"/>
        <v>8410</v>
      </c>
      <c r="K111" s="176">
        <f t="shared" si="55"/>
        <v>8410</v>
      </c>
      <c r="L111" s="176">
        <f>ROUND(V133*W133,0)</f>
        <v>0</v>
      </c>
      <c r="M111" s="176">
        <f t="shared" si="56"/>
        <v>0</v>
      </c>
      <c r="R111" s="14"/>
      <c r="S111" s="170">
        <f>Troupeau!C3</f>
        <v>0</v>
      </c>
      <c r="T111" s="61">
        <f>SUM(L82:L106)</f>
        <v>0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1064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1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1065</v>
      </c>
      <c r="J113" s="172">
        <f t="shared" si="54"/>
        <v>965</v>
      </c>
      <c r="K113" s="176">
        <f t="shared" si="55"/>
        <v>965</v>
      </c>
      <c r="L113" s="176">
        <f>ROUND(V135*W135,0)</f>
        <v>0</v>
      </c>
      <c r="M113" s="176">
        <f t="shared" si="56"/>
        <v>0</v>
      </c>
      <c r="O113" s="231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1066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1"/>
      <c r="BG114"/>
      <c r="BH114" s="14"/>
      <c r="BZ114" s="170"/>
      <c r="CA114" s="170"/>
    </row>
    <row r="115" spans="1:83" x14ac:dyDescent="0.25">
      <c r="A115" t="s">
        <v>1067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1"/>
      <c r="BG115"/>
      <c r="BH115" s="14"/>
    </row>
    <row r="116" spans="1:83" x14ac:dyDescent="0.25">
      <c r="A116" s="2" t="s">
        <v>1068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1"/>
      <c r="BG116"/>
      <c r="BH116" s="14"/>
    </row>
    <row r="117" spans="1:83" x14ac:dyDescent="0.25">
      <c r="O117" s="231"/>
      <c r="BG117"/>
      <c r="BH117" s="14"/>
    </row>
    <row r="118" spans="1:83" x14ac:dyDescent="0.25">
      <c r="A118" t="s">
        <v>1069</v>
      </c>
      <c r="B118" s="176">
        <f>IF('Alim -Surf'!K27&lt;0,-'Alim -Surf'!K27,0)</f>
        <v>25.86999999999999</v>
      </c>
      <c r="C118" s="187">
        <f>IF(Scénario!$K$12="BV",[1]Eco!$B$78,IF(Scénario!$K$12="BL",[1]Eco!$B$77,[1]Eco!$B$76))</f>
        <v>223</v>
      </c>
      <c r="J118" s="172">
        <f>B118*C118</f>
        <v>5769.0099999999975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1070</v>
      </c>
      <c r="B119" s="176">
        <f>IF('Alim -Surf'!K9&lt;0,-'Alim -Surf'!K9,0)</f>
        <v>4.1730000000000018</v>
      </c>
      <c r="C119" s="187">
        <f>[1]Eco!$B$79</f>
        <v>80</v>
      </c>
      <c r="J119" s="172">
        <f>B119*C119</f>
        <v>333.84000000000015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1071</v>
      </c>
      <c r="B121" t="s">
        <v>1072</v>
      </c>
      <c r="C121" t="s">
        <v>37</v>
      </c>
      <c r="D121" t="s">
        <v>1073</v>
      </c>
      <c r="BG121"/>
      <c r="BH121" s="14"/>
    </row>
    <row r="122" spans="1:83" x14ac:dyDescent="0.25">
      <c r="A122" s="186" t="str">
        <f>LEFT('Alim -Surf'!B34,10)</f>
        <v>landes lit</v>
      </c>
      <c r="B122" s="172">
        <f>'Alim -Surf'!D34</f>
        <v>28</v>
      </c>
      <c r="C122" s="172">
        <f>'Alim -Surf'!E34</f>
        <v>10</v>
      </c>
      <c r="D122" s="187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577</v>
      </c>
      <c r="U122" s="2" t="s">
        <v>591</v>
      </c>
      <c r="V122" s="2" t="s">
        <v>598</v>
      </c>
      <c r="W122" s="2" t="s">
        <v>1035</v>
      </c>
      <c r="BG122"/>
      <c r="BH122" s="14"/>
    </row>
    <row r="123" spans="1:83" x14ac:dyDescent="0.25">
      <c r="A123" s="186" t="str">
        <f>LEFT('Alim -Surf'!B35,10)</f>
        <v>0</v>
      </c>
      <c r="B123" s="172">
        <f>'Alim -Surf'!D35</f>
        <v>0</v>
      </c>
      <c r="C123" s="172">
        <f>'Alim -Surf'!E35</f>
        <v>0</v>
      </c>
      <c r="D123" s="187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1074</v>
      </c>
      <c r="T123" s="170">
        <f>Troupeau!J17</f>
        <v>45</v>
      </c>
      <c r="U123" s="170">
        <f>Troupeau!K17</f>
        <v>0</v>
      </c>
      <c r="V123" s="170">
        <f>Troupeau!L17</f>
        <v>0</v>
      </c>
      <c r="W123" s="170">
        <f>Troupeau!M17</f>
        <v>0</v>
      </c>
      <c r="AF123" s="2" t="s">
        <v>1075</v>
      </c>
      <c r="AL123"/>
      <c r="AM123" s="5"/>
      <c r="BG123"/>
      <c r="BH123" s="14"/>
    </row>
    <row r="124" spans="1:83" x14ac:dyDescent="0.25">
      <c r="A124" s="186" t="str">
        <f>LEFT('Alim -Surf'!B36,10)</f>
        <v>0</v>
      </c>
      <c r="B124" s="172">
        <f>'Alim -Surf'!D36</f>
        <v>0</v>
      </c>
      <c r="C124" s="172">
        <f>'Alim -Surf'!E36</f>
        <v>0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1076</v>
      </c>
      <c r="T124" s="170" t="str">
        <f>Troupeau!B3</f>
        <v>OL</v>
      </c>
      <c r="U124" s="170">
        <f>Troupeau!C3</f>
        <v>0</v>
      </c>
      <c r="V124" s="170">
        <f>Troupeau!D3</f>
        <v>0</v>
      </c>
      <c r="W124" s="170">
        <f>Troupeau!E3</f>
        <v>0</v>
      </c>
      <c r="AF124" s="2" t="s">
        <v>577</v>
      </c>
      <c r="AG124" s="2" t="s">
        <v>591</v>
      </c>
      <c r="AH124" s="2" t="s">
        <v>598</v>
      </c>
      <c r="AI124" s="2" t="s">
        <v>1035</v>
      </c>
      <c r="AJ124" s="232" t="s">
        <v>1077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1078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1079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0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1080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1081</v>
      </c>
      <c r="AE126" t="s">
        <v>1082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10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1083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1084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0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1085</v>
      </c>
      <c r="AE128" t="s">
        <v>1086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0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6"/>
      <c r="AD129" s="14" t="s">
        <v>1087</v>
      </c>
      <c r="AE129" t="s">
        <v>1082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10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577</v>
      </c>
      <c r="U130" s="2"/>
      <c r="V130" s="2" t="s">
        <v>591</v>
      </c>
      <c r="W130" s="2"/>
      <c r="X130" s="2" t="s">
        <v>598</v>
      </c>
      <c r="Y130" s="2"/>
      <c r="Z130" s="2" t="s">
        <v>1035</v>
      </c>
      <c r="AA130" s="2"/>
      <c r="AB130" s="206"/>
      <c r="AE130" t="s">
        <v>1084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0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1"/>
      <c r="T131" s="170" t="s">
        <v>1088</v>
      </c>
      <c r="U131" s="170" t="s">
        <v>1089</v>
      </c>
      <c r="V131" s="170" t="s">
        <v>1088</v>
      </c>
      <c r="W131" s="170" t="s">
        <v>1089</v>
      </c>
      <c r="X131" s="170" t="s">
        <v>1088</v>
      </c>
      <c r="Y131" s="170" t="s">
        <v>1089</v>
      </c>
      <c r="Z131" s="170" t="s">
        <v>1088</v>
      </c>
      <c r="AA131" s="170" t="s">
        <v>1089</v>
      </c>
      <c r="AB131" s="206" t="s">
        <v>1090</v>
      </c>
      <c r="AE131" t="s">
        <v>1086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0"/>
      <c r="AL131"/>
      <c r="AM131" s="5"/>
      <c r="BG131"/>
      <c r="BH131" s="14"/>
    </row>
    <row r="132" spans="1:60" x14ac:dyDescent="0.25">
      <c r="A132" s="186" t="s">
        <v>1091</v>
      </c>
      <c r="B132" s="5"/>
      <c r="C132" s="172">
        <f>AH228</f>
        <v>15.27</v>
      </c>
      <c r="D132" s="187">
        <f>HLOOKUP(Troupeau!$J$17,[1]Anx!$D$170:$CN$186,'Calcul éco'!O132)</f>
        <v>36</v>
      </c>
      <c r="E132" s="233"/>
      <c r="F132" s="233"/>
      <c r="G132" s="18"/>
      <c r="J132" s="172">
        <f>D132*C132</f>
        <v>549.72</v>
      </c>
      <c r="K132" s="171"/>
      <c r="L132" s="171"/>
      <c r="M132" s="171"/>
      <c r="N132" s="171"/>
      <c r="O132" s="231">
        <v>10</v>
      </c>
      <c r="S132" s="14" t="s">
        <v>1061</v>
      </c>
      <c r="T132" s="170">
        <f>$T$127</f>
        <v>268</v>
      </c>
      <c r="U132" s="187">
        <f>HLOOKUP($T$123,[1]Anx!$D$170:$CN$1177,$AB132)</f>
        <v>9.6</v>
      </c>
      <c r="V132" s="170">
        <f>$U$127</f>
        <v>0</v>
      </c>
      <c r="W132" s="187">
        <f>IF(V132=0,0,HLOOKUP(U$123,[1]Anx!$D$170:$CN$1177,$AB132))</f>
        <v>0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4">
        <f>IF(Z132=0,0,HLOOKUP(W$123,[1]Anx!$D$170:$CN$1177,$AB132))</f>
        <v>0</v>
      </c>
      <c r="AB132" s="231">
        <v>3</v>
      </c>
      <c r="AD132" s="14" t="s">
        <v>1092</v>
      </c>
      <c r="AE132" t="s">
        <v>1082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0"/>
      <c r="AL132"/>
      <c r="AM132" s="5"/>
      <c r="BG132"/>
      <c r="BH132" s="14"/>
    </row>
    <row r="133" spans="1:60" x14ac:dyDescent="0.25">
      <c r="A133" s="186" t="s">
        <v>1093</v>
      </c>
      <c r="B133" s="5"/>
      <c r="C133" s="172">
        <f>AI228</f>
        <v>2.85</v>
      </c>
      <c r="D133" s="187">
        <f>HLOOKUP(Troupeau!$J$17,[1]Anx!$D$170:$CN$186,'Calcul éco'!O133)</f>
        <v>62.16</v>
      </c>
      <c r="E133" s="233"/>
      <c r="F133" s="233"/>
      <c r="G133" s="18"/>
      <c r="J133" s="172">
        <f t="shared" ref="J133:J138" si="61">D133*C133</f>
        <v>177.15600000000001</v>
      </c>
      <c r="K133" s="171"/>
      <c r="L133" s="171"/>
      <c r="M133" s="171"/>
      <c r="N133" s="171"/>
      <c r="O133" s="231">
        <v>11</v>
      </c>
      <c r="S133" s="14" t="s">
        <v>1063</v>
      </c>
      <c r="T133" s="170">
        <f>$T$127</f>
        <v>268</v>
      </c>
      <c r="U133" s="187">
        <f>HLOOKUP($T$123,[1]Anx!$D$170:$CN$1177,$AB133)</f>
        <v>31.379999999999995</v>
      </c>
      <c r="V133" s="170">
        <f>$U$127</f>
        <v>0</v>
      </c>
      <c r="W133" s="187">
        <f>IF(V133=0,0,HLOOKUP(U$123,[1]Anx!$D$170:$CN$1177,$AB133))</f>
        <v>0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4">
        <f>IF(Z133=0,0,HLOOKUP(W$123,[1]Anx!$D$170:$CN$1177,$AB133))</f>
        <v>0</v>
      </c>
      <c r="AB133" s="231">
        <v>4</v>
      </c>
      <c r="AE133" t="s">
        <v>1084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0">
        <v>14</v>
      </c>
      <c r="AL133"/>
      <c r="AM133" s="5"/>
      <c r="BG133"/>
      <c r="BH133" s="14"/>
    </row>
    <row r="134" spans="1:60" x14ac:dyDescent="0.25">
      <c r="A134" s="186" t="s">
        <v>1094</v>
      </c>
      <c r="B134" s="5"/>
      <c r="C134" s="172">
        <f>AJ228</f>
        <v>11</v>
      </c>
      <c r="D134" s="187">
        <f>HLOOKUP(Troupeau!$J$17,[1]Anx!$D$170:$CN$186,'Calcul éco'!O134)</f>
        <v>66.84</v>
      </c>
      <c r="E134" s="233"/>
      <c r="F134" s="233"/>
      <c r="G134" s="18"/>
      <c r="J134" s="172">
        <f t="shared" si="61"/>
        <v>735.24</v>
      </c>
      <c r="K134" s="171"/>
      <c r="L134" s="171"/>
      <c r="M134" s="171"/>
      <c r="N134" s="171"/>
      <c r="O134" s="231">
        <v>12</v>
      </c>
      <c r="S134" s="14" t="s">
        <v>1064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4">
        <f>IF(Z134=0,0,HLOOKUP(W$123,[1]Anx!$D$170:$CN$1177,$AB134))</f>
        <v>0</v>
      </c>
      <c r="AB134" s="231">
        <v>5</v>
      </c>
      <c r="AE134" t="s">
        <v>1086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0"/>
      <c r="AL134"/>
      <c r="AM134" s="5"/>
      <c r="BG134"/>
      <c r="BH134" s="14"/>
    </row>
    <row r="135" spans="1:60" x14ac:dyDescent="0.25">
      <c r="A135" s="186" t="s">
        <v>1095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1">
        <v>13</v>
      </c>
      <c r="S135" s="14" t="s">
        <v>1065</v>
      </c>
      <c r="T135" s="170">
        <f>$T$127</f>
        <v>268</v>
      </c>
      <c r="U135" s="187">
        <f>HLOOKUP($T$123,[1]Anx!$D$170:$CN$1177,$AB135)</f>
        <v>3.5999999999999996</v>
      </c>
      <c r="V135" s="170">
        <f>$U$127</f>
        <v>0</v>
      </c>
      <c r="W135" s="187">
        <f>IF(V135=0,0,HLOOKUP(U$123,[1]Anx!$D$170:$CN$1177,$AB135))</f>
        <v>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4">
        <f>IF(Z135=0,0,HLOOKUP(W$123,[1]Anx!$D$170:$CN$1177,$AB135))</f>
        <v>0</v>
      </c>
      <c r="AB135" s="231">
        <v>6</v>
      </c>
      <c r="AD135" s="14" t="s">
        <v>1096</v>
      </c>
      <c r="AE135" t="s">
        <v>1082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0"/>
      <c r="AL135"/>
      <c r="AM135" s="5"/>
      <c r="BG135"/>
      <c r="BH135" s="14"/>
    </row>
    <row r="136" spans="1:60" x14ac:dyDescent="0.25">
      <c r="A136" s="186" t="s">
        <v>1097</v>
      </c>
      <c r="B136" s="5"/>
      <c r="C136" s="172">
        <f>AF228</f>
        <v>0</v>
      </c>
      <c r="D136" s="187">
        <f>HLOOKUP(Troupeau!$J$17,[1]Anx!$D$170:$CN$186,'Calcul éco'!O136)</f>
        <v>118.55999999999999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1">
        <v>14</v>
      </c>
      <c r="S136" s="14" t="s">
        <v>1098</v>
      </c>
      <c r="T136" s="170">
        <f>$T$127</f>
        <v>268</v>
      </c>
      <c r="U136" s="187">
        <f>HLOOKUP($T$123,[1]Anx!$D$170:$CN$1177,$AB136)</f>
        <v>0</v>
      </c>
      <c r="V136" s="170">
        <f>$U$127</f>
        <v>0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4">
        <f>IF(Z136=0,0,HLOOKUP(W$123,[1]Anx!$D$170:$CN$1177,$AB136))</f>
        <v>0</v>
      </c>
      <c r="AB136" s="231">
        <v>7</v>
      </c>
      <c r="AE136" t="s">
        <v>1084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0">
        <v>19</v>
      </c>
      <c r="AL136"/>
      <c r="AM136" s="5"/>
      <c r="BG136"/>
      <c r="BH136" s="14"/>
    </row>
    <row r="137" spans="1:60" x14ac:dyDescent="0.25">
      <c r="A137" s="186" t="s">
        <v>1099</v>
      </c>
      <c r="B137" s="5"/>
      <c r="C137" s="172">
        <f>AG228</f>
        <v>0</v>
      </c>
      <c r="D137" s="187">
        <f>HLOOKUP(Troupeau!$J$17,[1]Anx!$D$170:$CN$186,'Calcul éco'!O137)</f>
        <v>150.24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1">
        <v>15</v>
      </c>
      <c r="S137" s="32" t="s">
        <v>1100</v>
      </c>
      <c r="T137" s="170">
        <f>Troupeau!B22</f>
        <v>64</v>
      </c>
      <c r="U137" s="187">
        <f>HLOOKUP($T$123,[1]Anx!$D$170:$CN$1177,$AB137)</f>
        <v>0</v>
      </c>
      <c r="V137" s="170">
        <f>Troupeau!C22</f>
        <v>0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4">
        <f>IF(Z137=0,0,HLOOKUP(W$123,[1]Anx!$D$170:$CN$1177,$AB137))</f>
        <v>0</v>
      </c>
      <c r="AB137" s="231">
        <v>8</v>
      </c>
      <c r="AE137" t="s">
        <v>1086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0"/>
      <c r="AL137"/>
      <c r="AM137" s="5"/>
      <c r="BG137"/>
      <c r="BH137" s="14"/>
    </row>
    <row r="138" spans="1:60" x14ac:dyDescent="0.25">
      <c r="A138" s="186" t="s">
        <v>1101</v>
      </c>
      <c r="B138" s="5"/>
      <c r="C138" s="172">
        <f>AA228</f>
        <v>0</v>
      </c>
      <c r="D138" s="187">
        <f>HLOOKUP(Troupeau!$J$17,[1]Anx!$D$170:$CN$186,'Calcul éco'!O138)</f>
        <v>147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1">
        <v>16</v>
      </c>
      <c r="AD138" s="14" t="s">
        <v>1102</v>
      </c>
      <c r="AE138" t="s">
        <v>1082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10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1"/>
      <c r="AE139" t="s">
        <v>1084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0">
        <v>24</v>
      </c>
      <c r="AL139"/>
      <c r="AM139" s="5"/>
    </row>
    <row r="140" spans="1:60" x14ac:dyDescent="0.25">
      <c r="A140" s="2" t="s">
        <v>1103</v>
      </c>
      <c r="J140" s="171"/>
      <c r="K140" s="171"/>
      <c r="L140" s="171"/>
      <c r="M140" s="171"/>
      <c r="N140" s="171"/>
      <c r="Y140" s="170"/>
      <c r="AE140" t="s">
        <v>1086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10"/>
      <c r="AL140"/>
      <c r="AM140" s="5"/>
    </row>
    <row r="141" spans="1:60" x14ac:dyDescent="0.25">
      <c r="A141" t="s">
        <v>1104</v>
      </c>
      <c r="J141" s="172">
        <f>X245</f>
        <v>9043</v>
      </c>
      <c r="K141" s="171"/>
      <c r="L141" s="171"/>
      <c r="M141" s="171"/>
      <c r="N141" s="171"/>
      <c r="Y141" s="170"/>
      <c r="AD141" s="14" t="s">
        <v>1105</v>
      </c>
      <c r="AE141" t="s">
        <v>1082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0"/>
      <c r="AL141"/>
      <c r="AM141" s="5"/>
    </row>
    <row r="142" spans="1:60" x14ac:dyDescent="0.25">
      <c r="A142" t="s">
        <v>1106</v>
      </c>
      <c r="J142" s="172">
        <f>SUM(X271:X275)</f>
        <v>482.40000000000003</v>
      </c>
      <c r="K142" s="171"/>
      <c r="L142" s="171"/>
      <c r="M142" s="171"/>
      <c r="N142" s="171"/>
      <c r="Y142" s="170"/>
      <c r="AE142" t="s">
        <v>1084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0">
        <v>29</v>
      </c>
      <c r="AL142"/>
      <c r="AM142" s="5"/>
    </row>
    <row r="143" spans="1:60" x14ac:dyDescent="0.25">
      <c r="Y143" s="170"/>
      <c r="AE143" t="s">
        <v>1086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0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1107</v>
      </c>
      <c r="AE144" t="s">
        <v>1082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0"/>
      <c r="AL144"/>
      <c r="AM144" s="5"/>
    </row>
    <row r="145" spans="1:39" x14ac:dyDescent="0.25">
      <c r="A145" s="223" t="s">
        <v>1108</v>
      </c>
      <c r="B145" s="223"/>
      <c r="C145" s="223"/>
      <c r="D145" s="223"/>
      <c r="E145" s="223"/>
      <c r="F145" s="235"/>
      <c r="G145" s="235"/>
      <c r="H145" s="235"/>
      <c r="I145" s="235"/>
      <c r="J145" s="224">
        <f>SUM(J82:J144)</f>
        <v>43902.665999999997</v>
      </c>
      <c r="K145" s="224"/>
      <c r="L145" s="224"/>
      <c r="M145" s="224"/>
      <c r="N145" s="224"/>
      <c r="Y145" s="170"/>
      <c r="AE145" t="s">
        <v>1084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0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0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1109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0"/>
      <c r="AL147"/>
      <c r="AM147" s="5"/>
    </row>
    <row r="148" spans="1:39" x14ac:dyDescent="0.25">
      <c r="A148" s="2" t="s">
        <v>1110</v>
      </c>
      <c r="D148" s="5"/>
      <c r="E148" s="18"/>
      <c r="F148" s="5"/>
      <c r="G148" s="18"/>
      <c r="O148" s="231"/>
      <c r="AL148"/>
      <c r="AM148" s="5"/>
    </row>
    <row r="149" spans="1:39" x14ac:dyDescent="0.25">
      <c r="A149" t="s">
        <v>1111</v>
      </c>
      <c r="B149" s="172">
        <f>B$154</f>
        <v>19.12</v>
      </c>
      <c r="C149" s="187">
        <f>HLOOKUP(Troupeau!J$17,[1]Anx!$D$170:$CN$220,'Calcul éco'!O149)</f>
        <v>50</v>
      </c>
      <c r="D149" s="5"/>
      <c r="G149" s="170"/>
      <c r="J149" s="172">
        <f t="shared" ref="J149:J154" si="67">B149*C149</f>
        <v>956</v>
      </c>
      <c r="K149" s="172"/>
      <c r="L149" s="172"/>
      <c r="M149" s="172"/>
      <c r="N149" s="172"/>
      <c r="O149" s="231">
        <v>19</v>
      </c>
      <c r="AL149"/>
      <c r="AM149" s="5"/>
    </row>
    <row r="150" spans="1:39" x14ac:dyDescent="0.25">
      <c r="A150" t="s">
        <v>1112</v>
      </c>
      <c r="B150" s="171">
        <v>1</v>
      </c>
      <c r="C150" s="187">
        <f>HLOOKUP(Troupeau!J$17,[1]Anx!$D$170:$CN$220,'Calcul éco'!O150)</f>
        <v>1000</v>
      </c>
      <c r="D150" s="5"/>
      <c r="G150" s="170"/>
      <c r="J150" s="172">
        <f t="shared" si="67"/>
        <v>1000</v>
      </c>
      <c r="K150" s="172"/>
      <c r="L150" s="172"/>
      <c r="M150" s="172"/>
      <c r="N150" s="172"/>
      <c r="O150" s="231">
        <v>20</v>
      </c>
      <c r="AL150"/>
      <c r="AM150" s="5"/>
    </row>
    <row r="151" spans="1:39" x14ac:dyDescent="0.25">
      <c r="A151" t="s">
        <v>1113</v>
      </c>
      <c r="B151" s="171">
        <v>1</v>
      </c>
      <c r="C151" s="187">
        <f>HLOOKUP(Troupeau!J$17,[1]Anx!$D$170:$CN$220,'Calcul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1">
        <v>21</v>
      </c>
      <c r="Y151" t="s">
        <v>1114</v>
      </c>
    </row>
    <row r="152" spans="1:39" x14ac:dyDescent="0.25">
      <c r="A152" t="s">
        <v>1115</v>
      </c>
      <c r="B152" s="172">
        <f>+Scénario!K6</f>
        <v>0</v>
      </c>
      <c r="C152" s="187">
        <f>HLOOKUP(Troupeau!J$17,[1]Anx!$D$170:$CN$220,'Calcul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1">
        <v>22</v>
      </c>
      <c r="Z152" t="s">
        <v>1116</v>
      </c>
    </row>
    <row r="153" spans="1:39" x14ac:dyDescent="0.25">
      <c r="A153" s="5" t="s">
        <v>1117</v>
      </c>
      <c r="B153" s="171">
        <v>1</v>
      </c>
      <c r="C153" s="187">
        <f>HLOOKUP(Troupeau!J$17,[1]Anx!$D$170:$CN$220,'Calcul éco'!O153)</f>
        <v>9587</v>
      </c>
      <c r="D153" s="5"/>
      <c r="E153" s="5"/>
      <c r="G153" s="170"/>
      <c r="J153" s="172">
        <f t="shared" si="67"/>
        <v>9587</v>
      </c>
      <c r="K153" s="172"/>
      <c r="L153" s="172"/>
      <c r="M153" s="172"/>
      <c r="N153" s="172"/>
      <c r="O153" s="231">
        <v>23</v>
      </c>
      <c r="V153" s="14" t="s">
        <v>1118</v>
      </c>
      <c r="W153" s="172">
        <f>U$228</f>
        <v>13.85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1119</v>
      </c>
      <c r="B154" s="172">
        <f>Scénario!K48</f>
        <v>19.12</v>
      </c>
      <c r="C154" s="187">
        <f>HLOOKUP(Troupeau!J$17,[1]Anx!$D$170:$CN$220,'Calcul éco'!O154)</f>
        <v>345</v>
      </c>
      <c r="D154" s="5"/>
      <c r="G154" s="170"/>
      <c r="J154" s="172">
        <f t="shared" si="67"/>
        <v>6596.4000000000005</v>
      </c>
      <c r="K154" s="172"/>
      <c r="L154" s="172"/>
      <c r="M154" s="172"/>
      <c r="N154" s="172"/>
      <c r="O154" s="231">
        <v>24</v>
      </c>
      <c r="V154" s="14" t="s">
        <v>1120</v>
      </c>
      <c r="W154" s="172">
        <f>V$228</f>
        <v>11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1121</v>
      </c>
      <c r="B155" s="236">
        <f>B154</f>
        <v>19.12</v>
      </c>
      <c r="C155" s="187">
        <f>HLOOKUP(Troupeau!J$17,[1]Anx!$D$170:$CN$220,'Calcul éco'!O155)</f>
        <v>58</v>
      </c>
      <c r="D155" s="86"/>
      <c r="E155" s="17"/>
      <c r="G155" s="170"/>
      <c r="H155" s="17"/>
      <c r="I155" s="236">
        <f>B155*C155</f>
        <v>1108.96</v>
      </c>
      <c r="O155" s="231">
        <v>25</v>
      </c>
      <c r="V155" s="14" t="s">
        <v>1122</v>
      </c>
      <c r="W155" s="172">
        <f>W$228</f>
        <v>0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1"/>
      <c r="U156" t="s">
        <v>1123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1125</v>
      </c>
      <c r="B158" s="172">
        <f>Z153</f>
        <v>0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1">
        <v>2</v>
      </c>
    </row>
    <row r="159" spans="1:39" x14ac:dyDescent="0.25">
      <c r="A159" s="5" t="s">
        <v>1126</v>
      </c>
      <c r="B159" s="172">
        <f t="shared" ref="B159:B161" si="69">Z154</f>
        <v>0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1">
        <v>3</v>
      </c>
    </row>
    <row r="160" spans="1:39" x14ac:dyDescent="0.25">
      <c r="A160" s="5" t="s">
        <v>1127</v>
      </c>
      <c r="B160" s="172">
        <f t="shared" si="69"/>
        <v>0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1">
        <v>3</v>
      </c>
      <c r="X160" s="5"/>
      <c r="Y160" s="5"/>
    </row>
    <row r="161" spans="1:41" x14ac:dyDescent="0.25">
      <c r="A161" s="5" t="s">
        <v>1128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1">
        <v>4</v>
      </c>
      <c r="R161" s="2" t="s">
        <v>657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27" si="70">S164*X164</f>
        <v>0</v>
      </c>
      <c r="AB164" s="172">
        <f t="shared" ref="AB164:AB227" si="71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1129</v>
      </c>
      <c r="B165" s="5"/>
      <c r="C165" s="194" t="s">
        <v>1130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265</v>
      </c>
      <c r="S165" s="172">
        <f>'Alim -Surf'!R8</f>
        <v>4</v>
      </c>
      <c r="T165" s="172">
        <f>VLOOKUP(R165,[1]MEP!$A$4:$M$300,13)</f>
        <v>2</v>
      </c>
      <c r="U165" s="172">
        <f t="shared" ref="U165:U227" si="72">IF($T165&gt;0,$S165,0)</f>
        <v>4</v>
      </c>
      <c r="V165" s="172">
        <f t="shared" ref="V165:V227" si="73">IF($T165&gt;1,$S165,0)</f>
        <v>4</v>
      </c>
      <c r="W165" s="172">
        <f t="shared" ref="W165:W22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27" si="75">Z165*S165</f>
        <v>0</v>
      </c>
      <c r="AD165" s="172">
        <f t="shared" ref="AD165:AD227" si="76">S165-AC165-AA165</f>
        <v>4</v>
      </c>
      <c r="AE165" s="172">
        <f t="shared" ref="AE165:AE227" si="77">IF(T165=0,AC165,0)</f>
        <v>0</v>
      </c>
      <c r="AF165" s="172">
        <f t="shared" ref="AF165:AF227" si="78">IF(T165=1,AC165,0)</f>
        <v>0</v>
      </c>
      <c r="AG165" s="172">
        <f t="shared" ref="AG165:AG227" si="79">IF(T165&gt;1,AC165,0)</f>
        <v>0</v>
      </c>
      <c r="AH165" s="172">
        <f t="shared" ref="AH165:AH227" si="80">IF(T165=0,AD165,0)</f>
        <v>0</v>
      </c>
      <c r="AI165" s="172">
        <f t="shared" ref="AI165:AI227" si="81">IF(T165=1,AD165,0)</f>
        <v>0</v>
      </c>
      <c r="AJ165" s="172">
        <f t="shared" ref="AJ165:AJ227" si="82">IF(T165&gt;1,AD165,0)</f>
        <v>4</v>
      </c>
      <c r="AN165" s="32" t="s">
        <v>675</v>
      </c>
      <c r="AO165" s="172">
        <f>SUM(AD164:AD183)</f>
        <v>17.850000000000001</v>
      </c>
    </row>
    <row r="166" spans="1:41" x14ac:dyDescent="0.25">
      <c r="A166" s="5" t="s">
        <v>1131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266</v>
      </c>
      <c r="S166" s="172">
        <f>'Alim -Surf'!R9</f>
        <v>5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5</v>
      </c>
      <c r="AI166" s="172">
        <f t="shared" si="81"/>
        <v>0</v>
      </c>
      <c r="AJ166" s="172">
        <f t="shared" si="82"/>
        <v>0</v>
      </c>
      <c r="AN166" s="32" t="s">
        <v>676</v>
      </c>
      <c r="AO166" s="172">
        <f>SUM(AC164:AC183)</f>
        <v>0</v>
      </c>
    </row>
    <row r="167" spans="1:41" x14ac:dyDescent="0.25">
      <c r="A167" s="5" t="s">
        <v>1132</v>
      </c>
      <c r="B167" s="30">
        <f>IF(Scénario!K129=1,SUM(Travail!F69:F75)+Travail!F81+Travail!F83+Travail!F84,0)</f>
        <v>506.1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5379.8430000000008</v>
      </c>
      <c r="K167" s="172"/>
      <c r="L167" s="172"/>
      <c r="M167" s="172"/>
      <c r="N167" s="172"/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72"/>
        <v>3</v>
      </c>
      <c r="V167" s="172">
        <f t="shared" si="73"/>
        <v>3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3</v>
      </c>
      <c r="AN167" s="32" t="s">
        <v>677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72"/>
        <v>3</v>
      </c>
      <c r="V168" s="172">
        <f t="shared" si="73"/>
        <v>3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3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3</v>
      </c>
      <c r="AN168" s="32" t="s">
        <v>678</v>
      </c>
      <c r="AO168" s="172">
        <f>SUM(AD186:AD205)</f>
        <v>1.27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679</v>
      </c>
      <c r="AO169" s="172">
        <f>SUM(AC186:AC205)</f>
        <v>0</v>
      </c>
    </row>
    <row r="170" spans="1:41" x14ac:dyDescent="0.25">
      <c r="A170" s="223" t="s">
        <v>1133</v>
      </c>
      <c r="B170" s="223"/>
      <c r="C170" s="223"/>
      <c r="D170" s="223"/>
      <c r="E170" s="223"/>
      <c r="F170" s="235"/>
      <c r="G170" s="235"/>
      <c r="H170" s="235"/>
      <c r="I170" s="235"/>
      <c r="J170" s="62">
        <f>SUM(J149:J169)</f>
        <v>29246.243000000002</v>
      </c>
      <c r="K170" s="62"/>
      <c r="L170" s="62"/>
      <c r="M170" s="62"/>
      <c r="N170" s="62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680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681</v>
      </c>
      <c r="AO171" s="172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1134</v>
      </c>
      <c r="B174" s="224">
        <f>J48-J145-J170</f>
        <v>20564.25499999999</v>
      </c>
      <c r="C174" s="237"/>
      <c r="D174" s="237"/>
      <c r="E174" s="237"/>
      <c r="F174" s="237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1135</v>
      </c>
      <c r="B175" s="224">
        <f>ROUND(B174/Scénario!K4,0)</f>
        <v>20564</v>
      </c>
      <c r="C175" s="191"/>
      <c r="D175" s="237"/>
      <c r="E175" s="237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1136</v>
      </c>
      <c r="B177" s="30">
        <f>HLOOKUP(Troupeau!J17,[1]Anx!$D$170:$CO$196,27)</f>
        <v>11000</v>
      </c>
      <c r="C177" s="5"/>
      <c r="D177" s="5"/>
      <c r="F177" s="5"/>
      <c r="G177" s="5"/>
      <c r="O177" s="231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1137</v>
      </c>
      <c r="B178" s="238">
        <f>SUM(AF237:AF240)</f>
        <v>793.00735393143805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1138</v>
      </c>
      <c r="B180" s="224">
        <f>B174-B177-B178</f>
        <v>8771.2476460685521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1139</v>
      </c>
      <c r="B181" s="224">
        <f>ROUND(B180/Scénario!K4,0)</f>
        <v>8771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266</v>
      </c>
      <c r="S186" s="172">
        <f>'Alim -Surf'!R29</f>
        <v>0.27</v>
      </c>
      <c r="T186" s="172">
        <f>VLOOKUP(R186,[1]MEP!$A$4:$M$300,13)</f>
        <v>0</v>
      </c>
      <c r="U186" s="172">
        <f t="shared" si="72"/>
        <v>0</v>
      </c>
      <c r="V186" s="172">
        <f t="shared" si="73"/>
        <v>0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0.27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0.27</v>
      </c>
      <c r="AI186" s="172">
        <f t="shared" si="81"/>
        <v>0</v>
      </c>
      <c r="AJ186" s="172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245</v>
      </c>
      <c r="S187" s="172">
        <f>'Alim -Surf'!R30</f>
        <v>1</v>
      </c>
      <c r="T187" s="172">
        <f>VLOOKUP(R187,[1]MEP!$A$4:$M$300,13)</f>
        <v>2</v>
      </c>
      <c r="U187" s="172">
        <f t="shared" si="72"/>
        <v>1</v>
      </c>
      <c r="V187" s="172">
        <f t="shared" si="73"/>
        <v>1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1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>
        <f>'Alim -Surf'!Q51</f>
        <v>47</v>
      </c>
      <c r="S208" s="172">
        <f>'Alim -Surf'!R51</f>
        <v>10</v>
      </c>
      <c r="T208" s="172">
        <f>VLOOKUP(R208,[1]MEP!$A$4:$M$300,13)</f>
        <v>0</v>
      </c>
      <c r="U208" s="172">
        <f t="shared" si="72"/>
        <v>0</v>
      </c>
      <c r="V208" s="172">
        <f t="shared" si="73"/>
        <v>0</v>
      </c>
      <c r="W208" s="172">
        <f t="shared" si="74"/>
        <v>0</v>
      </c>
      <c r="X208" s="172">
        <f>VLOOKUP(R208,[1]MEP!$A$4:$Q$300,14)</f>
        <v>0</v>
      </c>
      <c r="Y208" s="172">
        <f>VLOOKUP(R208,[1]MEP!$A$4:$R$300,15)</f>
        <v>0</v>
      </c>
      <c r="Z208" s="172">
        <f>VLOOKUP(R208,[1]MEP!$A$4:$R$300,16)</f>
        <v>0</v>
      </c>
      <c r="AA208" s="172">
        <f t="shared" si="70"/>
        <v>0</v>
      </c>
      <c r="AB208" s="172">
        <f t="shared" si="71"/>
        <v>0</v>
      </c>
      <c r="AC208" s="172">
        <f t="shared" si="75"/>
        <v>0</v>
      </c>
      <c r="AD208" s="172">
        <f t="shared" si="76"/>
        <v>10</v>
      </c>
      <c r="AE208" s="172">
        <f t="shared" si="77"/>
        <v>0</v>
      </c>
      <c r="AF208" s="172">
        <f t="shared" si="78"/>
        <v>0</v>
      </c>
      <c r="AG208" s="172">
        <f t="shared" si="79"/>
        <v>0</v>
      </c>
      <c r="AH208" s="172">
        <f t="shared" si="80"/>
        <v>10</v>
      </c>
      <c r="AI208" s="172">
        <f t="shared" si="81"/>
        <v>0</v>
      </c>
      <c r="AJ208" s="172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9"/>
      <c r="P209" s="5"/>
      <c r="Q209" s="175">
        <v>2</v>
      </c>
      <c r="R209" s="172">
        <f>'Alim -Surf'!Q52</f>
        <v>0</v>
      </c>
      <c r="S209" s="172">
        <f>'Alim -Surf'!R52</f>
        <v>0</v>
      </c>
      <c r="T209" s="172">
        <f>VLOOKUP(R209,[1]MEP!$A$4:$M$300,13)</f>
        <v>0</v>
      </c>
      <c r="U209" s="172">
        <f t="shared" si="72"/>
        <v>0</v>
      </c>
      <c r="V209" s="172">
        <f t="shared" si="73"/>
        <v>0</v>
      </c>
      <c r="W209" s="172">
        <f t="shared" si="74"/>
        <v>0</v>
      </c>
      <c r="X209" s="172">
        <f>VLOOKUP(R209,[1]MEP!$A$4:$Q$300,14)</f>
        <v>0</v>
      </c>
      <c r="Y209" s="172">
        <f>VLOOKUP(R209,[1]MEP!$A$4:$R$300,15)</f>
        <v>0</v>
      </c>
      <c r="Z209" s="172">
        <f>VLOOKUP(R209,[1]MEP!$A$4:$R$300,16)</f>
        <v>0</v>
      </c>
      <c r="AA209" s="172">
        <f t="shared" si="70"/>
        <v>0</v>
      </c>
      <c r="AB209" s="172">
        <f t="shared" si="71"/>
        <v>0</v>
      </c>
      <c r="AC209" s="172">
        <f t="shared" si="75"/>
        <v>0</v>
      </c>
      <c r="AD209" s="172">
        <f t="shared" si="76"/>
        <v>0</v>
      </c>
      <c r="AE209" s="172">
        <f t="shared" si="77"/>
        <v>0</v>
      </c>
      <c r="AF209" s="172">
        <f t="shared" si="78"/>
        <v>0</v>
      </c>
      <c r="AG209" s="172">
        <f t="shared" si="79"/>
        <v>0</v>
      </c>
      <c r="AH209" s="172">
        <f t="shared" si="80"/>
        <v>0</v>
      </c>
      <c r="AI209" s="172">
        <f t="shared" si="81"/>
        <v>0</v>
      </c>
      <c r="AJ209" s="172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>
        <f>'Alim -Surf'!Q53</f>
        <v>0</v>
      </c>
      <c r="S210" s="172">
        <f>'Alim -Surf'!R53</f>
        <v>0</v>
      </c>
      <c r="T210" s="172">
        <f>VLOOKUP(R210,[1]MEP!$A$4:$M$300,13)</f>
        <v>0</v>
      </c>
      <c r="U210" s="172">
        <f t="shared" si="72"/>
        <v>0</v>
      </c>
      <c r="V210" s="172">
        <f t="shared" si="73"/>
        <v>0</v>
      </c>
      <c r="W210" s="172">
        <f t="shared" si="74"/>
        <v>0</v>
      </c>
      <c r="X210" s="172">
        <f>VLOOKUP(R210,[1]MEP!$A$4:$Q$300,14)</f>
        <v>0</v>
      </c>
      <c r="Y210" s="172">
        <f>VLOOKUP(R210,[1]MEP!$A$4:$R$300,15)</f>
        <v>0</v>
      </c>
      <c r="Z210" s="172">
        <f>VLOOKUP(R210,[1]MEP!$A$4:$R$300,16)</f>
        <v>0</v>
      </c>
      <c r="AA210" s="172">
        <f t="shared" si="70"/>
        <v>0</v>
      </c>
      <c r="AB210" s="172">
        <f t="shared" si="71"/>
        <v>0</v>
      </c>
      <c r="AC210" s="172">
        <f t="shared" si="75"/>
        <v>0</v>
      </c>
      <c r="AD210" s="172">
        <f t="shared" si="76"/>
        <v>0</v>
      </c>
      <c r="AE210" s="172">
        <f t="shared" si="77"/>
        <v>0</v>
      </c>
      <c r="AF210" s="172">
        <f t="shared" si="78"/>
        <v>0</v>
      </c>
      <c r="AG210" s="172">
        <f t="shared" si="79"/>
        <v>0</v>
      </c>
      <c r="AH210" s="172">
        <f t="shared" si="80"/>
        <v>0</v>
      </c>
      <c r="AI210" s="172">
        <f t="shared" si="81"/>
        <v>0</v>
      </c>
      <c r="AJ210" s="172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0"/>
      <c r="Q211" s="175">
        <v>4</v>
      </c>
      <c r="R211" s="172">
        <f>'Alim -Surf'!Q54</f>
        <v>0</v>
      </c>
      <c r="S211" s="172">
        <f>'Alim -Surf'!R54</f>
        <v>0</v>
      </c>
      <c r="T211" s="172">
        <f>VLOOKUP(R211,[1]MEP!$A$4:$M$300,13)</f>
        <v>0</v>
      </c>
      <c r="U211" s="172">
        <f t="shared" si="72"/>
        <v>0</v>
      </c>
      <c r="V211" s="172">
        <f t="shared" si="73"/>
        <v>0</v>
      </c>
      <c r="W211" s="172">
        <f t="shared" si="74"/>
        <v>0</v>
      </c>
      <c r="X211" s="172">
        <f>VLOOKUP(R211,[1]MEP!$A$4:$Q$300,14)</f>
        <v>0</v>
      </c>
      <c r="Y211" s="172">
        <f>VLOOKUP(R211,[1]MEP!$A$4:$R$300,15)</f>
        <v>0</v>
      </c>
      <c r="Z211" s="172">
        <f>VLOOKUP(R211,[1]MEP!$A$4:$R$300,16)</f>
        <v>0</v>
      </c>
      <c r="AA211" s="172">
        <f t="shared" si="70"/>
        <v>0</v>
      </c>
      <c r="AB211" s="172">
        <f t="shared" si="71"/>
        <v>0</v>
      </c>
      <c r="AC211" s="172">
        <f t="shared" si="75"/>
        <v>0</v>
      </c>
      <c r="AD211" s="172">
        <f t="shared" si="76"/>
        <v>0</v>
      </c>
      <c r="AE211" s="172">
        <f t="shared" si="77"/>
        <v>0</v>
      </c>
      <c r="AF211" s="172">
        <f t="shared" si="78"/>
        <v>0</v>
      </c>
      <c r="AG211" s="172">
        <f t="shared" si="79"/>
        <v>0</v>
      </c>
      <c r="AH211" s="172">
        <f t="shared" si="80"/>
        <v>0</v>
      </c>
      <c r="AI211" s="172">
        <f t="shared" si="81"/>
        <v>0</v>
      </c>
      <c r="AJ211" s="172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>
        <f>'Alim -Surf'!Q55</f>
        <v>0</v>
      </c>
      <c r="S212" s="172">
        <f>'Alim -Surf'!R55</f>
        <v>0</v>
      </c>
      <c r="T212" s="172">
        <f>VLOOKUP(R212,[1]MEP!$A$4:$M$300,13)</f>
        <v>0</v>
      </c>
      <c r="U212" s="172">
        <f t="shared" si="72"/>
        <v>0</v>
      </c>
      <c r="V212" s="172">
        <f t="shared" si="73"/>
        <v>0</v>
      </c>
      <c r="W212" s="172">
        <f t="shared" si="74"/>
        <v>0</v>
      </c>
      <c r="X212" s="172">
        <f>VLOOKUP(R212,[1]MEP!$A$4:$Q$300,14)</f>
        <v>0</v>
      </c>
      <c r="Y212" s="172">
        <f>VLOOKUP(R212,[1]MEP!$A$4:$R$300,15)</f>
        <v>0</v>
      </c>
      <c r="Z212" s="172">
        <f>VLOOKUP(R212,[1]MEP!$A$4:$R$300,16)</f>
        <v>0</v>
      </c>
      <c r="AA212" s="172">
        <f t="shared" si="70"/>
        <v>0</v>
      </c>
      <c r="AB212" s="172">
        <f t="shared" si="71"/>
        <v>0</v>
      </c>
      <c r="AC212" s="172">
        <f t="shared" si="75"/>
        <v>0</v>
      </c>
      <c r="AD212" s="172">
        <f t="shared" si="76"/>
        <v>0</v>
      </c>
      <c r="AE212" s="172">
        <f t="shared" si="77"/>
        <v>0</v>
      </c>
      <c r="AF212" s="172">
        <f t="shared" si="78"/>
        <v>0</v>
      </c>
      <c r="AG212" s="172">
        <f t="shared" si="79"/>
        <v>0</v>
      </c>
      <c r="AH212" s="172">
        <f t="shared" si="80"/>
        <v>0</v>
      </c>
      <c r="AI212" s="172">
        <f t="shared" si="81"/>
        <v>0</v>
      </c>
      <c r="AJ212" s="172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>
        <f>'Alim -Surf'!Q56</f>
        <v>0</v>
      </c>
      <c r="S213" s="172">
        <f>'Alim -Surf'!R56</f>
        <v>0</v>
      </c>
      <c r="T213" s="172">
        <f>VLOOKUP(R213,[1]MEP!$A$4:$M$300,13)</f>
        <v>0</v>
      </c>
      <c r="U213" s="172">
        <f t="shared" si="72"/>
        <v>0</v>
      </c>
      <c r="V213" s="172">
        <f t="shared" si="73"/>
        <v>0</v>
      </c>
      <c r="W213" s="172">
        <f t="shared" si="74"/>
        <v>0</v>
      </c>
      <c r="X213" s="172">
        <f>VLOOKUP(R213,[1]MEP!$A$4:$Q$300,14)</f>
        <v>0</v>
      </c>
      <c r="Y213" s="172">
        <f>VLOOKUP(R213,[1]MEP!$A$4:$R$300,15)</f>
        <v>0</v>
      </c>
      <c r="Z213" s="172">
        <f>VLOOKUP(R213,[1]MEP!$A$4:$R$300,16)</f>
        <v>0</v>
      </c>
      <c r="AA213" s="172">
        <f t="shared" si="70"/>
        <v>0</v>
      </c>
      <c r="AB213" s="172">
        <f t="shared" si="71"/>
        <v>0</v>
      </c>
      <c r="AC213" s="172">
        <f t="shared" si="75"/>
        <v>0</v>
      </c>
      <c r="AD213" s="172">
        <f t="shared" si="76"/>
        <v>0</v>
      </c>
      <c r="AE213" s="172">
        <f t="shared" si="77"/>
        <v>0</v>
      </c>
      <c r="AF213" s="172">
        <f t="shared" si="78"/>
        <v>0</v>
      </c>
      <c r="AG213" s="172">
        <f t="shared" si="79"/>
        <v>0</v>
      </c>
      <c r="AH213" s="172">
        <f t="shared" si="80"/>
        <v>0</v>
      </c>
      <c r="AI213" s="172">
        <f t="shared" si="81"/>
        <v>0</v>
      </c>
      <c r="AJ213" s="172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>
        <f>'Alim -Surf'!Q57</f>
        <v>0</v>
      </c>
      <c r="S214" s="172">
        <f>'Alim -Surf'!R57</f>
        <v>0</v>
      </c>
      <c r="T214" s="172">
        <f>VLOOKUP(R214,[1]MEP!$A$4:$M$300,13)</f>
        <v>0</v>
      </c>
      <c r="U214" s="172">
        <f t="shared" si="72"/>
        <v>0</v>
      </c>
      <c r="V214" s="172">
        <f t="shared" si="73"/>
        <v>0</v>
      </c>
      <c r="W214" s="172">
        <f t="shared" si="74"/>
        <v>0</v>
      </c>
      <c r="X214" s="172">
        <f>VLOOKUP(R214,[1]MEP!$A$4:$Q$300,14)</f>
        <v>0</v>
      </c>
      <c r="Y214" s="172">
        <f>VLOOKUP(R214,[1]MEP!$A$4:$R$300,15)</f>
        <v>0</v>
      </c>
      <c r="Z214" s="172">
        <f>VLOOKUP(R214,[1]MEP!$A$4:$R$300,16)</f>
        <v>0</v>
      </c>
      <c r="AA214" s="172">
        <f t="shared" si="70"/>
        <v>0</v>
      </c>
      <c r="AB214" s="172">
        <f t="shared" si="71"/>
        <v>0</v>
      </c>
      <c r="AC214" s="172">
        <f t="shared" si="75"/>
        <v>0</v>
      </c>
      <c r="AD214" s="172">
        <f t="shared" si="76"/>
        <v>0</v>
      </c>
      <c r="AE214" s="172">
        <f t="shared" si="77"/>
        <v>0</v>
      </c>
      <c r="AF214" s="172">
        <f t="shared" si="78"/>
        <v>0</v>
      </c>
      <c r="AG214" s="172">
        <f t="shared" si="79"/>
        <v>0</v>
      </c>
      <c r="AH214" s="172">
        <f t="shared" si="80"/>
        <v>0</v>
      </c>
      <c r="AI214" s="172">
        <f t="shared" si="81"/>
        <v>0</v>
      </c>
      <c r="AJ214" s="172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>
        <f>'Alim -Surf'!Q58</f>
        <v>0</v>
      </c>
      <c r="S215" s="172">
        <f>'Alim -Surf'!R58</f>
        <v>0</v>
      </c>
      <c r="T215" s="172">
        <f>VLOOKUP(R215,[1]MEP!$A$4:$M$300,13)</f>
        <v>0</v>
      </c>
      <c r="U215" s="172">
        <f t="shared" si="72"/>
        <v>0</v>
      </c>
      <c r="V215" s="172">
        <f t="shared" si="73"/>
        <v>0</v>
      </c>
      <c r="W215" s="172">
        <f t="shared" si="74"/>
        <v>0</v>
      </c>
      <c r="X215" s="172">
        <f>VLOOKUP(R215,[1]MEP!$A$4:$Q$300,14)</f>
        <v>0</v>
      </c>
      <c r="Y215" s="172">
        <f>VLOOKUP(R215,[1]MEP!$A$4:$R$300,15)</f>
        <v>0</v>
      </c>
      <c r="Z215" s="172">
        <f>VLOOKUP(R215,[1]MEP!$A$4:$R$300,16)</f>
        <v>0</v>
      </c>
      <c r="AA215" s="172">
        <f t="shared" si="70"/>
        <v>0</v>
      </c>
      <c r="AB215" s="172">
        <f t="shared" si="71"/>
        <v>0</v>
      </c>
      <c r="AC215" s="172">
        <f t="shared" si="75"/>
        <v>0</v>
      </c>
      <c r="AD215" s="172">
        <f t="shared" si="76"/>
        <v>0</v>
      </c>
      <c r="AE215" s="172">
        <f t="shared" si="77"/>
        <v>0</v>
      </c>
      <c r="AF215" s="172">
        <f t="shared" si="78"/>
        <v>0</v>
      </c>
      <c r="AG215" s="172">
        <f t="shared" si="79"/>
        <v>0</v>
      </c>
      <c r="AH215" s="172">
        <f t="shared" si="80"/>
        <v>0</v>
      </c>
      <c r="AI215" s="172">
        <f t="shared" si="81"/>
        <v>0</v>
      </c>
      <c r="AJ215" s="172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>
        <f>'Alim -Surf'!Q59</f>
        <v>0</v>
      </c>
      <c r="S216" s="172">
        <f>'Alim -Surf'!R59</f>
        <v>0</v>
      </c>
      <c r="T216" s="172">
        <f>VLOOKUP(R216,[1]MEP!$A$4:$M$300,13)</f>
        <v>0</v>
      </c>
      <c r="U216" s="172">
        <f t="shared" si="72"/>
        <v>0</v>
      </c>
      <c r="V216" s="172">
        <f t="shared" si="73"/>
        <v>0</v>
      </c>
      <c r="W216" s="172">
        <f t="shared" si="74"/>
        <v>0</v>
      </c>
      <c r="X216" s="172">
        <f>VLOOKUP(R216,[1]MEP!$A$4:$Q$300,14)</f>
        <v>0</v>
      </c>
      <c r="Y216" s="172">
        <f>VLOOKUP(R216,[1]MEP!$A$4:$R$300,15)</f>
        <v>0</v>
      </c>
      <c r="Z216" s="172">
        <f>VLOOKUP(R216,[1]MEP!$A$4:$R$300,16)</f>
        <v>0</v>
      </c>
      <c r="AA216" s="172">
        <f t="shared" si="70"/>
        <v>0</v>
      </c>
      <c r="AB216" s="172">
        <f t="shared" si="71"/>
        <v>0</v>
      </c>
      <c r="AC216" s="172">
        <f t="shared" si="75"/>
        <v>0</v>
      </c>
      <c r="AD216" s="172">
        <f t="shared" si="76"/>
        <v>0</v>
      </c>
      <c r="AE216" s="172">
        <f t="shared" si="77"/>
        <v>0</v>
      </c>
      <c r="AF216" s="172">
        <f t="shared" si="78"/>
        <v>0</v>
      </c>
      <c r="AG216" s="172">
        <f t="shared" si="79"/>
        <v>0</v>
      </c>
      <c r="AH216" s="172">
        <f t="shared" si="80"/>
        <v>0</v>
      </c>
      <c r="AI216" s="172">
        <f t="shared" si="81"/>
        <v>0</v>
      </c>
      <c r="AJ216" s="172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>
        <f>'Alim -Surf'!Q60</f>
        <v>0</v>
      </c>
      <c r="S217" s="172">
        <f>'Alim -Surf'!R60</f>
        <v>0</v>
      </c>
      <c r="T217" s="172">
        <f>VLOOKUP(R217,[1]MEP!$A$4:$M$300,13)</f>
        <v>0</v>
      </c>
      <c r="U217" s="172">
        <f t="shared" si="72"/>
        <v>0</v>
      </c>
      <c r="V217" s="172">
        <f t="shared" si="73"/>
        <v>0</v>
      </c>
      <c r="W217" s="172">
        <f t="shared" si="74"/>
        <v>0</v>
      </c>
      <c r="X217" s="172">
        <f>VLOOKUP(R217,[1]MEP!$A$4:$Q$300,14)</f>
        <v>0</v>
      </c>
      <c r="Y217" s="172">
        <f>VLOOKUP(R217,[1]MEP!$A$4:$R$300,15)</f>
        <v>0</v>
      </c>
      <c r="Z217" s="172">
        <f>VLOOKUP(R217,[1]MEP!$A$4:$R$300,16)</f>
        <v>0</v>
      </c>
      <c r="AA217" s="172">
        <f t="shared" si="70"/>
        <v>0</v>
      </c>
      <c r="AB217" s="172">
        <f t="shared" si="71"/>
        <v>0</v>
      </c>
      <c r="AC217" s="172">
        <f t="shared" si="75"/>
        <v>0</v>
      </c>
      <c r="AD217" s="172">
        <f t="shared" si="76"/>
        <v>0</v>
      </c>
      <c r="AE217" s="172">
        <f t="shared" si="77"/>
        <v>0</v>
      </c>
      <c r="AF217" s="172">
        <f t="shared" si="78"/>
        <v>0</v>
      </c>
      <c r="AG217" s="172">
        <f t="shared" si="79"/>
        <v>0</v>
      </c>
      <c r="AH217" s="172">
        <f t="shared" si="80"/>
        <v>0</v>
      </c>
      <c r="AI217" s="172">
        <f t="shared" si="81"/>
        <v>0</v>
      </c>
      <c r="AJ217" s="172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>
        <f>'Alim -Surf'!Q61</f>
        <v>0</v>
      </c>
      <c r="S218" s="172">
        <f>'Alim -Surf'!R61</f>
        <v>0</v>
      </c>
      <c r="T218" s="172">
        <f>VLOOKUP(R218,[1]MEP!$A$4:$M$300,13)</f>
        <v>0</v>
      </c>
      <c r="U218" s="172">
        <f t="shared" si="72"/>
        <v>0</v>
      </c>
      <c r="V218" s="172">
        <f t="shared" si="73"/>
        <v>0</v>
      </c>
      <c r="W218" s="172">
        <f t="shared" si="74"/>
        <v>0</v>
      </c>
      <c r="X218" s="172">
        <f>VLOOKUP(R218,[1]MEP!$A$4:$Q$300,14)</f>
        <v>0</v>
      </c>
      <c r="Y218" s="172">
        <f>VLOOKUP(R218,[1]MEP!$A$4:$R$300,15)</f>
        <v>0</v>
      </c>
      <c r="Z218" s="172">
        <f>VLOOKUP(R218,[1]MEP!$A$4:$R$300,16)</f>
        <v>0</v>
      </c>
      <c r="AA218" s="172">
        <f t="shared" si="70"/>
        <v>0</v>
      </c>
      <c r="AB218" s="172">
        <f t="shared" si="71"/>
        <v>0</v>
      </c>
      <c r="AC218" s="172">
        <f t="shared" si="75"/>
        <v>0</v>
      </c>
      <c r="AD218" s="172">
        <f t="shared" si="76"/>
        <v>0</v>
      </c>
      <c r="AE218" s="172">
        <f t="shared" si="77"/>
        <v>0</v>
      </c>
      <c r="AF218" s="172">
        <f t="shared" si="78"/>
        <v>0</v>
      </c>
      <c r="AG218" s="172">
        <f t="shared" si="79"/>
        <v>0</v>
      </c>
      <c r="AH218" s="172">
        <f t="shared" si="80"/>
        <v>0</v>
      </c>
      <c r="AI218" s="172">
        <f t="shared" si="81"/>
        <v>0</v>
      </c>
      <c r="AJ218" s="172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>
        <f>'Alim -Surf'!Q62</f>
        <v>0</v>
      </c>
      <c r="S219" s="172">
        <f>'Alim -Surf'!R62</f>
        <v>0</v>
      </c>
      <c r="T219" s="172">
        <f>VLOOKUP(R219,[1]MEP!$A$4:$M$300,13)</f>
        <v>0</v>
      </c>
      <c r="U219" s="172">
        <f t="shared" si="72"/>
        <v>0</v>
      </c>
      <c r="V219" s="172">
        <f t="shared" si="73"/>
        <v>0</v>
      </c>
      <c r="W219" s="172">
        <f t="shared" si="74"/>
        <v>0</v>
      </c>
      <c r="X219" s="172">
        <f>VLOOKUP(R219,[1]MEP!$A$4:$Q$300,14)</f>
        <v>0</v>
      </c>
      <c r="Y219" s="172">
        <f>VLOOKUP(R219,[1]MEP!$A$4:$R$300,15)</f>
        <v>0</v>
      </c>
      <c r="Z219" s="172">
        <f>VLOOKUP(R219,[1]MEP!$A$4:$R$300,16)</f>
        <v>0</v>
      </c>
      <c r="AA219" s="172">
        <f t="shared" si="70"/>
        <v>0</v>
      </c>
      <c r="AB219" s="172">
        <f t="shared" si="71"/>
        <v>0</v>
      </c>
      <c r="AC219" s="172">
        <f t="shared" si="75"/>
        <v>0</v>
      </c>
      <c r="AD219" s="172">
        <f t="shared" si="76"/>
        <v>0</v>
      </c>
      <c r="AE219" s="172">
        <f t="shared" si="77"/>
        <v>0</v>
      </c>
      <c r="AF219" s="172">
        <f t="shared" si="78"/>
        <v>0</v>
      </c>
      <c r="AG219" s="172">
        <f t="shared" si="79"/>
        <v>0</v>
      </c>
      <c r="AH219" s="172">
        <f t="shared" si="80"/>
        <v>0</v>
      </c>
      <c r="AI219" s="172">
        <f t="shared" si="81"/>
        <v>0</v>
      </c>
      <c r="AJ219" s="172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>
        <f>'Alim -Surf'!Q63</f>
        <v>0</v>
      </c>
      <c r="S220" s="172">
        <f>'Alim -Surf'!R63</f>
        <v>0</v>
      </c>
      <c r="T220" s="172">
        <f>VLOOKUP(R220,[1]MEP!$A$4:$M$300,13)</f>
        <v>0</v>
      </c>
      <c r="U220" s="172">
        <f t="shared" si="72"/>
        <v>0</v>
      </c>
      <c r="V220" s="172">
        <f t="shared" si="73"/>
        <v>0</v>
      </c>
      <c r="W220" s="172">
        <f t="shared" si="74"/>
        <v>0</v>
      </c>
      <c r="X220" s="172">
        <f>VLOOKUP(R220,[1]MEP!$A$4:$Q$300,14)</f>
        <v>0</v>
      </c>
      <c r="Y220" s="172">
        <f>VLOOKUP(R220,[1]MEP!$A$4:$R$300,15)</f>
        <v>0</v>
      </c>
      <c r="Z220" s="172">
        <f>VLOOKUP(R220,[1]MEP!$A$4:$R$300,16)</f>
        <v>0</v>
      </c>
      <c r="AA220" s="172">
        <f t="shared" si="70"/>
        <v>0</v>
      </c>
      <c r="AB220" s="172">
        <f t="shared" si="71"/>
        <v>0</v>
      </c>
      <c r="AC220" s="172">
        <f t="shared" si="75"/>
        <v>0</v>
      </c>
      <c r="AD220" s="172">
        <f t="shared" si="76"/>
        <v>0</v>
      </c>
      <c r="AE220" s="172">
        <f t="shared" si="77"/>
        <v>0</v>
      </c>
      <c r="AF220" s="172">
        <f t="shared" si="78"/>
        <v>0</v>
      </c>
      <c r="AG220" s="172">
        <f t="shared" si="79"/>
        <v>0</v>
      </c>
      <c r="AH220" s="172">
        <f t="shared" si="80"/>
        <v>0</v>
      </c>
      <c r="AI220" s="172">
        <f t="shared" si="81"/>
        <v>0</v>
      </c>
      <c r="AJ220" s="172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>
        <f>'Alim -Surf'!Q64</f>
        <v>0</v>
      </c>
      <c r="S221" s="172">
        <f>'Alim -Surf'!R64</f>
        <v>0</v>
      </c>
      <c r="T221" s="172">
        <f>VLOOKUP(R221,[1]MEP!$A$4:$M$300,13)</f>
        <v>0</v>
      </c>
      <c r="U221" s="172">
        <f t="shared" si="72"/>
        <v>0</v>
      </c>
      <c r="V221" s="172">
        <f t="shared" si="73"/>
        <v>0</v>
      </c>
      <c r="W221" s="172">
        <f t="shared" si="74"/>
        <v>0</v>
      </c>
      <c r="X221" s="172">
        <f>VLOOKUP(R221,[1]MEP!$A$4:$Q$300,14)</f>
        <v>0</v>
      </c>
      <c r="Y221" s="172">
        <f>VLOOKUP(R221,[1]MEP!$A$4:$R$300,15)</f>
        <v>0</v>
      </c>
      <c r="Z221" s="172">
        <f>VLOOKUP(R221,[1]MEP!$A$4:$R$300,16)</f>
        <v>0</v>
      </c>
      <c r="AA221" s="172">
        <f t="shared" si="70"/>
        <v>0</v>
      </c>
      <c r="AB221" s="172">
        <f t="shared" si="71"/>
        <v>0</v>
      </c>
      <c r="AC221" s="172">
        <f t="shared" si="75"/>
        <v>0</v>
      </c>
      <c r="AD221" s="172">
        <f t="shared" si="76"/>
        <v>0</v>
      </c>
      <c r="AE221" s="172">
        <f t="shared" si="77"/>
        <v>0</v>
      </c>
      <c r="AF221" s="172">
        <f t="shared" si="78"/>
        <v>0</v>
      </c>
      <c r="AG221" s="172">
        <f t="shared" si="79"/>
        <v>0</v>
      </c>
      <c r="AH221" s="172">
        <f t="shared" si="80"/>
        <v>0</v>
      </c>
      <c r="AI221" s="172">
        <f t="shared" si="81"/>
        <v>0</v>
      </c>
      <c r="AJ221" s="172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>
        <f>'Alim -Surf'!Q65</f>
        <v>0</v>
      </c>
      <c r="S222" s="172">
        <f>'Alim -Surf'!R65</f>
        <v>0</v>
      </c>
      <c r="T222" s="172">
        <f>VLOOKUP(R222,[1]MEP!$A$4:$M$300,13)</f>
        <v>0</v>
      </c>
      <c r="U222" s="172">
        <f t="shared" si="72"/>
        <v>0</v>
      </c>
      <c r="V222" s="172">
        <f t="shared" si="73"/>
        <v>0</v>
      </c>
      <c r="W222" s="172">
        <f t="shared" si="74"/>
        <v>0</v>
      </c>
      <c r="X222" s="172">
        <f>VLOOKUP(R222,[1]MEP!$A$4:$Q$300,14)</f>
        <v>0</v>
      </c>
      <c r="Y222" s="172">
        <f>VLOOKUP(R222,[1]MEP!$A$4:$R$300,15)</f>
        <v>0</v>
      </c>
      <c r="Z222" s="172">
        <f>VLOOKUP(R222,[1]MEP!$A$4:$R$300,16)</f>
        <v>0</v>
      </c>
      <c r="AA222" s="172">
        <f t="shared" si="70"/>
        <v>0</v>
      </c>
      <c r="AB222" s="172">
        <f t="shared" si="71"/>
        <v>0</v>
      </c>
      <c r="AC222" s="172">
        <f t="shared" si="75"/>
        <v>0</v>
      </c>
      <c r="AD222" s="172">
        <f t="shared" si="76"/>
        <v>0</v>
      </c>
      <c r="AE222" s="172">
        <f t="shared" si="77"/>
        <v>0</v>
      </c>
      <c r="AF222" s="172">
        <f t="shared" si="78"/>
        <v>0</v>
      </c>
      <c r="AG222" s="172">
        <f t="shared" si="79"/>
        <v>0</v>
      </c>
      <c r="AH222" s="172">
        <f t="shared" si="80"/>
        <v>0</v>
      </c>
      <c r="AI222" s="172">
        <f t="shared" si="81"/>
        <v>0</v>
      </c>
      <c r="AJ222" s="172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>
        <f>'Alim -Surf'!Q66</f>
        <v>0</v>
      </c>
      <c r="S223" s="172">
        <f>'Alim -Surf'!R66</f>
        <v>0</v>
      </c>
      <c r="T223" s="172">
        <f>VLOOKUP(R223,[1]MEP!$A$4:$M$300,13)</f>
        <v>0</v>
      </c>
      <c r="U223" s="172">
        <f t="shared" si="72"/>
        <v>0</v>
      </c>
      <c r="V223" s="172">
        <f t="shared" si="73"/>
        <v>0</v>
      </c>
      <c r="W223" s="172">
        <f t="shared" si="74"/>
        <v>0</v>
      </c>
      <c r="X223" s="172">
        <f>VLOOKUP(R223,[1]MEP!$A$4:$Q$300,14)</f>
        <v>0</v>
      </c>
      <c r="Y223" s="172">
        <f>VLOOKUP(R223,[1]MEP!$A$4:$R$300,15)</f>
        <v>0</v>
      </c>
      <c r="Z223" s="172">
        <f>VLOOKUP(R223,[1]MEP!$A$4:$R$300,16)</f>
        <v>0</v>
      </c>
      <c r="AA223" s="172">
        <f t="shared" si="70"/>
        <v>0</v>
      </c>
      <c r="AB223" s="172">
        <f t="shared" si="71"/>
        <v>0</v>
      </c>
      <c r="AC223" s="172">
        <f t="shared" si="75"/>
        <v>0</v>
      </c>
      <c r="AD223" s="172">
        <f t="shared" si="76"/>
        <v>0</v>
      </c>
      <c r="AE223" s="172">
        <f t="shared" si="77"/>
        <v>0</v>
      </c>
      <c r="AF223" s="172">
        <f t="shared" si="78"/>
        <v>0</v>
      </c>
      <c r="AG223" s="172">
        <f t="shared" si="79"/>
        <v>0</v>
      </c>
      <c r="AH223" s="172">
        <f t="shared" si="80"/>
        <v>0</v>
      </c>
      <c r="AI223" s="172">
        <f t="shared" si="81"/>
        <v>0</v>
      </c>
      <c r="AJ223" s="172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>
        <f>'Alim -Surf'!Q67</f>
        <v>0</v>
      </c>
      <c r="S224" s="172">
        <f>'Alim -Surf'!R67</f>
        <v>0</v>
      </c>
      <c r="T224" s="172">
        <f>VLOOKUP(R224,[1]MEP!$A$4:$M$300,13)</f>
        <v>0</v>
      </c>
      <c r="U224" s="172">
        <f t="shared" si="72"/>
        <v>0</v>
      </c>
      <c r="V224" s="172">
        <f t="shared" si="73"/>
        <v>0</v>
      </c>
      <c r="W224" s="172">
        <f t="shared" si="74"/>
        <v>0</v>
      </c>
      <c r="X224" s="172">
        <f>VLOOKUP(R224,[1]MEP!$A$4:$Q$300,14)</f>
        <v>0</v>
      </c>
      <c r="Y224" s="172">
        <f>VLOOKUP(R224,[1]MEP!$A$4:$R$300,15)</f>
        <v>0</v>
      </c>
      <c r="Z224" s="172">
        <f>VLOOKUP(R224,[1]MEP!$A$4:$R$300,16)</f>
        <v>0</v>
      </c>
      <c r="AA224" s="172">
        <f t="shared" si="70"/>
        <v>0</v>
      </c>
      <c r="AB224" s="172">
        <f t="shared" si="71"/>
        <v>0</v>
      </c>
      <c r="AC224" s="172">
        <f t="shared" si="75"/>
        <v>0</v>
      </c>
      <c r="AD224" s="172">
        <f t="shared" si="76"/>
        <v>0</v>
      </c>
      <c r="AE224" s="172">
        <f t="shared" si="77"/>
        <v>0</v>
      </c>
      <c r="AF224" s="172">
        <f t="shared" si="78"/>
        <v>0</v>
      </c>
      <c r="AG224" s="172">
        <f t="shared" si="79"/>
        <v>0</v>
      </c>
      <c r="AH224" s="172">
        <f t="shared" si="80"/>
        <v>0</v>
      </c>
      <c r="AI224" s="172">
        <f t="shared" si="81"/>
        <v>0</v>
      </c>
      <c r="AJ224" s="172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>
        <f>'Alim -Surf'!Q68</f>
        <v>0</v>
      </c>
      <c r="S225" s="172">
        <f>'Alim -Surf'!R68</f>
        <v>0</v>
      </c>
      <c r="T225" s="172">
        <f>VLOOKUP(R225,[1]MEP!$A$4:$M$300,13)</f>
        <v>0</v>
      </c>
      <c r="U225" s="172">
        <f t="shared" si="72"/>
        <v>0</v>
      </c>
      <c r="V225" s="172">
        <f t="shared" si="73"/>
        <v>0</v>
      </c>
      <c r="W225" s="172">
        <f t="shared" si="74"/>
        <v>0</v>
      </c>
      <c r="X225" s="172">
        <f>VLOOKUP(R225,[1]MEP!$A$4:$Q$300,14)</f>
        <v>0</v>
      </c>
      <c r="Y225" s="172">
        <f>VLOOKUP(R225,[1]MEP!$A$4:$R$300,15)</f>
        <v>0</v>
      </c>
      <c r="Z225" s="172">
        <f>VLOOKUP(R225,[1]MEP!$A$4:$R$300,16)</f>
        <v>0</v>
      </c>
      <c r="AA225" s="172">
        <f t="shared" si="70"/>
        <v>0</v>
      </c>
      <c r="AB225" s="172">
        <f t="shared" si="71"/>
        <v>0</v>
      </c>
      <c r="AC225" s="172">
        <f t="shared" si="75"/>
        <v>0</v>
      </c>
      <c r="AD225" s="172">
        <f t="shared" si="76"/>
        <v>0</v>
      </c>
      <c r="AE225" s="172">
        <f t="shared" si="77"/>
        <v>0</v>
      </c>
      <c r="AF225" s="172">
        <f t="shared" si="78"/>
        <v>0</v>
      </c>
      <c r="AG225" s="172">
        <f t="shared" si="79"/>
        <v>0</v>
      </c>
      <c r="AH225" s="172">
        <f t="shared" si="80"/>
        <v>0</v>
      </c>
      <c r="AI225" s="172">
        <f t="shared" si="81"/>
        <v>0</v>
      </c>
      <c r="AJ225" s="172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>
        <f>'Alim -Surf'!Q69</f>
        <v>0</v>
      </c>
      <c r="S226" s="172">
        <f>'Alim -Surf'!R69</f>
        <v>0</v>
      </c>
      <c r="T226" s="172">
        <f>VLOOKUP(R226,[1]MEP!$A$4:$M$300,13)</f>
        <v>0</v>
      </c>
      <c r="U226" s="172">
        <f t="shared" si="72"/>
        <v>0</v>
      </c>
      <c r="V226" s="172">
        <f t="shared" si="73"/>
        <v>0</v>
      </c>
      <c r="W226" s="172">
        <f t="shared" si="74"/>
        <v>0</v>
      </c>
      <c r="X226" s="172">
        <f>VLOOKUP(R226,[1]MEP!$A$4:$Q$300,14)</f>
        <v>0</v>
      </c>
      <c r="Y226" s="172">
        <f>VLOOKUP(R226,[1]MEP!$A$4:$R$300,15)</f>
        <v>0</v>
      </c>
      <c r="Z226" s="172">
        <f>VLOOKUP(R226,[1]MEP!$A$4:$R$300,16)</f>
        <v>0</v>
      </c>
      <c r="AA226" s="172">
        <f t="shared" si="70"/>
        <v>0</v>
      </c>
      <c r="AB226" s="172">
        <f t="shared" si="71"/>
        <v>0</v>
      </c>
      <c r="AC226" s="172">
        <f t="shared" si="75"/>
        <v>0</v>
      </c>
      <c r="AD226" s="172">
        <f t="shared" si="76"/>
        <v>0</v>
      </c>
      <c r="AE226" s="172">
        <f t="shared" si="77"/>
        <v>0</v>
      </c>
      <c r="AF226" s="172">
        <f t="shared" si="78"/>
        <v>0</v>
      </c>
      <c r="AG226" s="172">
        <f t="shared" si="79"/>
        <v>0</v>
      </c>
      <c r="AH226" s="172">
        <f t="shared" si="80"/>
        <v>0</v>
      </c>
      <c r="AI226" s="172">
        <f t="shared" si="81"/>
        <v>0</v>
      </c>
      <c r="AJ226" s="172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>
        <f>'Alim -Surf'!Q70</f>
        <v>0</v>
      </c>
      <c r="S227" s="172">
        <f>'Alim -Surf'!R70</f>
        <v>0</v>
      </c>
      <c r="T227" s="172">
        <f>VLOOKUP(R227,[1]MEP!$A$4:$M$300,13)</f>
        <v>0</v>
      </c>
      <c r="U227" s="172">
        <f t="shared" si="72"/>
        <v>0</v>
      </c>
      <c r="V227" s="172">
        <f t="shared" si="73"/>
        <v>0</v>
      </c>
      <c r="W227" s="172">
        <f t="shared" si="74"/>
        <v>0</v>
      </c>
      <c r="X227" s="172">
        <f>VLOOKUP(R227,[1]MEP!$A$4:$Q$300,14)</f>
        <v>0</v>
      </c>
      <c r="Y227" s="172">
        <f>VLOOKUP(R227,[1]MEP!$A$4:$R$300,15)</f>
        <v>0</v>
      </c>
      <c r="Z227" s="172">
        <f>VLOOKUP(R227,[1]MEP!$A$4:$R$300,16)</f>
        <v>0</v>
      </c>
      <c r="AA227" s="172">
        <f t="shared" si="70"/>
        <v>0</v>
      </c>
      <c r="AB227" s="172">
        <f t="shared" si="71"/>
        <v>0</v>
      </c>
      <c r="AC227" s="172">
        <f t="shared" si="75"/>
        <v>0</v>
      </c>
      <c r="AD227" s="172">
        <f t="shared" si="76"/>
        <v>0</v>
      </c>
      <c r="AE227" s="172">
        <f t="shared" si="77"/>
        <v>0</v>
      </c>
      <c r="AF227" s="172">
        <f t="shared" si="78"/>
        <v>0</v>
      </c>
      <c r="AG227" s="172">
        <f t="shared" si="79"/>
        <v>0</v>
      </c>
      <c r="AH227" s="172">
        <f t="shared" si="80"/>
        <v>0</v>
      </c>
      <c r="AI227" s="172">
        <f t="shared" si="81"/>
        <v>0</v>
      </c>
      <c r="AJ227" s="172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682</v>
      </c>
      <c r="R228" s="2"/>
      <c r="S228" s="62">
        <f t="shared" ref="S228" si="83">SUM(S164:S227)</f>
        <v>29.12</v>
      </c>
      <c r="U228" s="62">
        <f>SUM(U164:U227)</f>
        <v>13.85</v>
      </c>
      <c r="V228" s="62">
        <f t="shared" ref="V228:W228" si="84">SUM(V164:V227)</f>
        <v>11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29.12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15.27</v>
      </c>
      <c r="AI228" s="62">
        <f t="shared" si="86"/>
        <v>2.85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1140</v>
      </c>
      <c r="V232" t="s">
        <v>1141</v>
      </c>
      <c r="W232" t="s">
        <v>1142</v>
      </c>
      <c r="X232" t="s">
        <v>1143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1144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1145</v>
      </c>
      <c r="T234" s="30">
        <f>Protection!AK25</f>
        <v>5360</v>
      </c>
      <c r="U234" t="s">
        <v>1146</v>
      </c>
      <c r="V234" s="172"/>
      <c r="W234" s="172">
        <f>[1]Protect!$B$4</f>
        <v>6</v>
      </c>
      <c r="X234" s="172">
        <f>T234*W234</f>
        <v>32160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1147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1148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1149</v>
      </c>
      <c r="AA236" t="s">
        <v>1150</v>
      </c>
      <c r="AB236" t="s">
        <v>1151</v>
      </c>
      <c r="AC236" t="s">
        <v>1152</v>
      </c>
      <c r="AD236" t="s">
        <v>1153</v>
      </c>
      <c r="AE236" t="s">
        <v>1154</v>
      </c>
      <c r="AF236" t="s">
        <v>1155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1156</v>
      </c>
      <c r="X237" s="46">
        <f>SUM(X233:X236)</f>
        <v>32160</v>
      </c>
      <c r="Z237" s="30">
        <f>IF(Scénario!K84=1,MIN(0.8*'Calcul éco'!X237,[1]Protect!$B$68),IF(Scénario!K84=2,MIN(0.8*'Calcul éco'!X237,[1]Protect!$B$67),0))</f>
        <v>25728</v>
      </c>
      <c r="AA237" s="30">
        <f>X237-Z237</f>
        <v>6432</v>
      </c>
      <c r="AB237" s="30">
        <f>(Scénario!K127/100)*AA237</f>
        <v>0</v>
      </c>
      <c r="AC237" s="30">
        <f>AA237-AB237</f>
        <v>6432</v>
      </c>
      <c r="AD237" s="241">
        <f>[1]Protect!$B$19</f>
        <v>0.04</v>
      </c>
      <c r="AE237" s="213">
        <f>[1]Protect!$B$20</f>
        <v>10</v>
      </c>
      <c r="AF237" s="238">
        <f>PPMT(AD237,1,AE237,-AC237)+IPMT(AD237,1,AE237,-AC237)</f>
        <v>793.00735393143805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1157</v>
      </c>
      <c r="T240" s="30">
        <f>IF(Scénario!K87=3,Protection!AE33,0)</f>
        <v>0</v>
      </c>
      <c r="U240" t="s">
        <v>1146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1">
        <f>[1]Protect!$B$19</f>
        <v>0.04</v>
      </c>
      <c r="AE240" s="213">
        <f>[1]Protect!$B$20</f>
        <v>10</v>
      </c>
      <c r="AF240" s="238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1158</v>
      </c>
      <c r="W244" t="s">
        <v>1089</v>
      </c>
      <c r="X244" t="s">
        <v>980</v>
      </c>
    </row>
    <row r="245" spans="17:31" x14ac:dyDescent="0.25">
      <c r="Q245" s="15"/>
      <c r="S245" s="14" t="s">
        <v>1159</v>
      </c>
      <c r="T245" s="30">
        <f>IF(Scénario!K87=0,0,Protection!AJ8)</f>
        <v>10</v>
      </c>
      <c r="X245" s="172">
        <f>ROUND((([1]Protect!$B$5/[1]Protect!$B$11)+[1]Protect!$B$8)*T245,0)</f>
        <v>9043</v>
      </c>
    </row>
    <row r="246" spans="17:31" x14ac:dyDescent="0.25">
      <c r="Q246" s="15"/>
      <c r="S246" s="14" t="s">
        <v>1160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1161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1162</v>
      </c>
      <c r="X248" s="172">
        <f>SUM(X245:X247)</f>
        <v>9043</v>
      </c>
    </row>
    <row r="249" spans="17:31" x14ac:dyDescent="0.25">
      <c r="W249" s="14" t="s">
        <v>1163</v>
      </c>
      <c r="X249" s="172">
        <f>ROUND(X246+X247+Protection!AJ5*(([1]Protect!$B$5/[1]Protect!$B$11)+[1]Protect!$B$8),0)</f>
        <v>9043</v>
      </c>
      <c r="AB249" t="s">
        <v>1164</v>
      </c>
    </row>
    <row r="250" spans="17:31" x14ac:dyDescent="0.25">
      <c r="AB250" t="s">
        <v>1165</v>
      </c>
    </row>
    <row r="254" spans="17:31" x14ac:dyDescent="0.25">
      <c r="S254" s="40" t="s">
        <v>1166</v>
      </c>
      <c r="T254" s="4">
        <f>IF(Scénario!K53="OL",Scénario!K55*(1/0.15)*Scénario!K56,0)</f>
        <v>0</v>
      </c>
      <c r="Y254" s="40" t="s">
        <v>1167</v>
      </c>
      <c r="Z254">
        <f>IF(Troupeau!B3="OL",Troupeau!B17,0)</f>
        <v>268</v>
      </c>
    </row>
    <row r="255" spans="17:31" x14ac:dyDescent="0.25">
      <c r="U255" t="s">
        <v>1168</v>
      </c>
      <c r="AA255" t="s">
        <v>1168</v>
      </c>
    </row>
    <row r="256" spans="17:31" x14ac:dyDescent="0.25">
      <c r="S256" s="14" t="s">
        <v>1169</v>
      </c>
      <c r="T256" s="30">
        <f>IF(T254&lt;151,1,0)</f>
        <v>1</v>
      </c>
      <c r="U256" s="172">
        <f>IF(T256=0,0,[1]Protect!$B76)</f>
        <v>7500</v>
      </c>
      <c r="Y256" s="14" t="s">
        <v>1170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1171</v>
      </c>
      <c r="T257" s="30">
        <f>IF(AND(150 &lt;T$254,T$254&lt;451),1,0)</f>
        <v>0</v>
      </c>
      <c r="U257" s="172">
        <f>IF(T257=0,0,[1]Protect!$B77)</f>
        <v>0</v>
      </c>
      <c r="Y257" s="14" t="s">
        <v>1172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1173</v>
      </c>
      <c r="T258" s="30">
        <f>IF(AND(540 &lt;T$254,T$254&lt;1201),1,0)</f>
        <v>0</v>
      </c>
      <c r="U258" s="172">
        <f>IF(T258=0,0,[1]Protect!$B78)</f>
        <v>0</v>
      </c>
      <c r="Y258" s="14" t="s">
        <v>1174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1175</v>
      </c>
      <c r="T259" s="30">
        <f>IF(AND(1200&lt;T$254,T$254&lt;1501),1,0)</f>
        <v>0</v>
      </c>
      <c r="U259" s="172">
        <f>IF(T259=0,0,[1]Protect!$B79)</f>
        <v>0</v>
      </c>
      <c r="Y259" s="14" t="s">
        <v>1176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1177</v>
      </c>
      <c r="T260" s="30">
        <f>IF(1500&lt;T$254,1,0)</f>
        <v>0</v>
      </c>
      <c r="U260" s="172">
        <f>IF(T260=0,0,[1]Protect!$B80)</f>
        <v>0</v>
      </c>
      <c r="Y260" s="14" t="s">
        <v>1178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1179</v>
      </c>
      <c r="V263" s="172">
        <f>IF(Scénario!K84=2,'Calcul éco'!V264,IF(Scénario!K84=1,'Calcul éco'!V265,0))</f>
        <v>7234.4000000000005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1180</v>
      </c>
      <c r="V264" s="172">
        <f>IF(X$249&lt;SUM(U256:U260),X$249*0.8,SUM(U256:U260))</f>
        <v>7500</v>
      </c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5"/>
    </row>
    <row r="265" spans="16:37" x14ac:dyDescent="0.25">
      <c r="P265" s="5"/>
      <c r="U265" s="14" t="s">
        <v>1181</v>
      </c>
      <c r="V265" s="172">
        <f>IF(X$249&lt;SUM(AA256:AA260),X$249*0.8,SUM(AA256:AA260))</f>
        <v>7234.4000000000005</v>
      </c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5"/>
    </row>
    <row r="266" spans="16:37" x14ac:dyDescent="0.25">
      <c r="P266" s="5"/>
      <c r="Z266" s="242"/>
      <c r="AA266" s="243"/>
      <c r="AB266" s="243"/>
      <c r="AC266" s="243"/>
      <c r="AD266" s="243"/>
      <c r="AE266" s="243"/>
      <c r="AF266" s="243"/>
      <c r="AG266" s="242"/>
      <c r="AH266" s="242"/>
      <c r="AI266" s="242"/>
      <c r="AJ266" s="242"/>
      <c r="AK266" s="5"/>
    </row>
    <row r="267" spans="16:37" x14ac:dyDescent="0.25">
      <c r="P267" s="5"/>
      <c r="Z267" s="242"/>
      <c r="AA267" s="243"/>
      <c r="AB267" s="243"/>
      <c r="AC267" s="243"/>
      <c r="AD267" s="243"/>
      <c r="AE267" s="243"/>
      <c r="AF267" s="243"/>
      <c r="AG267" s="242"/>
      <c r="AH267" s="242"/>
      <c r="AI267" s="242"/>
      <c r="AJ267" s="242"/>
      <c r="AK267" s="5"/>
    </row>
    <row r="268" spans="16:37" x14ac:dyDescent="0.25">
      <c r="P268" s="5"/>
      <c r="Q268" s="244"/>
      <c r="R268" s="245"/>
      <c r="S268" s="245"/>
      <c r="T268" s="246"/>
      <c r="U268" s="246"/>
      <c r="V268" s="246"/>
      <c r="W268" s="247"/>
      <c r="X268" s="247"/>
      <c r="Y268" s="242"/>
      <c r="Z268" s="243"/>
      <c r="AA268" s="242"/>
      <c r="AB268" s="242"/>
      <c r="AC268" s="242"/>
      <c r="AD268" s="242"/>
      <c r="AE268" s="248"/>
      <c r="AF268" s="248"/>
      <c r="AG268" s="242"/>
      <c r="AH268" s="242"/>
      <c r="AI268" s="242"/>
      <c r="AJ268" s="242"/>
      <c r="AK268" s="5"/>
    </row>
    <row r="269" spans="16:37" x14ac:dyDescent="0.25">
      <c r="P269" s="5"/>
      <c r="Q269" s="2" t="s">
        <v>1182</v>
      </c>
      <c r="Z269" s="243"/>
      <c r="AA269" s="242"/>
      <c r="AB269" s="242"/>
      <c r="AC269" s="242"/>
      <c r="AD269" s="242"/>
      <c r="AE269" s="248"/>
      <c r="AF269" s="248"/>
      <c r="AG269" s="242"/>
      <c r="AH269" s="242"/>
      <c r="AI269" s="242"/>
      <c r="AJ269" s="242"/>
      <c r="AK269" s="5"/>
    </row>
    <row r="270" spans="16:37" x14ac:dyDescent="0.25">
      <c r="P270" s="5"/>
      <c r="T270" s="33" t="s">
        <v>1183</v>
      </c>
      <c r="U270" s="33"/>
      <c r="V270" s="33"/>
      <c r="W270" s="33" t="s">
        <v>1184</v>
      </c>
      <c r="X270" s="33" t="s">
        <v>1047</v>
      </c>
      <c r="Z270" s="243"/>
      <c r="AA270" s="242"/>
      <c r="AB270" s="242"/>
      <c r="AC270" s="242"/>
      <c r="AD270" s="242"/>
      <c r="AE270" s="249"/>
      <c r="AF270" s="248"/>
      <c r="AG270" s="242"/>
      <c r="AH270" s="242"/>
      <c r="AI270" s="242"/>
      <c r="AJ270" s="242"/>
      <c r="AK270" s="5"/>
    </row>
    <row r="271" spans="16:37" x14ac:dyDescent="0.25">
      <c r="P271" s="5"/>
      <c r="S271" s="14" t="s">
        <v>1185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2"/>
      <c r="AA271" s="242"/>
      <c r="AB271" s="242"/>
      <c r="AC271" s="242"/>
      <c r="AD271" s="243"/>
      <c r="AE271" s="250"/>
      <c r="AF271" s="250"/>
      <c r="AG271" s="242"/>
      <c r="AH271" s="242"/>
      <c r="AI271" s="242"/>
      <c r="AJ271" s="242"/>
      <c r="AK271" s="5"/>
    </row>
    <row r="272" spans="16:37" x14ac:dyDescent="0.25">
      <c r="P272" s="5"/>
      <c r="S272" s="14" t="s">
        <v>1186</v>
      </c>
      <c r="T272" s="172">
        <f>T234*[1]Protect!$B$17/100</f>
        <v>80.400000000000006</v>
      </c>
      <c r="U272" s="172"/>
      <c r="V272" s="172"/>
      <c r="W272" s="172">
        <f>W234</f>
        <v>6</v>
      </c>
      <c r="X272" s="172">
        <f>T272*W272</f>
        <v>482.40000000000003</v>
      </c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5"/>
    </row>
    <row r="273" spans="16:37" x14ac:dyDescent="0.25">
      <c r="P273" s="5"/>
      <c r="S273" s="14" t="s">
        <v>1187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5"/>
    </row>
    <row r="274" spans="16:37" x14ac:dyDescent="0.25">
      <c r="P274" s="5"/>
      <c r="Q274" s="251"/>
      <c r="S274" s="14" t="s">
        <v>1147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  <c r="AJ274" s="242"/>
      <c r="AK274" s="5"/>
    </row>
    <row r="275" spans="16:37" x14ac:dyDescent="0.25">
      <c r="P275" s="5"/>
      <c r="Q275" s="244"/>
      <c r="S275" s="14" t="s">
        <v>1148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2"/>
      <c r="Z275" s="32"/>
      <c r="AA275" s="242"/>
      <c r="AB275" s="252"/>
      <c r="AC275" s="242"/>
      <c r="AD275" s="242"/>
      <c r="AE275" s="242"/>
      <c r="AF275" s="242"/>
      <c r="AG275" s="242"/>
      <c r="AH275" s="242"/>
      <c r="AI275" s="242"/>
      <c r="AJ275" s="242"/>
      <c r="AK275" s="5"/>
    </row>
    <row r="276" spans="16:37" x14ac:dyDescent="0.25">
      <c r="P276" s="5"/>
      <c r="Q276" s="244"/>
      <c r="R276" s="245"/>
      <c r="S276" s="253"/>
      <c r="T276" s="246"/>
      <c r="U276" s="246"/>
      <c r="V276" s="246"/>
      <c r="W276" s="246"/>
      <c r="X276" s="242"/>
      <c r="Y276" s="242"/>
      <c r="Z276" s="32"/>
      <c r="AA276" s="242"/>
      <c r="AB276" s="242"/>
      <c r="AC276" s="242"/>
      <c r="AD276" s="242"/>
      <c r="AE276" s="242"/>
      <c r="AF276" s="242"/>
      <c r="AG276" s="242"/>
      <c r="AH276" s="242"/>
      <c r="AI276" s="242"/>
      <c r="AJ276" s="242"/>
      <c r="AK276" s="5"/>
    </row>
    <row r="277" spans="16:37" x14ac:dyDescent="0.25">
      <c r="P277" s="5"/>
      <c r="Q277" s="244"/>
      <c r="R277" s="245"/>
      <c r="S277" s="253"/>
      <c r="T277" s="246"/>
      <c r="U277" s="246"/>
      <c r="V277" s="246"/>
      <c r="W277" s="246"/>
      <c r="X277" s="246"/>
      <c r="Y277" s="242"/>
      <c r="Z277" s="3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5"/>
    </row>
    <row r="278" spans="16:37" x14ac:dyDescent="0.25">
      <c r="P278" s="5"/>
      <c r="Q278" s="214"/>
      <c r="R278" s="242"/>
      <c r="S278" s="242"/>
      <c r="T278" s="242"/>
      <c r="U278" s="242"/>
      <c r="V278" s="242"/>
      <c r="W278" s="242"/>
      <c r="X278" s="242"/>
      <c r="Y278" s="242"/>
      <c r="Z278" s="3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5"/>
    </row>
    <row r="279" spans="16:37" x14ac:dyDescent="0.25">
      <c r="P279" s="5"/>
      <c r="Q279" s="251"/>
      <c r="R279" s="243"/>
      <c r="S279" s="243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5"/>
    </row>
    <row r="280" spans="16:37" x14ac:dyDescent="0.25">
      <c r="P280" s="5"/>
      <c r="Q280" s="214"/>
      <c r="R280" s="254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5"/>
    </row>
    <row r="281" spans="16:37" x14ac:dyDescent="0.25">
      <c r="P281" s="5"/>
      <c r="Q281" s="214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5"/>
    </row>
    <row r="282" spans="16:37" x14ac:dyDescent="0.25">
      <c r="P282" s="5"/>
      <c r="Q282" s="214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5"/>
    </row>
    <row r="283" spans="16:37" x14ac:dyDescent="0.25">
      <c r="P283" s="5"/>
      <c r="Q283" s="214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5"/>
    </row>
    <row r="284" spans="16:37" x14ac:dyDescent="0.25">
      <c r="P284" s="5"/>
      <c r="Q284" s="214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  <c r="AJ284" s="242"/>
      <c r="AK284" s="5"/>
    </row>
    <row r="285" spans="16:37" x14ac:dyDescent="0.25">
      <c r="P285" s="5"/>
      <c r="Q285" s="214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  <c r="AJ285" s="242"/>
      <c r="AK285" s="5"/>
    </row>
    <row r="286" spans="16:37" x14ac:dyDescent="0.25">
      <c r="P286" s="5"/>
      <c r="Q286" s="214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5"/>
    </row>
    <row r="287" spans="16:37" x14ac:dyDescent="0.25">
      <c r="P287" s="5"/>
      <c r="Q287" s="214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5"/>
    </row>
    <row r="288" spans="16:37" x14ac:dyDescent="0.25">
      <c r="P288" s="5"/>
      <c r="Q288" s="214"/>
      <c r="R288" s="242"/>
      <c r="S288" s="242"/>
      <c r="T288" s="242"/>
      <c r="U288" s="242"/>
      <c r="V288" s="242"/>
      <c r="W288" s="5"/>
      <c r="X288" s="5"/>
      <c r="Y288" s="5"/>
      <c r="Z288" s="5"/>
      <c r="AA288" s="5"/>
      <c r="AB288" s="5"/>
      <c r="AC288" s="5"/>
      <c r="AD288" s="5"/>
      <c r="AE288" s="242"/>
      <c r="AF288" s="242"/>
      <c r="AG288" s="242"/>
      <c r="AH288" s="242"/>
      <c r="AI288" s="242"/>
      <c r="AJ288" s="242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63" zoomScale="110" zoomScaleNormal="110" workbookViewId="0">
      <selection activeCell="C191" sqref="C19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5" t="str">
        <f>Scénario!K1</f>
        <v>Z1_OL_A3_s1</v>
      </c>
      <c r="D1" s="255" t="str">
        <f>CONCATENATE(C1,"_corr")</f>
        <v>Z1_OL_A3_s1_corr</v>
      </c>
    </row>
    <row r="2" spans="2:4" x14ac:dyDescent="0.25">
      <c r="B2" s="14" t="s">
        <v>495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498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501</v>
      </c>
      <c r="C4" s="176">
        <f>Scénario!K4</f>
        <v>1</v>
      </c>
      <c r="D4" s="176">
        <f t="shared" si="0"/>
        <v>1</v>
      </c>
    </row>
    <row r="5" spans="2:4" x14ac:dyDescent="0.25">
      <c r="B5" s="14" t="s">
        <v>503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506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512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515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519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523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526</v>
      </c>
      <c r="C11" s="176" t="str">
        <f>Scénario!K12</f>
        <v>OL</v>
      </c>
      <c r="D11" s="176" t="str">
        <f t="shared" si="0"/>
        <v>OL</v>
      </c>
    </row>
    <row r="12" spans="2:4" x14ac:dyDescent="0.25">
      <c r="B12" s="14" t="s">
        <v>505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534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537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540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542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543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556</v>
      </c>
      <c r="C18" s="176">
        <f>Scénario!K28</f>
        <v>13.85</v>
      </c>
      <c r="D18" s="176">
        <f t="shared" si="0"/>
        <v>13.85</v>
      </c>
    </row>
    <row r="19" spans="2:5" x14ac:dyDescent="0.25">
      <c r="B19" s="14" t="s">
        <v>557</v>
      </c>
      <c r="C19" s="176">
        <f>Scénario!K29</f>
        <v>11</v>
      </c>
      <c r="D19" s="176">
        <f t="shared" si="0"/>
        <v>11</v>
      </c>
    </row>
    <row r="20" spans="2:5" x14ac:dyDescent="0.25">
      <c r="B20" s="14" t="s">
        <v>558</v>
      </c>
      <c r="C20" s="176">
        <f>Scénario!K30</f>
        <v>0</v>
      </c>
      <c r="D20" s="176">
        <f t="shared" si="0"/>
        <v>0</v>
      </c>
    </row>
    <row r="21" spans="2:5" x14ac:dyDescent="0.25">
      <c r="B21" s="14" t="s">
        <v>559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1188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579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589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575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591</v>
      </c>
      <c r="C30" s="176">
        <f>Scénario!K60</f>
        <v>0</v>
      </c>
      <c r="D30" s="176">
        <f t="shared" si="0"/>
        <v>0</v>
      </c>
    </row>
    <row r="31" spans="2:5" x14ac:dyDescent="0.25">
      <c r="B31" s="14" t="s">
        <v>594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596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597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1189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600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601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602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603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604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605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606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1190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611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613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1191</v>
      </c>
      <c r="C45" s="176">
        <f>Scénario!K78</f>
        <v>0</v>
      </c>
      <c r="D45" s="176">
        <f t="shared" si="0"/>
        <v>0</v>
      </c>
      <c r="E45" s="14"/>
    </row>
    <row r="46" spans="2:5" x14ac:dyDescent="0.25">
      <c r="B46" s="14" t="s">
        <v>616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617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1192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620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623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633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610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621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638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638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619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1193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640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641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651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653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1194</v>
      </c>
      <c r="B62" s="14" t="s">
        <v>1195</v>
      </c>
      <c r="C62" s="172" t="str">
        <f>Scénario!K12</f>
        <v>OL</v>
      </c>
      <c r="D62" s="172" t="str">
        <f>C62</f>
        <v>OL</v>
      </c>
      <c r="AS62" s="40" t="s">
        <v>577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591</v>
      </c>
      <c r="BZ62" s="172">
        <f>Troupeau!C3</f>
        <v>0</v>
      </c>
      <c r="CA62" s="172">
        <f>IF(BZ62="OL",1,IF(BZ62="BV",2,IF(BZ62="BL",3,IF(BZ62="EQ",4,0))))</f>
        <v>0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598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1196</v>
      </c>
      <c r="C63" s="172">
        <f>IF(Troupeau!B3="OL",Troupeau!B17,0)</f>
        <v>268</v>
      </c>
      <c r="D63" s="256">
        <f>ROUND(C63*$D$82/$C$82,3)</f>
        <v>0</v>
      </c>
      <c r="F63" s="257" t="s">
        <v>1197</v>
      </c>
      <c r="G63">
        <f>D82/C82</f>
        <v>0</v>
      </c>
      <c r="AT63" s="2" t="s">
        <v>788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788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788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1198</v>
      </c>
      <c r="C64" s="172">
        <f>IF(Troupeau!B3="BL",Troupeau!B17,0)</f>
        <v>0</v>
      </c>
      <c r="D64" s="256">
        <f t="shared" ref="D64:D66" si="1">ROUND(C64*$D$82/$C$82,3)</f>
        <v>0</v>
      </c>
      <c r="F64" s="186" t="s">
        <v>1199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>lot1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1200</v>
      </c>
      <c r="C65" s="172">
        <f>IF(Troupeau!B3="BV",Troupeau!B17,0)+IF(Troupeau!C3="BV",Troupeau!C17,0)</f>
        <v>0</v>
      </c>
      <c r="D65" s="256">
        <f t="shared" si="1"/>
        <v>0</v>
      </c>
      <c r="F65" s="258" t="s">
        <v>1201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1202</v>
      </c>
      <c r="C66" s="172">
        <f>IF(Troupeau!D3="EQ",Troupeau!D17,0)+IF(Troupeau!C3="EQ",Troupeau!C17,0)</f>
        <v>0</v>
      </c>
      <c r="D66" s="256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1203</v>
      </c>
      <c r="C67" s="172">
        <f>CdTrp1!AA49</f>
        <v>39.018566666666665</v>
      </c>
      <c r="D67" s="256">
        <f>ROUND(C67*$D$82/$C$82,3)</f>
        <v>0</v>
      </c>
      <c r="AT67" s="186" t="str">
        <f t="shared" si="2"/>
        <v>Lot des tardives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1204</v>
      </c>
      <c r="C68" s="172">
        <f>CdTrp2!AA49</f>
        <v>0</v>
      </c>
      <c r="D68" s="256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1205</v>
      </c>
      <c r="C69" s="172">
        <f>CdTrp3!AA49</f>
        <v>0</v>
      </c>
      <c r="D69" s="256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1206</v>
      </c>
      <c r="C70" s="172">
        <f>SUM(C67:C69)</f>
        <v>39.018566666666665</v>
      </c>
      <c r="D70" s="256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1207</v>
      </c>
      <c r="C71" s="172">
        <f>Scénario!K33</f>
        <v>0</v>
      </c>
      <c r="D71" s="256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1208</v>
      </c>
      <c r="C72" s="172">
        <f>'Calcul éco'!$AA$228</f>
        <v>0</v>
      </c>
      <c r="D72" s="256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1209</v>
      </c>
      <c r="C73" s="172">
        <f>'Calcul éco'!$AC$228</f>
        <v>0</v>
      </c>
      <c r="D73" s="256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1210</v>
      </c>
      <c r="C74" s="172">
        <f>C71+C73</f>
        <v>0</v>
      </c>
      <c r="D74" s="256">
        <f t="shared" si="3"/>
        <v>0</v>
      </c>
      <c r="AT74" s="2" t="s">
        <v>792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792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792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1211</v>
      </c>
      <c r="C75" s="172">
        <f>'Alim -Surf'!$O$7+'Alim -Surf'!$O$29-C72-C73</f>
        <v>19.12</v>
      </c>
      <c r="D75" s="256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>lot1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1212</v>
      </c>
      <c r="C76" s="172">
        <f>'Calcul éco'!AO166</f>
        <v>0</v>
      </c>
      <c r="D76" s="256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1213</v>
      </c>
      <c r="C77" s="172">
        <f>'Calcul éco'!AO169</f>
        <v>0</v>
      </c>
      <c r="D77" s="256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1214</v>
      </c>
      <c r="C78" s="172">
        <f>'Calcul éco'!AO165</f>
        <v>17.850000000000001</v>
      </c>
      <c r="D78" s="256">
        <f t="shared" si="3"/>
        <v>0</v>
      </c>
      <c r="AT78" s="186" t="str">
        <f t="shared" si="4"/>
        <v>Lot des tardives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1215</v>
      </c>
      <c r="C79" s="172">
        <f>'Calcul éco'!AO168</f>
        <v>1.27</v>
      </c>
      <c r="D79" s="256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1216</v>
      </c>
      <c r="C80" s="172">
        <f>'Calcul éco'!AO171</f>
        <v>10</v>
      </c>
      <c r="D80" s="256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1217</v>
      </c>
      <c r="C81" s="172">
        <f>C74+C75</f>
        <v>19.12</v>
      </c>
      <c r="D81" s="256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1218</v>
      </c>
      <c r="C82" s="172">
        <f>C81+C80</f>
        <v>29.12</v>
      </c>
      <c r="D82" s="80"/>
      <c r="E82" s="85" t="s">
        <v>1219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1220</v>
      </c>
      <c r="C83" s="172">
        <f>Scénario!K4+Scénario!K6</f>
        <v>1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1221</v>
      </c>
      <c r="C84" s="172">
        <f>ROUND(C70/C82,3)</f>
        <v>1.34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1222</v>
      </c>
      <c r="B85" s="14" t="s">
        <v>1223</v>
      </c>
      <c r="C85" s="172">
        <f>'Calcul éco'!$U$228</f>
        <v>13.85</v>
      </c>
      <c r="D85" s="259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1224</v>
      </c>
      <c r="C86" s="172">
        <f>'Calcul éco'!$V$228</f>
        <v>11</v>
      </c>
      <c r="D86" s="259">
        <f t="shared" ref="D86:D97" si="14">ROUND(C86*$D$82/$C$82,3)</f>
        <v>0</v>
      </c>
      <c r="AT86" s="188" t="s">
        <v>801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801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801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1225</v>
      </c>
      <c r="C87" s="172">
        <f>'Calcul éco'!$W$228</f>
        <v>0</v>
      </c>
      <c r="D87" s="259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802</v>
      </c>
      <c r="BZ87" s="186" t="str">
        <f t="shared" ref="BZ87:BZ96" si="17">+BZ64</f>
        <v>lot1</v>
      </c>
      <c r="CA87" s="189">
        <f>Scénario!K106</f>
        <v>0</v>
      </c>
      <c r="CB87" s="172">
        <f>IF($CA87="fort",2,IF($AU87="faible",1,0))</f>
        <v>0</v>
      </c>
      <c r="CC87" s="172">
        <f t="shared" ref="CC87:CY96" si="18">IF($CA87="fort",2,IF($AU87="faible",1,0))</f>
        <v>0</v>
      </c>
      <c r="CD87" s="172">
        <f t="shared" si="18"/>
        <v>0</v>
      </c>
      <c r="CE87" s="172">
        <f t="shared" si="18"/>
        <v>0</v>
      </c>
      <c r="CF87" s="172">
        <f t="shared" si="18"/>
        <v>0</v>
      </c>
      <c r="CG87" s="172">
        <f t="shared" si="18"/>
        <v>0</v>
      </c>
      <c r="CH87" s="172">
        <f t="shared" si="18"/>
        <v>0</v>
      </c>
      <c r="CI87" s="172">
        <f t="shared" si="18"/>
        <v>0</v>
      </c>
      <c r="CJ87" s="172">
        <f t="shared" si="18"/>
        <v>0</v>
      </c>
      <c r="CK87" s="172">
        <f t="shared" si="18"/>
        <v>0</v>
      </c>
      <c r="CL87" s="172">
        <f t="shared" si="18"/>
        <v>0</v>
      </c>
      <c r="CM87" s="172">
        <f t="shared" si="18"/>
        <v>0</v>
      </c>
      <c r="CN87" s="172">
        <f t="shared" si="18"/>
        <v>0</v>
      </c>
      <c r="CO87" s="172">
        <f t="shared" si="18"/>
        <v>0</v>
      </c>
      <c r="CP87" s="172">
        <f t="shared" si="18"/>
        <v>0</v>
      </c>
      <c r="CQ87" s="172">
        <f t="shared" si="18"/>
        <v>0</v>
      </c>
      <c r="CR87" s="172">
        <f t="shared" si="18"/>
        <v>0</v>
      </c>
      <c r="CS87" s="172">
        <f t="shared" si="18"/>
        <v>0</v>
      </c>
      <c r="CT87" s="172">
        <f t="shared" si="18"/>
        <v>0</v>
      </c>
      <c r="CU87" s="172">
        <f t="shared" si="18"/>
        <v>0</v>
      </c>
      <c r="CV87" s="172">
        <f t="shared" si="18"/>
        <v>0</v>
      </c>
      <c r="CW87" s="172">
        <f t="shared" si="18"/>
        <v>0</v>
      </c>
      <c r="CX87" s="172">
        <f t="shared" si="18"/>
        <v>0</v>
      </c>
      <c r="CY87" s="172">
        <f t="shared" si="18"/>
        <v>0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572</v>
      </c>
      <c r="C88" s="172">
        <f>Scénario!K43</f>
        <v>1.385</v>
      </c>
      <c r="D88" s="259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647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561</v>
      </c>
      <c r="C89" s="172">
        <f>Scénario!K32</f>
        <v>10</v>
      </c>
      <c r="D89" s="259">
        <f t="shared" si="14"/>
        <v>0</v>
      </c>
      <c r="AT89" s="186" t="str">
        <f>CdTrp1!A17</f>
        <v>Lot des vides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648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1226</v>
      </c>
      <c r="B90" s="14" t="s">
        <v>307</v>
      </c>
      <c r="C90" s="172">
        <f>Scénario!K34</f>
        <v>0</v>
      </c>
      <c r="D90" s="259">
        <f t="shared" si="14"/>
        <v>0</v>
      </c>
      <c r="G90" s="85" t="s">
        <v>1227</v>
      </c>
      <c r="AT90" s="186" t="str">
        <f>CdTrp1!A18</f>
        <v>Lot des tardives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564</v>
      </c>
      <c r="C91" s="172">
        <f>Scénario!K35</f>
        <v>0</v>
      </c>
      <c r="D91" s="259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565</v>
      </c>
      <c r="C92" s="172">
        <f>Scénario!K36</f>
        <v>0</v>
      </c>
      <c r="D92" s="259">
        <f t="shared" si="14"/>
        <v>0</v>
      </c>
      <c r="G92" s="2" t="s">
        <v>1228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566</v>
      </c>
      <c r="C93" s="172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567</v>
      </c>
      <c r="C94" s="172">
        <f>Scénario!K38</f>
        <v>0</v>
      </c>
      <c r="D94" s="259">
        <f t="shared" si="14"/>
        <v>0</v>
      </c>
      <c r="F94" s="14" t="s">
        <v>928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1229</v>
      </c>
      <c r="C95" s="172">
        <f>'Calcul éco'!B39</f>
        <v>0</v>
      </c>
      <c r="D95" s="259">
        <f>ROUND(C95*$D$82/$C$82,3)</f>
        <v>0</v>
      </c>
      <c r="F95" s="14"/>
      <c r="G95" s="260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568</v>
      </c>
      <c r="C96" s="172">
        <f>Scénario!K39</f>
        <v>0</v>
      </c>
      <c r="D96" s="259">
        <f t="shared" si="14"/>
        <v>0</v>
      </c>
      <c r="F96" s="14"/>
      <c r="G96" s="260" t="str">
        <f>CdTrp1!A90</f>
        <v>Lot des vides</v>
      </c>
      <c r="H96" s="30">
        <f>CdTrp1!B78</f>
        <v>1</v>
      </c>
      <c r="I96" s="30">
        <f>CdTrp1!C78</f>
        <v>1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1230</v>
      </c>
      <c r="B97" s="14" t="s">
        <v>1231</v>
      </c>
      <c r="C97" s="172">
        <f>C90+C75+C73</f>
        <v>19.12</v>
      </c>
      <c r="D97" s="259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1</v>
      </c>
      <c r="AE97" s="30">
        <f>CdTrp1!Y79</f>
        <v>1</v>
      </c>
      <c r="AT97" s="2" t="s">
        <v>762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762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762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1232</v>
      </c>
      <c r="B98" s="14" t="s">
        <v>1233</v>
      </c>
      <c r="C98" s="172">
        <f>MAX(H129:AE129)</f>
        <v>5</v>
      </c>
      <c r="D98" s="172">
        <f>C98</f>
        <v>5</v>
      </c>
      <c r="F98" s="14"/>
      <c r="G98" s="260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810</v>
      </c>
      <c r="BZ98" s="186" t="str">
        <f t="shared" ref="BZ98:BZ107" si="23">+BZ64</f>
        <v>lot1</v>
      </c>
      <c r="CA98" s="32"/>
      <c r="CB98" s="172">
        <f>IF(CdTrp2!B52=1,3,IF(CdTrp2!B52=0.5,2,IF(CdTrp2!B52=0,1,0)))</f>
        <v>1</v>
      </c>
      <c r="CC98" s="172">
        <f>IF(CdTrp2!C52=1,3,IF(CdTrp2!C52=0.5,2,IF(CdTrp2!C52=0,1,0)))</f>
        <v>1</v>
      </c>
      <c r="CD98" s="172">
        <f>IF(CdTrp2!D52=1,3,IF(CdTrp2!D52=0.5,2,IF(CdTrp2!D52=0,1,0)))</f>
        <v>1</v>
      </c>
      <c r="CE98" s="172">
        <f>IF(CdTrp2!E52=1,3,IF(CdTrp2!E52=0.5,2,IF(CdTrp2!E52=0,1,0)))</f>
        <v>1</v>
      </c>
      <c r="CF98" s="172">
        <f>IF(CdTrp2!F52=1,3,IF(CdTrp2!F52=0.5,2,IF(CdTrp2!F52=0,1,0)))</f>
        <v>1</v>
      </c>
      <c r="CG98" s="172">
        <f>IF(CdTrp2!G52=1,3,IF(CdTrp2!G52=0.5,2,IF(CdTrp2!G52=0,1,0)))</f>
        <v>1</v>
      </c>
      <c r="CH98" s="172">
        <f>IF(CdTrp2!H52=1,3,IF(CdTrp2!H52=0.5,2,IF(CdTrp2!H52=0,1,0)))</f>
        <v>1</v>
      </c>
      <c r="CI98" s="172">
        <f>IF(CdTrp2!I52=1,3,IF(CdTrp2!I52=0.5,2,IF(CdTrp2!I52=0,1,0)))</f>
        <v>1</v>
      </c>
      <c r="CJ98" s="172">
        <f>IF(CdTrp2!J52=1,3,IF(CdTrp2!J52=0.5,2,IF(CdTrp2!J52=0,1,0)))</f>
        <v>1</v>
      </c>
      <c r="CK98" s="172">
        <f>IF(CdTrp2!K52=1,3,IF(CdTrp2!K52=0.5,2,IF(CdTrp2!K52=0,1,0)))</f>
        <v>1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1</v>
      </c>
      <c r="CU98" s="172">
        <f>IF(CdTrp2!U52=1,3,IF(CdTrp2!U52=0.5,2,IF(CdTrp2!U52=0,1,0)))</f>
        <v>1</v>
      </c>
      <c r="CV98" s="172">
        <f>IF(CdTrp2!V52=1,3,IF(CdTrp2!V52=0.5,2,IF(CdTrp2!V52=0,1,0)))</f>
        <v>1</v>
      </c>
      <c r="CW98" s="172">
        <f>IF(CdTrp2!W52=1,3,IF(CdTrp2!W52=0.5,2,IF(CdTrp2!W52=0,1,0)))</f>
        <v>1</v>
      </c>
      <c r="CX98" s="172">
        <f>IF(CdTrp2!X52=1,3,IF(CdTrp2!X52=0.5,2,IF(CdTrp2!X52=0,1,0)))</f>
        <v>1</v>
      </c>
      <c r="CY98" s="172">
        <f>IF(CdTrp2!Y52=1,3,IF(CdTrp2!Y52=0.5,2,IF(CdTrp2!Y52=0,1,0)))</f>
        <v>1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1234</v>
      </c>
      <c r="B99" s="14" t="s">
        <v>1235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1" t="str">
        <f>CdTrp1!$A53</f>
        <v>Lot des béliers</v>
      </c>
      <c r="AU99" s="32"/>
      <c r="AV99" s="172">
        <f>IF(CdTrp1!B53=1,3,IF(CdTrp1!B53=0.5,2,IF(CdTrp1!B53=0,1,0)))</f>
        <v>2</v>
      </c>
      <c r="AW99" s="172">
        <f>IF(CdTrp1!C53=1,3,IF(CdTrp1!C53=0.5,2,IF(CdTrp1!C53=0,1,0)))</f>
        <v>2</v>
      </c>
      <c r="AX99" s="172">
        <f>IF(CdTrp1!D53=1,3,IF(CdTrp1!D53=0.5,2,IF(CdTrp1!D53=0,1,0)))</f>
        <v>2</v>
      </c>
      <c r="AY99" s="172">
        <f>IF(CdTrp1!E53=1,3,IF(CdTrp1!E53=0.5,2,IF(CdTrp1!E53=0,1,0)))</f>
        <v>2</v>
      </c>
      <c r="AZ99" s="172">
        <f>IF(CdTrp1!F53=1,3,IF(CdTrp1!F53=0.5,2,IF(CdTrp1!F53=0,1,0)))</f>
        <v>2</v>
      </c>
      <c r="BA99" s="172">
        <f>IF(CdTrp1!G53=1,3,IF(CdTrp1!G53=0.5,2,IF(CdTrp1!G53=0,1,0)))</f>
        <v>2</v>
      </c>
      <c r="BB99" s="172">
        <f>IF(CdTrp1!H53=1,3,IF(CdTrp1!H53=0.5,2,IF(CdTrp1!H53=0,1,0)))</f>
        <v>2</v>
      </c>
      <c r="BC99" s="172">
        <f>IF(CdTrp1!I53=1,3,IF(CdTrp1!I53=0.5,2,IF(CdTrp1!I53=0,1,0)))</f>
        <v>2</v>
      </c>
      <c r="BD99" s="172">
        <f>IF(CdTrp1!J53=1,3,IF(CdTrp1!J53=0.5,2,IF(CdTrp1!J53=0,1,0)))</f>
        <v>2</v>
      </c>
      <c r="BE99" s="172">
        <f>IF(CdTrp1!K53=1,3,IF(CdTrp1!K53=0.5,2,IF(CdTrp1!K53=0,1,0)))</f>
        <v>2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2</v>
      </c>
      <c r="BQ99" s="172">
        <f>IF(CdTrp1!W53=1,3,IF(CdTrp1!W53=0.5,2,IF(CdTrp1!W53=0,1,0)))</f>
        <v>2</v>
      </c>
      <c r="BR99" s="172">
        <f>IF(CdTrp1!X53=1,3,IF(CdTrp1!X53=0.5,2,IF(CdTrp1!X53=0,1,0)))</f>
        <v>2</v>
      </c>
      <c r="BS99" s="172">
        <f>IF(CdTrp1!Y53=1,3,IF(CdTrp1!Y53=0.5,2,IF(CdTrp1!Y53=0,1,0)))</f>
        <v>2</v>
      </c>
      <c r="BU99">
        <v>2</v>
      </c>
      <c r="BV99" t="s">
        <v>814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1236</v>
      </c>
      <c r="B100" s="14" t="s">
        <v>1237</v>
      </c>
      <c r="C100" s="172">
        <f>MAX(H131:AE131)</f>
        <v>0</v>
      </c>
      <c r="D100" s="172">
        <f t="shared" si="25"/>
        <v>0</v>
      </c>
      <c r="F100" s="14"/>
      <c r="G100" s="260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1" t="str">
        <f>CdTrp1!$A54</f>
        <v>Lot des vides</v>
      </c>
      <c r="AU100" s="32"/>
      <c r="AV100" s="172">
        <f>IF(CdTrp1!B54=1,3,IF(CdTrp1!B54=0.5,2,IF(CdTrp1!B54=0,1,0)))</f>
        <v>2</v>
      </c>
      <c r="AW100" s="172">
        <f>IF(CdTrp1!C54=1,3,IF(CdTrp1!C54=0.5,2,IF(CdTrp1!C54=0,1,0)))</f>
        <v>2</v>
      </c>
      <c r="AX100" s="172">
        <f>IF(CdTrp1!D54=1,3,IF(CdTrp1!D54=0.5,2,IF(CdTrp1!D54=0,1,0)))</f>
        <v>2</v>
      </c>
      <c r="AY100" s="172">
        <f>IF(CdTrp1!E54=1,3,IF(CdTrp1!E54=0.5,2,IF(CdTrp1!E54=0,1,0)))</f>
        <v>2</v>
      </c>
      <c r="AZ100" s="172">
        <f>IF(CdTrp1!F54=1,3,IF(CdTrp1!F54=0.5,2,IF(CdTrp1!F54=0,1,0)))</f>
        <v>2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2</v>
      </c>
      <c r="BQ100" s="172">
        <f>IF(CdTrp1!W54=1,3,IF(CdTrp1!W54=0.5,2,IF(CdTrp1!W54=0,1,0)))</f>
        <v>2</v>
      </c>
      <c r="BR100" s="172">
        <f>IF(CdTrp1!X54=1,3,IF(CdTrp1!X54=0.5,2,IF(CdTrp1!X54=0,1,0)))</f>
        <v>2</v>
      </c>
      <c r="BS100" s="172">
        <f>IF(CdTrp1!Y54=1,3,IF(CdTrp1!Y54=0.5,2,IF(CdTrp1!Y54=0,1,0)))</f>
        <v>2</v>
      </c>
      <c r="BU100">
        <v>1</v>
      </c>
      <c r="BV100" t="s">
        <v>815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1238</v>
      </c>
      <c r="C101" s="172">
        <f>MAX(H132:AE132)</f>
        <v>5</v>
      </c>
      <c r="D101" s="172">
        <f t="shared" si="25"/>
        <v>5</v>
      </c>
      <c r="F101" s="14"/>
      <c r="G101" s="260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0</v>
      </c>
      <c r="BQ101" s="172">
        <f>IF(CdTrp1!W55=1,3,IF(CdTrp1!W55=0.5,2,IF(CdTrp1!W55=0,1,0)))</f>
        <v>0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1239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1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2</v>
      </c>
      <c r="BK102" s="172">
        <f>IF(CdTrp1!Q56=1,3,IF(CdTrp1!Q56=0.5,2,IF(CdTrp1!Q56=0,1,0)))</f>
        <v>2</v>
      </c>
      <c r="BL102" s="172">
        <f>IF(CdTrp1!R56=1,3,IF(CdTrp1!R56=0.5,2,IF(CdTrp1!R56=0,1,0)))</f>
        <v>2</v>
      </c>
      <c r="BM102" s="172">
        <f>IF(CdTrp1!S56=1,3,IF(CdTrp1!S56=0.5,2,IF(CdTrp1!S56=0,1,0)))</f>
        <v>2</v>
      </c>
      <c r="BN102" s="172">
        <f>IF(CdTrp1!T56=1,3,IF(CdTrp1!T56=0.5,2,IF(CdTrp1!T56=0,1,0)))</f>
        <v>2</v>
      </c>
      <c r="BO102" s="172">
        <f>IF(CdTrp1!U56=1,3,IF(CdTrp1!U56=0.5,2,IF(CdTrp1!U56=0,1,0)))</f>
        <v>2</v>
      </c>
      <c r="BP102" s="172">
        <f>IF(CdTrp1!V56=1,3,IF(CdTrp1!V56=0.5,2,IF(CdTrp1!V56=0,1,0)))</f>
        <v>2</v>
      </c>
      <c r="BQ102" s="172">
        <f>IF(CdTrp1!W56=1,3,IF(CdTrp1!W56=0.5,2,IF(CdTrp1!W56=0,1,0)))</f>
        <v>2</v>
      </c>
      <c r="BR102" s="172">
        <f>IF(CdTrp1!X56=1,3,IF(CdTrp1!X56=0.5,2,IF(CdTrp1!X56=0,1,0)))</f>
        <v>2</v>
      </c>
      <c r="BS102" s="172">
        <f>IF(CdTrp1!Y56=1,3,IF(CdTrp1!Y56=0.5,2,IF(CdTrp1!Y56=0,1,0)))</f>
        <v>2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1240</v>
      </c>
      <c r="C103" s="172">
        <f>(24-COUNTIF(H130:AE130,0))/2</f>
        <v>0</v>
      </c>
      <c r="D103" s="172">
        <f t="shared" si="25"/>
        <v>0</v>
      </c>
      <c r="F103" s="14"/>
      <c r="G103" s="260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1241</v>
      </c>
      <c r="C104" s="172">
        <f>(24-COUNTIF(H131:AE131,0))/2</f>
        <v>0</v>
      </c>
      <c r="D104" s="172">
        <f t="shared" si="25"/>
        <v>0</v>
      </c>
      <c r="F104" s="14" t="s">
        <v>944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1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1242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1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1243</v>
      </c>
      <c r="C106" s="172">
        <f>SUM(H129:AE129)/2</f>
        <v>37</v>
      </c>
      <c r="D106" s="172">
        <f t="shared" si="25"/>
        <v>37</v>
      </c>
      <c r="F106" s="14"/>
      <c r="G106" s="260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1244</v>
      </c>
      <c r="C107" s="172">
        <f>SUM(H130:AE130)/2</f>
        <v>0</v>
      </c>
      <c r="D107" s="172">
        <f t="shared" si="25"/>
        <v>0</v>
      </c>
      <c r="F107" s="14"/>
      <c r="G107" s="260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1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1245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817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817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817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1246</v>
      </c>
      <c r="C109" s="172">
        <f>SUM(H132:AE132)/2</f>
        <v>37</v>
      </c>
      <c r="D109" s="172">
        <f t="shared" si="25"/>
        <v>37</v>
      </c>
      <c r="F109" s="14"/>
      <c r="G109" s="260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>lot1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1247</v>
      </c>
      <c r="C110" s="172">
        <f>COUNTIF($H$94:$AE$103,1)/2</f>
        <v>28</v>
      </c>
      <c r="D110" s="172">
        <f t="shared" si="25"/>
        <v>28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821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1248</v>
      </c>
      <c r="C111" s="172">
        <f>COUNTIF($H$105:$AE$114,1)/2</f>
        <v>0</v>
      </c>
      <c r="D111" s="172">
        <f t="shared" si="25"/>
        <v>0</v>
      </c>
      <c r="F111" s="14"/>
      <c r="G111" s="260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1</v>
      </c>
      <c r="AW111" s="172">
        <f>IF(CdTrp1!C78=1,1,IF(CdTrp1!C78=2,2,IF(CdTrp1!C78=3,2,IF(CdTrp1!C78=4,4,0))))</f>
        <v>1</v>
      </c>
      <c r="AX111" s="172">
        <f>IF(CdTrp1!D78=1,1,IF(CdTrp1!D78=2,2,IF(CdTrp1!D78=3,2,IF(CdTrp1!D78=4,4,0))))</f>
        <v>1</v>
      </c>
      <c r="AY111" s="172">
        <f>IF(CdTrp1!E78=1,1,IF(CdTrp1!E78=2,2,IF(CdTrp1!E78=3,2,IF(CdTrp1!E78=4,4,0))))</f>
        <v>1</v>
      </c>
      <c r="AZ111" s="172">
        <f>IF(CdTrp1!F78=1,1,IF(CdTrp1!F78=2,2,IF(CdTrp1!F78=3,2,IF(CdTrp1!F78=4,4,0))))</f>
        <v>1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2</v>
      </c>
      <c r="BQ111" s="172">
        <f>IF(CdTrp1!W78=1,1,IF(CdTrp1!W78=2,2,IF(CdTrp1!W78=3,2,IF(CdTrp1!W78=4,4,0))))</f>
        <v>2</v>
      </c>
      <c r="BR111" s="172">
        <f>IF(CdTrp1!X78=1,1,IF(CdTrp1!X78=2,2,IF(CdTrp1!X78=3,2,IF(CdTrp1!X78=4,4,0))))</f>
        <v>2</v>
      </c>
      <c r="BS111" s="172">
        <f>IF(CdTrp1!Y78=1,1,IF(CdTrp1!Y78=2,2,IF(CdTrp1!Y78=3,2,IF(CdTrp1!Y78=4,4,0))))</f>
        <v>2</v>
      </c>
      <c r="BU111" s="193">
        <v>4</v>
      </c>
      <c r="BV111" t="s">
        <v>823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1249</v>
      </c>
      <c r="C112" s="172">
        <f>COUNTIF($H$116:$AE$125,1)/2</f>
        <v>0</v>
      </c>
      <c r="D112" s="172">
        <f t="shared" si="25"/>
        <v>0</v>
      </c>
      <c r="F112" s="14"/>
      <c r="G112" s="260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1</v>
      </c>
      <c r="BS112" s="172">
        <f>IF(CdTrp1!Y79=1,1,IF(CdTrp1!Y79=2,2,IF(CdTrp1!Y79=3,2,IF(CdTrp1!Y79=4,4,0))))</f>
        <v>1</v>
      </c>
      <c r="BU112">
        <v>0</v>
      </c>
      <c r="BV112" t="s">
        <v>825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1250</v>
      </c>
      <c r="C113" s="172">
        <f>COUNTIF($H$94:$AE$103,2)/2</f>
        <v>9</v>
      </c>
      <c r="D113" s="172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1</v>
      </c>
      <c r="BQ113" s="172">
        <f>IF(CdTrp1!W80=1,1,IF(CdTrp1!W80=2,2,IF(CdTrp1!W80=3,2,IF(CdTrp1!W80=4,4,0))))</f>
        <v>1</v>
      </c>
      <c r="BR113" s="172">
        <f>IF(CdTrp1!X80=1,1,IF(CdTrp1!X80=2,2,IF(CdTrp1!X80=3,2,IF(CdTrp1!X80=4,4,0))))</f>
        <v>1</v>
      </c>
      <c r="BS113" s="172">
        <f>IF(CdTrp1!Y80=1,1,IF(CdTrp1!Y80=2,2,IF(CdTrp1!Y80=3,2,IF(CdTrp1!Y80=4,4,0))))</f>
        <v>1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1251</v>
      </c>
      <c r="C114" s="172">
        <f>COUNTIF($H$105:$AE$114,2)/2</f>
        <v>0</v>
      </c>
      <c r="D114" s="172">
        <f t="shared" si="25"/>
        <v>0</v>
      </c>
      <c r="F114" s="14"/>
      <c r="G114" s="260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1252</v>
      </c>
      <c r="C115" s="172">
        <f>COUNTIF($H$116:$AE$125,2)/2</f>
        <v>0</v>
      </c>
      <c r="D115" s="172">
        <f t="shared" si="25"/>
        <v>0</v>
      </c>
      <c r="F115" s="14" t="s">
        <v>945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1253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1254</v>
      </c>
      <c r="C117" s="172">
        <f>COUNTIF($H$105:$AE$114,3)/2</f>
        <v>0</v>
      </c>
      <c r="D117" s="172">
        <f t="shared" si="25"/>
        <v>0</v>
      </c>
      <c r="G117" s="260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1255</v>
      </c>
      <c r="C118" s="172">
        <f>COUNTIF($H$116:$AE$125,3)/2</f>
        <v>0</v>
      </c>
      <c r="D118" s="172">
        <f t="shared" si="25"/>
        <v>0</v>
      </c>
      <c r="G118" s="260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1256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833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833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833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1257</v>
      </c>
      <c r="C120" s="172">
        <f>COUNTIF($H$105:$AE$114,4)/2</f>
        <v>0</v>
      </c>
      <c r="D120" s="172">
        <f t="shared" si="25"/>
        <v>0</v>
      </c>
      <c r="G120" s="260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835</v>
      </c>
      <c r="AU120" s="30">
        <f>VALUE(CONCATENATE(Scénario!K8,Travail!AU2))</f>
        <v>11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835</v>
      </c>
      <c r="CA120" s="30">
        <f>VALUE(CONCATENATE(Scénario!K8,Travail!CA2))</f>
        <v>10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835</v>
      </c>
      <c r="DD120" s="30">
        <f>VALUE(CONCATENATE(Scénario!K8,Travail!DD2))</f>
        <v>10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1258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837</v>
      </c>
      <c r="BZ121" s="186" t="str">
        <f t="shared" ref="BZ121:BZ130" si="31">BZ64</f>
        <v>lot1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1259</v>
      </c>
      <c r="C122" s="172">
        <f>COUNTIF($H$94:$AE$103,5)/2</f>
        <v>0</v>
      </c>
      <c r="D122" s="172">
        <f t="shared" si="25"/>
        <v>0</v>
      </c>
      <c r="G122" s="260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1260</v>
      </c>
      <c r="C123" s="172">
        <f>COUNTIF($H$105:$AE$114,5)/2</f>
        <v>0</v>
      </c>
      <c r="D123" s="172">
        <f t="shared" si="25"/>
        <v>0</v>
      </c>
      <c r="G123" s="260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1261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1262</v>
      </c>
      <c r="C125" s="172">
        <f t="shared" ref="C125:C132" si="34">SUM(H134:AE134)/2</f>
        <v>0</v>
      </c>
      <c r="D125" s="172">
        <f t="shared" si="25"/>
        <v>0</v>
      </c>
      <c r="G125" s="260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1263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1264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1265</v>
      </c>
      <c r="C128" s="172">
        <f t="shared" si="34"/>
        <v>0</v>
      </c>
      <c r="D128" s="172">
        <f t="shared" si="25"/>
        <v>0</v>
      </c>
      <c r="F128" s="14" t="s">
        <v>1266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1267</v>
      </c>
      <c r="C129" s="172">
        <f t="shared" si="34"/>
        <v>0</v>
      </c>
      <c r="D129" s="172">
        <f t="shared" si="25"/>
        <v>0</v>
      </c>
      <c r="F129" s="14" t="s">
        <v>928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5</v>
      </c>
      <c r="AE129">
        <f t="shared" si="35"/>
        <v>5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1268</v>
      </c>
      <c r="C130" s="172">
        <f t="shared" si="34"/>
        <v>0</v>
      </c>
      <c r="D130" s="172">
        <f t="shared" si="25"/>
        <v>0</v>
      </c>
      <c r="F130" s="14" t="s">
        <v>944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1269</v>
      </c>
      <c r="C131" s="172">
        <f t="shared" si="34"/>
        <v>0</v>
      </c>
      <c r="D131" s="172">
        <f t="shared" si="25"/>
        <v>0</v>
      </c>
      <c r="F131" s="14" t="s">
        <v>945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846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846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846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1270</v>
      </c>
      <c r="C132" s="172">
        <f t="shared" si="34"/>
        <v>0</v>
      </c>
      <c r="D132" s="172">
        <f t="shared" si="25"/>
        <v>0</v>
      </c>
      <c r="F132" s="14" t="s">
        <v>1271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4</v>
      </c>
      <c r="AC132">
        <f t="shared" si="38"/>
        <v>4</v>
      </c>
      <c r="AD132">
        <f t="shared" si="38"/>
        <v>5</v>
      </c>
      <c r="AE132">
        <f t="shared" si="38"/>
        <v>5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>lot1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1272</v>
      </c>
      <c r="C133" s="262">
        <f>IF(C110&gt;0,C110/(C110+C113+C116),0)</f>
        <v>0.7567567567567568</v>
      </c>
      <c r="D133" s="262">
        <f t="shared" si="25"/>
        <v>0.7567567567567568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1273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1274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1275</v>
      </c>
      <c r="C135" s="262">
        <f t="shared" si="45"/>
        <v>0</v>
      </c>
      <c r="D135" s="262">
        <f t="shared" si="25"/>
        <v>0</v>
      </c>
      <c r="F135" s="14" t="s">
        <v>1276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1277</v>
      </c>
      <c r="C136" s="262">
        <f>SUM(C110:C112)/SUM(C110:C118)</f>
        <v>0.7567567567567568</v>
      </c>
      <c r="D136" s="262">
        <f t="shared" si="25"/>
        <v>0.7567567567567568</v>
      </c>
      <c r="F136" s="14" t="s">
        <v>1278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1279</v>
      </c>
      <c r="B137" s="32" t="s">
        <v>1280</v>
      </c>
      <c r="C137" s="172">
        <f>IF(Troupeau!B$3="OL",('Calcul éco'!B9+'Calcul éco'!B10),0)</f>
        <v>272</v>
      </c>
      <c r="D137" s="263">
        <f>C137*$D$82/$C$82</f>
        <v>0</v>
      </c>
      <c r="F137" s="14" t="s">
        <v>1281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1282</v>
      </c>
      <c r="C138" s="172">
        <f>IF(Troupeau!B$3="OL",('Calcul éco'!B13+'Calcul éco'!B14),0)</f>
        <v>51</v>
      </c>
      <c r="D138" s="263">
        <f t="shared" ref="D138:D174" si="50">C138*$D$82/$C$82</f>
        <v>0</v>
      </c>
      <c r="F138" s="14" t="s">
        <v>1283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1284</v>
      </c>
      <c r="C139" s="172">
        <f>IF(Troupeau!B$3="VL",('Calcul éco'!B9+'Calcul éco'!B10),0)</f>
        <v>0</v>
      </c>
      <c r="D139" s="263">
        <f t="shared" si="50"/>
        <v>0</v>
      </c>
      <c r="F139" s="14" t="s">
        <v>1285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1286</v>
      </c>
      <c r="C140" s="172">
        <f>IF(Troupeau!B$3="VL",('Calcul éco'!B13),0)</f>
        <v>0</v>
      </c>
      <c r="D140" s="263">
        <f t="shared" si="50"/>
        <v>0</v>
      </c>
      <c r="F140" s="14" t="s">
        <v>1287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1288</v>
      </c>
      <c r="C141" s="172">
        <f>IF(Troupeau!B$3="VL",('Calcul éco'!B14),0)</f>
        <v>0</v>
      </c>
      <c r="D141" s="263">
        <f t="shared" si="50"/>
        <v>0</v>
      </c>
      <c r="F141" s="14" t="s">
        <v>1289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1290</v>
      </c>
      <c r="C142" s="172">
        <f>SUM(G147:G150)</f>
        <v>0</v>
      </c>
      <c r="D142" s="263">
        <f t="shared" si="50"/>
        <v>0</v>
      </c>
      <c r="AT142" s="19" t="s">
        <v>858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858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858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1291</v>
      </c>
      <c r="C143" s="172">
        <f>G151+G153</f>
        <v>0</v>
      </c>
      <c r="D143" s="263">
        <f t="shared" si="50"/>
        <v>0</v>
      </c>
      <c r="AT143" s="19" t="s">
        <v>861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861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861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1292</v>
      </c>
      <c r="C144" s="172">
        <f>G152+G154</f>
        <v>0</v>
      </c>
      <c r="D144" s="263">
        <f t="shared" si="50"/>
        <v>0</v>
      </c>
      <c r="AT144" s="19" t="s">
        <v>863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863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863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1293</v>
      </c>
      <c r="C145" s="172">
        <f>G155+G156</f>
        <v>0</v>
      </c>
      <c r="D145" s="263">
        <f t="shared" si="50"/>
        <v>0</v>
      </c>
      <c r="AT145" s="19" t="s">
        <v>865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865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865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1294</v>
      </c>
      <c r="C146" s="172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1295</v>
      </c>
      <c r="AT146" s="40" t="s">
        <v>867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867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867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1296</v>
      </c>
      <c r="C147" s="172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1297</v>
      </c>
      <c r="G147">
        <f>IF(Troupeau!B$3="BV",'Calcul éco'!B9,0)</f>
        <v>0</v>
      </c>
      <c r="AT147" s="40" t="s">
        <v>869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869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869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1298</v>
      </c>
      <c r="B148" s="14" t="s">
        <v>1299</v>
      </c>
      <c r="C148" s="172">
        <f>IF(Troupeau!B3="OL",'Calcul éco'!B5,0)</f>
        <v>50128</v>
      </c>
      <c r="D148" s="263">
        <f t="shared" si="50"/>
        <v>0</v>
      </c>
      <c r="F148" s="14" t="s">
        <v>1300</v>
      </c>
      <c r="G148">
        <f>IF(Troupeau!B$3="BV",'Calcul éco'!B10,0)</f>
        <v>0</v>
      </c>
      <c r="AT148" s="40" t="s">
        <v>871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871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871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1301</v>
      </c>
      <c r="C149" s="172">
        <f>IF(Troupeau!B3="OL",'Calcul éco'!B6,0)</f>
        <v>0</v>
      </c>
      <c r="D149" s="263">
        <f t="shared" si="50"/>
        <v>0</v>
      </c>
      <c r="F149" s="14" t="s">
        <v>1302</v>
      </c>
      <c r="G149">
        <f>IF(Troupeau!C$3="BV",'Calcul éco'!C9,0)</f>
        <v>0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872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1303</v>
      </c>
      <c r="C150" s="172">
        <f>IF(Troupeau!B3="BL",'Calcul éco'!B5,0)</f>
        <v>0</v>
      </c>
      <c r="D150" s="263">
        <f t="shared" si="50"/>
        <v>0</v>
      </c>
      <c r="F150" s="14" t="s">
        <v>1304</v>
      </c>
      <c r="G150">
        <f>IF(Troupeau!C$3="BV",'Calcul éco'!C10,0)</f>
        <v>0</v>
      </c>
      <c r="AT150" s="40" t="s">
        <v>872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872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1305</v>
      </c>
      <c r="B151" s="14" t="s">
        <v>1306</v>
      </c>
      <c r="C151" s="172">
        <f>'Calcul éco'!C19</f>
        <v>0</v>
      </c>
      <c r="D151" s="263">
        <f t="shared" si="50"/>
        <v>0</v>
      </c>
      <c r="F151" s="14" t="s">
        <v>1307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>lot1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1308</v>
      </c>
      <c r="C152" s="172">
        <f>'Calcul éco'!C20</f>
        <v>0</v>
      </c>
      <c r="D152" s="263">
        <f t="shared" si="50"/>
        <v>0</v>
      </c>
      <c r="F152" s="14" t="s">
        <v>1309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1310</v>
      </c>
      <c r="C153" s="172">
        <f>'Calcul éco'!C21</f>
        <v>0</v>
      </c>
      <c r="D153" s="263">
        <f t="shared" si="50"/>
        <v>0</v>
      </c>
      <c r="F153" s="14" t="s">
        <v>1311</v>
      </c>
      <c r="G153">
        <f>IF(Troupeau!C$3="BV",'Calcul éco'!C13,0)</f>
        <v>0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1312</v>
      </c>
      <c r="C154" s="172">
        <f>'Calcul éco'!D19</f>
        <v>0</v>
      </c>
      <c r="D154" s="263">
        <f t="shared" si="50"/>
        <v>0</v>
      </c>
      <c r="F154" s="14" t="s">
        <v>1313</v>
      </c>
      <c r="G154">
        <f>IF(Troupeau!C$3="BV",'Calcul éco'!C14,0)</f>
        <v>0</v>
      </c>
      <c r="AT154" s="186" t="str">
        <f t="shared" si="73"/>
        <v>Lot des tardives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1314</v>
      </c>
      <c r="C155" s="172">
        <f>'Calcul éco'!D20</f>
        <v>0</v>
      </c>
      <c r="D155" s="263">
        <f t="shared" si="50"/>
        <v>0</v>
      </c>
      <c r="F155" s="14" t="s">
        <v>1315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1316</v>
      </c>
      <c r="C156" s="172">
        <f>'Calcul éco'!D21</f>
        <v>0</v>
      </c>
      <c r="D156" s="263">
        <f t="shared" si="50"/>
        <v>0</v>
      </c>
      <c r="F156" s="14" t="s">
        <v>1317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1318</v>
      </c>
      <c r="C157" s="172">
        <f>C151+C154</f>
        <v>0</v>
      </c>
      <c r="D157" s="263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1319</v>
      </c>
      <c r="C158" s="172">
        <f t="shared" ref="C158:C159" si="82">C152+C155</f>
        <v>0</v>
      </c>
      <c r="D158" s="263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1320</v>
      </c>
      <c r="C159" s="172">
        <f t="shared" si="82"/>
        <v>0</v>
      </c>
      <c r="D159" s="263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1321</v>
      </c>
      <c r="C160" s="172">
        <f>'Calcul éco'!C30</f>
        <v>0</v>
      </c>
      <c r="D160" s="263">
        <f t="shared" si="50"/>
        <v>0</v>
      </c>
      <c r="AT160" s="202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1322</v>
      </c>
      <c r="B161" s="14" t="s">
        <v>1323</v>
      </c>
      <c r="C161" s="262">
        <f>IF(Troupeau!$B$3="OL",CdTrp1!$AA$159,0)</f>
        <v>97.934536589333362</v>
      </c>
      <c r="D161" s="263">
        <f t="shared" si="50"/>
        <v>0</v>
      </c>
      <c r="AT161" s="186" t="s">
        <v>886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886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886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1324</v>
      </c>
      <c r="B162" s="14" t="s">
        <v>1325</v>
      </c>
      <c r="C162" s="262">
        <f>IF(Troupeau!$B$3="OL",CdTrp1!$AA$147,0)</f>
        <v>104.61017568860001</v>
      </c>
      <c r="D162" s="263">
        <f t="shared" si="50"/>
        <v>0</v>
      </c>
      <c r="AT162" s="186" t="s">
        <v>888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888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888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1326</v>
      </c>
      <c r="C163" s="262">
        <f>IF(Troupeau!$B$3="BL",CdTrp1!$AA$159,0)</f>
        <v>0</v>
      </c>
      <c r="D163" s="263">
        <f t="shared" si="50"/>
        <v>0</v>
      </c>
      <c r="AT163" s="40" t="s">
        <v>890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890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890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1327</v>
      </c>
      <c r="C164" s="262">
        <f>IF(Troupeau!$B$3="BL",ROUND(CdTrp1!$AA$147,0),0)</f>
        <v>0</v>
      </c>
      <c r="D164" s="263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1328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893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1329</v>
      </c>
      <c r="C166" s="262">
        <f>IF(Troupeau!$B$3="BV",CdTrp1!$AA$147,0)+IF(Troupeau!$C$3="BV",CdTrp2!$AA$147,0)</f>
        <v>0</v>
      </c>
      <c r="D166" s="263">
        <f t="shared" si="50"/>
        <v>0</v>
      </c>
      <c r="AT166" s="147" t="s">
        <v>895</v>
      </c>
      <c r="AU166" s="17">
        <f>VLOOKUP(AU120,[1]Trav!$B$12:$C$31,2)</f>
        <v>2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895</v>
      </c>
      <c r="CA166" s="17" t="e">
        <f>VLOOKUP(CA120,[1]Trav!$B$12:$C$31,2)</f>
        <v>#N/A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895</v>
      </c>
      <c r="DD166" s="17" t="e">
        <f>VLOOKUP(DD120,[1]Trav!$B$12:$C$31,2)</f>
        <v>#N/A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1330</v>
      </c>
      <c r="C167" s="262">
        <f>IF(Troupeau!$D$3="EQ",CdTrp3!$AA$159,0)+IF(Troupeau!$C$3="EQ",CdTrp2!$AA$159,0)</f>
        <v>0</v>
      </c>
      <c r="D167" s="263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>lot1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1331</v>
      </c>
      <c r="C168" s="262">
        <f>IF(Troupeau!$D$3="EQ",CdTrp3!$AA$147,0)+IF(Troupeau!$C$3="EQ",CdTrp2!$AA$147,0)</f>
        <v>0</v>
      </c>
      <c r="D168" s="263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1332</v>
      </c>
      <c r="C169" s="172">
        <f>SUM('Alim -Surf'!D24:H24)</f>
        <v>105.34599999999998</v>
      </c>
      <c r="D169" s="263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1333</v>
      </c>
      <c r="C170" s="172">
        <f>SUM('Alim -Surf'!D25:H25)</f>
        <v>97.934536589333348</v>
      </c>
      <c r="D170" s="263">
        <f t="shared" si="50"/>
        <v>0</v>
      </c>
      <c r="AT170" s="186" t="str">
        <f t="shared" si="95"/>
        <v>Lot des tardives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1334</v>
      </c>
      <c r="C171" s="172">
        <f>'Alim -Surf'!K24</f>
        <v>78.83</v>
      </c>
      <c r="D171" s="263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1335</v>
      </c>
      <c r="C172" s="172">
        <f>'Alim -Surf'!K25</f>
        <v>104.69999999999999</v>
      </c>
      <c r="D172" s="263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1336</v>
      </c>
      <c r="C173" s="172">
        <f>C169-C170</f>
        <v>7.4114634106666273</v>
      </c>
      <c r="D173" s="263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1337</v>
      </c>
      <c r="C174" s="195">
        <f>ROUND((1 -(C173/C169))*100,1)</f>
        <v>93</v>
      </c>
      <c r="D174" s="263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1338</v>
      </c>
      <c r="C175" s="172">
        <f>C171-C172</f>
        <v>-25.86999999999999</v>
      </c>
      <c r="D175" s="263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1339</v>
      </c>
      <c r="C176" s="172">
        <f>'Calcul éco'!B118</f>
        <v>25.86999999999999</v>
      </c>
      <c r="D176" s="263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1340</v>
      </c>
      <c r="C177" s="172">
        <f>'Calcul éco'!C30</f>
        <v>0</v>
      </c>
      <c r="D177" s="263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1341</v>
      </c>
      <c r="C178" s="172">
        <f>ROUND((C170+C171)/(C170+C172),2)*100</f>
        <v>87</v>
      </c>
      <c r="D178" s="172" t="e">
        <f>ROUND((D170+D171)/(D170+D172),2)*100</f>
        <v>#DIV/0!</v>
      </c>
      <c r="AT178" s="40" t="s">
        <v>907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907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907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1342</v>
      </c>
      <c r="C179" s="172">
        <f>SUM('Calcul éco'!D82:F106)</f>
        <v>63.800000000000004</v>
      </c>
      <c r="D179" s="263">
        <f>C179*$D$82/$C$82</f>
        <v>0</v>
      </c>
    </row>
    <row r="180" spans="1:132" x14ac:dyDescent="0.25">
      <c r="B180" s="14" t="s">
        <v>1343</v>
      </c>
      <c r="C180" s="172">
        <f>SUM('Calcul éco'!D19:D21)</f>
        <v>0</v>
      </c>
      <c r="D180" s="263">
        <f>C180*$D$82/$C$82</f>
        <v>0</v>
      </c>
    </row>
    <row r="181" spans="1:132" x14ac:dyDescent="0.25">
      <c r="B181" s="14" t="s">
        <v>1344</v>
      </c>
      <c r="C181" s="172">
        <f>ROUND(C180/C179,2)*100</f>
        <v>0</v>
      </c>
      <c r="D181" s="172" t="e">
        <f>ROUND(D180/D179,2)*100</f>
        <v>#DIV/0!</v>
      </c>
    </row>
    <row r="182" spans="1:132" x14ac:dyDescent="0.25">
      <c r="A182" s="2" t="s">
        <v>1345</v>
      </c>
      <c r="B182" s="14" t="s">
        <v>1346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1347</v>
      </c>
      <c r="C183" s="172">
        <f>Protection!AK25</f>
        <v>5360</v>
      </c>
      <c r="D183" s="264">
        <f>ROUND(D184*D185,0)</f>
        <v>0</v>
      </c>
      <c r="E183" s="17" t="s">
        <v>1348</v>
      </c>
    </row>
    <row r="184" spans="1:132" x14ac:dyDescent="0.25">
      <c r="B184" s="14" t="s">
        <v>1349</v>
      </c>
      <c r="C184" s="172">
        <f>Protection!AK26</f>
        <v>19.120000000000005</v>
      </c>
      <c r="D184" s="265">
        <f>C184*D82/C82</f>
        <v>0</v>
      </c>
    </row>
    <row r="185" spans="1:132" x14ac:dyDescent="0.25">
      <c r="B185" s="14" t="s">
        <v>1350</v>
      </c>
      <c r="C185" s="172">
        <f>IF(C183=0,0,ROUND(C183/C184,0))</f>
        <v>280</v>
      </c>
      <c r="D185" s="172">
        <f>C185</f>
        <v>280</v>
      </c>
    </row>
    <row r="186" spans="1:132" x14ac:dyDescent="0.25">
      <c r="B186" s="14" t="s">
        <v>1351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1352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1353</v>
      </c>
      <c r="C188" s="172">
        <f>'Calcul éco'!T236</f>
        <v>0</v>
      </c>
      <c r="D188" s="172">
        <f t="shared" ref="D188:D189" si="101">C188</f>
        <v>0</v>
      </c>
      <c r="AK188" s="40" t="s">
        <v>1158</v>
      </c>
    </row>
    <row r="189" spans="1:132" x14ac:dyDescent="0.25">
      <c r="B189" s="14" t="s">
        <v>1354</v>
      </c>
      <c r="C189" s="172">
        <f>'Calcul éco'!T245</f>
        <v>10</v>
      </c>
      <c r="D189" s="172">
        <f t="shared" si="101"/>
        <v>10</v>
      </c>
      <c r="AH189" s="15"/>
      <c r="AJ189" s="14" t="s">
        <v>1159</v>
      </c>
      <c r="AK189" s="30">
        <f>D189</f>
        <v>10</v>
      </c>
      <c r="AO189" s="172">
        <f>ROUND((([1]Protect!$B$5/[1]Protect!$B$11)+[1]Protect!$B$8)*AK189,0)</f>
        <v>9043</v>
      </c>
    </row>
    <row r="190" spans="1:132" x14ac:dyDescent="0.25">
      <c r="B190" s="14" t="s">
        <v>1355</v>
      </c>
      <c r="C190" s="172">
        <f>'Calcul éco'!T246*(30)</f>
        <v>0</v>
      </c>
      <c r="D190" s="172">
        <f>C190</f>
        <v>0</v>
      </c>
      <c r="AH190" s="15"/>
      <c r="AJ190" s="14" t="s">
        <v>1160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1356</v>
      </c>
      <c r="C191" s="195">
        <f>ROUND(SUM(Travail!F69:F74)/8,1)</f>
        <v>46.3</v>
      </c>
      <c r="D191" s="172">
        <f>C191</f>
        <v>46.3</v>
      </c>
      <c r="E191" s="17" t="s">
        <v>1357</v>
      </c>
      <c r="G191" t="s">
        <v>1358</v>
      </c>
      <c r="N191" t="s">
        <v>1359</v>
      </c>
      <c r="U191" t="s">
        <v>972</v>
      </c>
      <c r="AJ191" s="14" t="s">
        <v>1161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1360</v>
      </c>
      <c r="C192" s="172">
        <f>(Travail!F83+Travail!F84)/8</f>
        <v>0.76249999999999996</v>
      </c>
      <c r="D192" s="266">
        <f>ROUND((D183/1000)*([1]Protect!$B$25*8/10+[1]Protect!$B$26),2)/8</f>
        <v>0</v>
      </c>
      <c r="E192" s="17" t="s">
        <v>1361</v>
      </c>
      <c r="I192" s="5"/>
      <c r="AN192" s="14" t="s">
        <v>1162</v>
      </c>
      <c r="AO192" s="172">
        <f>SUM(AO189:AO191)</f>
        <v>9043</v>
      </c>
    </row>
    <row r="193" spans="1:43" x14ac:dyDescent="0.25">
      <c r="B193" s="14" t="s">
        <v>1362</v>
      </c>
      <c r="C193" s="172">
        <f>(Travail!F75+Travail!F76+Travail!F81)/8</f>
        <v>16.25</v>
      </c>
      <c r="D193" s="172">
        <f>C193</f>
        <v>16.25</v>
      </c>
      <c r="I193" s="32" t="s">
        <v>1363</v>
      </c>
      <c r="J193" s="5">
        <f>D65</f>
        <v>0</v>
      </c>
      <c r="P193" s="32" t="s">
        <v>1364</v>
      </c>
      <c r="Q193" s="5">
        <f>D64</f>
        <v>0</v>
      </c>
      <c r="V193" s="32" t="s">
        <v>1365</v>
      </c>
      <c r="W193" s="5">
        <f>D63</f>
        <v>0</v>
      </c>
    </row>
    <row r="194" spans="1:43" x14ac:dyDescent="0.25">
      <c r="A194" s="2" t="s">
        <v>1366</v>
      </c>
      <c r="B194" s="14" t="s">
        <v>1367</v>
      </c>
      <c r="C194" s="172">
        <f>ROUND(SUM('Calcul éco'!J5:J30),0)</f>
        <v>66713</v>
      </c>
      <c r="D194" s="259">
        <f>ROUND(C194*D$82/C$82,0)</f>
        <v>0</v>
      </c>
      <c r="I194" s="32" t="s">
        <v>1368</v>
      </c>
      <c r="J194" s="5">
        <f>J193/IF(Scénario!K2="Exploit. Ind.",1,Scénario!K3)</f>
        <v>0</v>
      </c>
      <c r="P194" s="32" t="s">
        <v>1369</v>
      </c>
      <c r="Q194" s="5">
        <f>Q193/IF(Scénario!K2="Exploit. Ind.",1,Scénario!K3)</f>
        <v>0</v>
      </c>
      <c r="V194" s="32" t="s">
        <v>1370</v>
      </c>
      <c r="W194" s="5">
        <f>W193/IF(Scénario!K2="Exploit. Ind.",1,Scénario!K3)</f>
        <v>0</v>
      </c>
    </row>
    <row r="195" spans="1:43" x14ac:dyDescent="0.25">
      <c r="A195" s="2"/>
      <c r="B195" s="14" t="s">
        <v>1371</v>
      </c>
      <c r="C195" s="172">
        <f>ROUND(IF(Troupeau!B3="OL",'Calcul éco'!J5+'Calcul éco'!J6,0),0)</f>
        <v>53336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1372</v>
      </c>
      <c r="C196" s="172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1373</v>
      </c>
      <c r="C197" s="172">
        <f>IF(Troupeau!B3="OL",SUM('Calcul éco'!K9:K15)-'Calcul éco'!K16,0)</f>
        <v>10677</v>
      </c>
      <c r="D197" s="259">
        <f t="shared" si="102"/>
        <v>0</v>
      </c>
      <c r="H197" s="170" t="s">
        <v>980</v>
      </c>
      <c r="I197" s="170" t="s">
        <v>981</v>
      </c>
      <c r="J197" s="170" t="s">
        <v>730</v>
      </c>
      <c r="O197" s="170" t="s">
        <v>980</v>
      </c>
      <c r="P197" s="170" t="s">
        <v>984</v>
      </c>
      <c r="Q197" s="170" t="s">
        <v>730</v>
      </c>
      <c r="T197" s="5"/>
      <c r="U197" s="170" t="s">
        <v>980</v>
      </c>
      <c r="V197" s="170" t="s">
        <v>982</v>
      </c>
      <c r="W197" s="170" t="s">
        <v>730</v>
      </c>
    </row>
    <row r="198" spans="1:43" x14ac:dyDescent="0.25">
      <c r="A198" s="2"/>
      <c r="B198" s="14" t="s">
        <v>1374</v>
      </c>
      <c r="C198" s="172">
        <f>IF(Troupeau!B3="BL",SUM('Calcul éco'!K9:K15)-'Calcul éco'!K16,0)</f>
        <v>0</v>
      </c>
      <c r="D198" s="259">
        <f t="shared" si="102"/>
        <v>0</v>
      </c>
      <c r="G198" s="211" t="s">
        <v>986</v>
      </c>
      <c r="H198" s="187">
        <f>[1]Eco!$F$4</f>
        <v>166</v>
      </c>
      <c r="I198" s="212">
        <f>IF(J194&gt;50,50,J194)</f>
        <v>0</v>
      </c>
      <c r="J198" s="172">
        <f>H198*I198</f>
        <v>0</v>
      </c>
      <c r="N198" s="14" t="s">
        <v>988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987</v>
      </c>
      <c r="U198" s="187">
        <f>[1]Eco!$F$9</f>
        <v>24.3</v>
      </c>
      <c r="V198" s="212">
        <f>IF(W194&gt;500,500,W194)</f>
        <v>0</v>
      </c>
      <c r="W198" s="212">
        <f>U198*V198</f>
        <v>0</v>
      </c>
      <c r="AI198" s="40" t="s">
        <v>1166</v>
      </c>
      <c r="AJ198" s="4">
        <f>IF(Troupeau!B3="OL",L223,0)*Scénario!K56</f>
        <v>0</v>
      </c>
      <c r="AO198" s="40" t="s">
        <v>1167</v>
      </c>
      <c r="AP198">
        <f>IF(Troupeau!B3="OL",D63,0)</f>
        <v>0</v>
      </c>
    </row>
    <row r="199" spans="1:43" x14ac:dyDescent="0.25">
      <c r="A199" s="2"/>
      <c r="B199" s="14" t="s">
        <v>1375</v>
      </c>
      <c r="C199" s="172">
        <f>IF(Troupeau!B3="BV",SUM('Calcul éco'!K9:K15)-'Calcul éco'!K16,0)+IF(Troupeau!C3="BV",SUM('Calcul éco'!L9:L15)-'Calcul éco'!L16,0)</f>
        <v>0</v>
      </c>
      <c r="D199" s="259">
        <f t="shared" si="102"/>
        <v>0</v>
      </c>
      <c r="G199" s="14" t="s">
        <v>989</v>
      </c>
      <c r="H199" s="187">
        <f>[1]Eco!$F$5</f>
        <v>121</v>
      </c>
      <c r="I199" s="212">
        <f>IF(J194&lt;51,0,IF(J194&gt;99,49,J194-50))</f>
        <v>0</v>
      </c>
      <c r="J199" s="172">
        <f t="shared" ref="J199:J200" si="103">H199*I199</f>
        <v>0</v>
      </c>
      <c r="N199" s="14" t="s">
        <v>992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990</v>
      </c>
      <c r="U199" s="187">
        <f>[1]Eco!$F$10</f>
        <v>22.3</v>
      </c>
      <c r="V199" s="212">
        <f>IF(W194&gt;500,W194-500,0)</f>
        <v>0</v>
      </c>
      <c r="W199" s="212">
        <f>U199*V199</f>
        <v>0</v>
      </c>
      <c r="AK199" t="s">
        <v>1168</v>
      </c>
      <c r="AQ199" t="s">
        <v>1168</v>
      </c>
    </row>
    <row r="200" spans="1:43" x14ac:dyDescent="0.25">
      <c r="A200" s="2"/>
      <c r="B200" s="14" t="s">
        <v>1376</v>
      </c>
      <c r="C200" s="172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994</v>
      </c>
      <c r="H200" s="187">
        <f>[1]Eco!$F$6</f>
        <v>62</v>
      </c>
      <c r="I200" s="212">
        <f>IF(J194&gt;139,40,IF(J194&gt;99,J194-99,0))</f>
        <v>0</v>
      </c>
      <c r="J200" s="172">
        <f t="shared" si="103"/>
        <v>0</v>
      </c>
      <c r="P200" s="40" t="s">
        <v>991</v>
      </c>
      <c r="Q200" s="62">
        <f>IF(Scénario!K10=1,Q198,Q199)*IF(Scénario!K2="Exploit. Ind.",1,Scénario!K3)</f>
        <v>0</v>
      </c>
      <c r="V200" s="40" t="s">
        <v>991</v>
      </c>
      <c r="W200" s="62">
        <f>SUM(W198:W199)*IF(Scénario!K2="Exploit. Ind.",1,Scénario!K3)</f>
        <v>0</v>
      </c>
      <c r="AI200" s="14" t="s">
        <v>1169</v>
      </c>
      <c r="AJ200" s="30">
        <f>IF(AJ198&lt;151,1,0)</f>
        <v>1</v>
      </c>
      <c r="AK200" s="172">
        <f>IF(AJ200=0,0,[1]Protect!B76)</f>
        <v>7500</v>
      </c>
      <c r="AO200" s="14" t="s">
        <v>1170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1000</v>
      </c>
      <c r="B201" s="14" t="s">
        <v>1001</v>
      </c>
      <c r="C201" s="172">
        <f>'Calcul éco'!J34</f>
        <v>0</v>
      </c>
      <c r="D201" s="264">
        <f>J201</f>
        <v>0</v>
      </c>
      <c r="E201" s="17" t="s">
        <v>1377</v>
      </c>
      <c r="I201" s="40" t="s">
        <v>991</v>
      </c>
      <c r="J201" s="62">
        <f>SUM(J198:J200)*IF(Scénario!K2="Exploit. Ind.",1,Scénario!K3)</f>
        <v>0</v>
      </c>
      <c r="AI201" s="14" t="s">
        <v>1171</v>
      </c>
      <c r="AJ201" s="30">
        <f>IF(AND(150 &lt;AJ$198,AJ$198&lt;451),1,0)</f>
        <v>0</v>
      </c>
      <c r="AK201" s="172">
        <f>IF(AJ201=0,0,[1]Protect!B77)</f>
        <v>0</v>
      </c>
      <c r="AO201" s="14" t="s">
        <v>1172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1003</v>
      </c>
      <c r="C202" s="172">
        <f>+'Calcul éco'!J35</f>
        <v>0</v>
      </c>
      <c r="D202" s="264">
        <f>ROUND(Q200,0)</f>
        <v>0</v>
      </c>
      <c r="E202" s="17" t="s">
        <v>1377</v>
      </c>
      <c r="AI202" s="14" t="s">
        <v>1173</v>
      </c>
      <c r="AJ202" s="30">
        <f>IF(AND(540 &lt;AJ$198,AJ$198&lt;1201),1,0)</f>
        <v>0</v>
      </c>
      <c r="AK202" s="172">
        <f>IF(AJ202=0,0,[1]Protect!B78)</f>
        <v>0</v>
      </c>
      <c r="AO202" s="14" t="s">
        <v>1174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1009</v>
      </c>
      <c r="C203" s="172">
        <f>'Calcul éco'!J37</f>
        <v>6512.4000000000005</v>
      </c>
      <c r="D203" s="264">
        <f>ROUND(W200,0)</f>
        <v>0</v>
      </c>
      <c r="E203" s="17" t="s">
        <v>1377</v>
      </c>
      <c r="AI203" s="14" t="s">
        <v>1175</v>
      </c>
      <c r="AJ203" s="30">
        <f>IF(AND(1200&lt;AJ$198,AJ$198&lt;1501),1,0)</f>
        <v>0</v>
      </c>
      <c r="AK203" s="172">
        <f>IF(AJ203=0,0,[1]Protect!B79)</f>
        <v>0</v>
      </c>
      <c r="AO203" s="14" t="s">
        <v>1176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1019</v>
      </c>
      <c r="C204" s="172">
        <f>'Calcul éco'!J39</f>
        <v>0</v>
      </c>
      <c r="D204" s="259">
        <f>ROUND(C204*D$82/C$82,0)</f>
        <v>0</v>
      </c>
      <c r="I204" s="40" t="s">
        <v>1010</v>
      </c>
      <c r="J204" t="s">
        <v>1011</v>
      </c>
      <c r="K204" t="s">
        <v>1012</v>
      </c>
      <c r="L204" t="s">
        <v>1013</v>
      </c>
      <c r="T204" s="2" t="s">
        <v>1004</v>
      </c>
      <c r="U204" s="14"/>
      <c r="V204" s="36"/>
      <c r="AI204" s="14" t="s">
        <v>1177</v>
      </c>
      <c r="AJ204" s="30">
        <f>IF(1500&lt;AJ$198,1,0)</f>
        <v>0</v>
      </c>
      <c r="AK204" s="172">
        <f>IF(AJ204=0,0,[1]Protect!B80)</f>
        <v>0</v>
      </c>
      <c r="AO204" s="14" t="s">
        <v>1178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567</v>
      </c>
      <c r="C205" s="172">
        <f>'Calcul éco'!J40</f>
        <v>0</v>
      </c>
      <c r="D205" s="259">
        <f>ROUND(C205*D$82/C$82,0)</f>
        <v>0</v>
      </c>
      <c r="I205" s="14" t="s">
        <v>1378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1008</v>
      </c>
      <c r="Y205" s="187">
        <f>'Calcul éco'!AC36</f>
        <v>245</v>
      </c>
      <c r="Z205" s="5"/>
    </row>
    <row r="206" spans="1:43" x14ac:dyDescent="0.25">
      <c r="A206" s="2" t="s">
        <v>1023</v>
      </c>
      <c r="B206" s="19" t="s">
        <v>1024</v>
      </c>
      <c r="C206" s="172">
        <f>ROUND('Calcul éco'!J42,0)</f>
        <v>2437</v>
      </c>
      <c r="D206" s="259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1014</v>
      </c>
      <c r="Y206" s="170" t="s">
        <v>980</v>
      </c>
      <c r="Z206" s="170" t="s">
        <v>730</v>
      </c>
    </row>
    <row r="207" spans="1:43" x14ac:dyDescent="0.25">
      <c r="B207" s="209" t="s">
        <v>1028</v>
      </c>
      <c r="C207" s="172">
        <f>ROUND('Calcul éco'!J43,0)</f>
        <v>1231</v>
      </c>
      <c r="D207" s="264">
        <f>IF(L212&gt;52,52,L212)*IF(Scénario!K2="Exploit. Ind.",1,Scénario!K3)*'Calcul éco'!C43</f>
        <v>0</v>
      </c>
      <c r="E207" s="17" t="s">
        <v>1379</v>
      </c>
      <c r="W207" s="14" t="s">
        <v>1018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1179</v>
      </c>
      <c r="AL207" s="172">
        <f>IF(Scénario!K84=2,AL209,IF(Scénario!K84=1,AL208,0))</f>
        <v>7500</v>
      </c>
      <c r="AQ207" s="5"/>
    </row>
    <row r="208" spans="1:43" x14ac:dyDescent="0.25">
      <c r="B208" s="209" t="s">
        <v>1029</v>
      </c>
      <c r="C208" s="172">
        <f>ROUND('Calcul éco'!J44,0)</f>
        <v>1683</v>
      </c>
      <c r="D208" s="259">
        <f>ROUND(C208*D$82/C$82,0)</f>
        <v>0</v>
      </c>
      <c r="S208" s="14" t="s">
        <v>1020</v>
      </c>
      <c r="T208" s="30">
        <f>L212</f>
        <v>0</v>
      </c>
      <c r="W208" s="14" t="s">
        <v>1021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1180</v>
      </c>
      <c r="AL208" s="172">
        <f>IF(AO192&lt;SUM(AK200:AK204),AO192,SUM(AK200:AK204))</f>
        <v>7500</v>
      </c>
      <c r="AQ208" s="242"/>
    </row>
    <row r="209" spans="1:43" x14ac:dyDescent="0.25">
      <c r="B209" s="19" t="s">
        <v>1031</v>
      </c>
      <c r="C209" s="172">
        <f>ROUND('Calcul éco'!J45,0)</f>
        <v>7903</v>
      </c>
      <c r="D209" s="264">
        <f>IF(Scénario!K9=0,0,ROUND(Z210,0))</f>
        <v>0</v>
      </c>
      <c r="E209" s="17" t="s">
        <v>1380</v>
      </c>
      <c r="K209" s="40" t="s">
        <v>1030</v>
      </c>
      <c r="L209" s="62">
        <f>SUM(L205:L206)</f>
        <v>0</v>
      </c>
      <c r="W209" s="14" t="s">
        <v>1022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1181</v>
      </c>
      <c r="AL209" s="172">
        <f>IF(AO192&lt;SUM(AQ200:AQ204),AO192,SUM(AQ200:AQ204))</f>
        <v>5000</v>
      </c>
      <c r="AP209" s="242"/>
      <c r="AQ209" s="242"/>
    </row>
    <row r="210" spans="1:43" x14ac:dyDescent="0.25">
      <c r="B210" s="19" t="s">
        <v>1381</v>
      </c>
      <c r="C210" s="172">
        <f>ROUND('Calcul éco'!J46,0)</f>
        <v>7234</v>
      </c>
      <c r="D210" s="264">
        <f>ROUND(AL207,0)</f>
        <v>7500</v>
      </c>
      <c r="E210" s="17" t="s">
        <v>1382</v>
      </c>
      <c r="K210" s="14" t="s">
        <v>1032</v>
      </c>
      <c r="L210" s="172">
        <f>J221</f>
        <v>0</v>
      </c>
      <c r="Y210" s="40" t="s">
        <v>991</v>
      </c>
      <c r="Z210" s="62">
        <f>SUM(Z207:Z209)*IF(Scénario!K2="Exploit. Ind.",1,Scénario!K3)</f>
        <v>0</v>
      </c>
      <c r="AF210" s="5"/>
      <c r="AP210" s="242"/>
      <c r="AQ210" s="243"/>
    </row>
    <row r="211" spans="1:43" x14ac:dyDescent="0.25">
      <c r="B211" s="14" t="s">
        <v>1383</v>
      </c>
      <c r="C211" s="172">
        <f>SUM(C201:C210)</f>
        <v>27000.400000000001</v>
      </c>
      <c r="D211" s="264">
        <f>ROUND(SUM(D201:D210),0)</f>
        <v>7500</v>
      </c>
      <c r="E211" s="17" t="s">
        <v>1384</v>
      </c>
      <c r="K211" s="40" t="s">
        <v>1037</v>
      </c>
      <c r="L211" s="62">
        <f>L209+L210</f>
        <v>0</v>
      </c>
      <c r="AF211" s="5"/>
      <c r="AP211" s="242"/>
      <c r="AQ211" s="243"/>
    </row>
    <row r="212" spans="1:43" x14ac:dyDescent="0.25">
      <c r="A212" s="2" t="s">
        <v>1385</v>
      </c>
      <c r="B212" s="14" t="s">
        <v>1386</v>
      </c>
      <c r="C212" s="172">
        <f>IF(Troupeau!B3="OL",'Calcul éco'!K116,0)</f>
        <v>26812.3</v>
      </c>
      <c r="D212" s="259">
        <f>ROUND(C212*D$82/C$82,0)</f>
        <v>0</v>
      </c>
      <c r="K212" s="40" t="s">
        <v>1387</v>
      </c>
      <c r="L212" s="62">
        <f>L211/IF(Scénario!K2="Exploit. Ind.",1,Scénario!K3)</f>
        <v>0</v>
      </c>
      <c r="AF212" s="5"/>
      <c r="AG212" s="244"/>
      <c r="AH212" s="245"/>
      <c r="AI212" s="245"/>
      <c r="AJ212" s="246"/>
      <c r="AK212" s="246"/>
      <c r="AL212" s="246"/>
      <c r="AM212" s="247"/>
      <c r="AN212" s="247"/>
      <c r="AO212" s="242"/>
      <c r="AP212" s="243"/>
      <c r="AQ212" s="242"/>
    </row>
    <row r="213" spans="1:43" x14ac:dyDescent="0.25">
      <c r="B213" s="14" t="s">
        <v>1388</v>
      </c>
      <c r="C213" s="172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1182</v>
      </c>
      <c r="AP213" s="243"/>
      <c r="AQ213" s="242"/>
    </row>
    <row r="214" spans="1:43" x14ac:dyDescent="0.25">
      <c r="B214" s="14" t="s">
        <v>1389</v>
      </c>
      <c r="C214" s="172">
        <f>IF(Troupeau!B3="BV",'Calcul éco'!K116,0)+IF(Troupeau!C3="BV",'Calcul éco'!L116,0)</f>
        <v>0</v>
      </c>
      <c r="D214" s="259">
        <f t="shared" si="106"/>
        <v>0</v>
      </c>
      <c r="H214" s="2" t="s">
        <v>1040</v>
      </c>
      <c r="AF214" s="5"/>
      <c r="AJ214" s="33" t="s">
        <v>1183</v>
      </c>
      <c r="AK214" s="33"/>
      <c r="AL214" s="33"/>
      <c r="AM214" s="33" t="s">
        <v>1184</v>
      </c>
      <c r="AN214" s="33" t="s">
        <v>1047</v>
      </c>
      <c r="AP214" s="243"/>
      <c r="AQ214" s="242"/>
    </row>
    <row r="215" spans="1:43" x14ac:dyDescent="0.25">
      <c r="B215" s="14" t="s">
        <v>1390</v>
      </c>
      <c r="C215" s="172">
        <f>IF(Troupeau!D3="EQ",'Calcul éco'!M116,0)+IF(Troupeau!D3="EQ",'Calcul éco'!L116,0)</f>
        <v>0</v>
      </c>
      <c r="D215" s="259">
        <f t="shared" si="106"/>
        <v>0</v>
      </c>
      <c r="I215" t="s">
        <v>1391</v>
      </c>
      <c r="J215" t="s">
        <v>1392</v>
      </c>
      <c r="AF215" s="5"/>
      <c r="AI215" s="14" t="s">
        <v>1185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2"/>
      <c r="AQ215" s="242"/>
    </row>
    <row r="216" spans="1:43" x14ac:dyDescent="0.25">
      <c r="B216" s="14" t="s">
        <v>1393</v>
      </c>
      <c r="C216" s="172">
        <f>ROUND(SUM(C212:C215),0)</f>
        <v>26812</v>
      </c>
      <c r="D216" s="259">
        <f t="shared" si="106"/>
        <v>0</v>
      </c>
      <c r="G216" s="14" t="s">
        <v>577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1"/>
      <c r="L216" s="221"/>
      <c r="AF216" s="5"/>
      <c r="AI216" s="14" t="s">
        <v>1186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2"/>
      <c r="AQ216" s="242"/>
    </row>
    <row r="217" spans="1:43" x14ac:dyDescent="0.25">
      <c r="B217" s="14" t="s">
        <v>1394</v>
      </c>
      <c r="C217" s="172">
        <f>SUM('Calcul éco'!J122:J138)</f>
        <v>1462.116</v>
      </c>
      <c r="D217" s="259">
        <f t="shared" si="106"/>
        <v>0</v>
      </c>
      <c r="G217" s="19" t="s">
        <v>591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1187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2"/>
      <c r="AQ217" s="242"/>
    </row>
    <row r="218" spans="1:43" x14ac:dyDescent="0.25">
      <c r="B218" s="14" t="s">
        <v>1395</v>
      </c>
      <c r="C218" s="172">
        <f>SUM('Calcul éco'!J118:J119)</f>
        <v>6102.8499999999976</v>
      </c>
      <c r="D218" s="259">
        <f t="shared" si="106"/>
        <v>0</v>
      </c>
      <c r="G218" s="14" t="s">
        <v>598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1"/>
      <c r="AI218" s="14" t="s">
        <v>1147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2"/>
      <c r="AP218" s="242"/>
      <c r="AQ218" s="242"/>
    </row>
    <row r="219" spans="1:43" x14ac:dyDescent="0.25">
      <c r="B219" s="14" t="s">
        <v>1396</v>
      </c>
      <c r="C219" s="172">
        <f>'Calcul éco'!J141</f>
        <v>9043</v>
      </c>
      <c r="D219" s="259">
        <f t="shared" si="106"/>
        <v>0</v>
      </c>
      <c r="K219" s="4"/>
      <c r="AF219" s="5"/>
      <c r="AG219" s="244"/>
      <c r="AI219" s="14" t="s">
        <v>1148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2"/>
      <c r="AP219" s="32"/>
      <c r="AQ219" s="242"/>
    </row>
    <row r="220" spans="1:43" x14ac:dyDescent="0.25">
      <c r="B220" s="14" t="s">
        <v>1397</v>
      </c>
      <c r="C220" s="172">
        <f>'Calcul éco'!J142</f>
        <v>482.40000000000003</v>
      </c>
      <c r="D220" s="264">
        <f>SUM(AN215:AN219)</f>
        <v>0</v>
      </c>
      <c r="E220" s="17" t="s">
        <v>1398</v>
      </c>
      <c r="H220" s="14" t="s">
        <v>1042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1399</v>
      </c>
      <c r="C221" s="172">
        <f>ROUND(SUM(C216:C220),0)</f>
        <v>43902</v>
      </c>
      <c r="D221" s="264">
        <f>ROUND(SUM(D216:D220),0)</f>
        <v>0</v>
      </c>
      <c r="E221" s="17" t="s">
        <v>1398</v>
      </c>
      <c r="H221" s="14" t="s">
        <v>1043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1110</v>
      </c>
      <c r="B222" s="14" t="s">
        <v>1400</v>
      </c>
      <c r="C222" s="172">
        <f>'Calcul éco'!J149</f>
        <v>956</v>
      </c>
      <c r="D222" s="259">
        <f>ROUND(C222*D$82/C$82,0)</f>
        <v>0</v>
      </c>
      <c r="K222" t="s">
        <v>1391</v>
      </c>
      <c r="L222" t="s">
        <v>1401</v>
      </c>
    </row>
    <row r="223" spans="1:43" x14ac:dyDescent="0.25">
      <c r="B223" s="14" t="s">
        <v>1112</v>
      </c>
      <c r="C223" s="172">
        <f>'Calcul éco'!J150</f>
        <v>1000</v>
      </c>
      <c r="D223" s="172">
        <f>C223</f>
        <v>1000</v>
      </c>
      <c r="J223" s="14" t="s">
        <v>1402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1140</v>
      </c>
      <c r="AM223" t="s">
        <v>1141</v>
      </c>
      <c r="AN223" t="s">
        <v>1142</v>
      </c>
      <c r="AO223" t="s">
        <v>1143</v>
      </c>
    </row>
    <row r="224" spans="1:43" x14ac:dyDescent="0.25">
      <c r="B224" s="14" t="s">
        <v>1113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1403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1144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1115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1404</v>
      </c>
      <c r="K225" s="30">
        <f>Scénario!K66</f>
        <v>0</v>
      </c>
      <c r="L225" s="30">
        <f>K225*'Synthèse résultats'!D$82/'Synthèse résultats'!C$82</f>
        <v>0</v>
      </c>
      <c r="AJ225" s="14" t="s">
        <v>1145</v>
      </c>
      <c r="AK225" s="30">
        <f>D183</f>
        <v>0</v>
      </c>
      <c r="AL225" t="s">
        <v>1146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1117</v>
      </c>
      <c r="C226" s="172">
        <f>'Calcul éco'!J153</f>
        <v>9587</v>
      </c>
      <c r="D226" s="259">
        <f>ROUND(C226*D$82/C$82,0)</f>
        <v>0</v>
      </c>
      <c r="G226" s="14"/>
      <c r="H226" s="14"/>
      <c r="AJ226" s="14" t="s">
        <v>1147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1119</v>
      </c>
      <c r="C227" s="172">
        <f>'Calcul éco'!J154</f>
        <v>6596.4000000000005</v>
      </c>
      <c r="D227" s="259">
        <f t="shared" ref="D227:D233" si="109">ROUND(C227*D$82/C$82,0)</f>
        <v>0</v>
      </c>
      <c r="AJ227" s="14" t="s">
        <v>1148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1149</v>
      </c>
      <c r="AR227" t="s">
        <v>1150</v>
      </c>
      <c r="AS227" t="s">
        <v>1151</v>
      </c>
      <c r="AT227" t="s">
        <v>1152</v>
      </c>
      <c r="AU227" t="s">
        <v>1153</v>
      </c>
      <c r="AV227" t="s">
        <v>1154</v>
      </c>
      <c r="AW227" t="s">
        <v>1155</v>
      </c>
    </row>
    <row r="228" spans="1:49" x14ac:dyDescent="0.25">
      <c r="B228" s="14" t="s">
        <v>1121</v>
      </c>
      <c r="C228" s="172"/>
      <c r="D228" s="259">
        <f t="shared" si="109"/>
        <v>0</v>
      </c>
      <c r="AN228" s="14" t="s">
        <v>1156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1">
        <f>[1]Protect!$B$19</f>
        <v>0.04</v>
      </c>
      <c r="AV228" s="213">
        <f>[1]Protect!$B$20</f>
        <v>10</v>
      </c>
      <c r="AW228" s="238">
        <f>PPMT(AU228,1,AV228,-AT228)+IPMT(AU228,1,AV228,-AT228)</f>
        <v>0</v>
      </c>
    </row>
    <row r="229" spans="1:49" x14ac:dyDescent="0.25">
      <c r="B229" s="14" t="s">
        <v>1124</v>
      </c>
      <c r="C229" s="172">
        <f>'Calcul éco'!J157</f>
        <v>0</v>
      </c>
      <c r="D229" s="259">
        <f t="shared" si="109"/>
        <v>0</v>
      </c>
    </row>
    <row r="230" spans="1:49" x14ac:dyDescent="0.25">
      <c r="B230" s="14" t="s">
        <v>1125</v>
      </c>
      <c r="C230" s="172">
        <f>'Calcul éco'!J158</f>
        <v>0</v>
      </c>
      <c r="D230" s="259">
        <f t="shared" si="109"/>
        <v>0</v>
      </c>
    </row>
    <row r="231" spans="1:49" x14ac:dyDescent="0.25">
      <c r="B231" s="14" t="s">
        <v>1126</v>
      </c>
      <c r="C231" s="172">
        <f>'Calcul éco'!J159</f>
        <v>0</v>
      </c>
      <c r="D231" s="259">
        <f t="shared" si="109"/>
        <v>0</v>
      </c>
      <c r="AJ231" s="14" t="s">
        <v>1157</v>
      </c>
      <c r="AK231" s="30">
        <f>D186</f>
        <v>0</v>
      </c>
      <c r="AL231" t="s">
        <v>1146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1">
        <f>[1]Protect!$B$19</f>
        <v>0.04</v>
      </c>
      <c r="AV231" s="213">
        <f>[1]Protect!$B$20</f>
        <v>10</v>
      </c>
      <c r="AW231" s="238">
        <f t="shared" ref="AW231" si="111">PPMT(AU231,1,AV231,-AT231)+IPMT(AU231,1,AV231,-AT231)</f>
        <v>0</v>
      </c>
    </row>
    <row r="232" spans="1:49" x14ac:dyDescent="0.25">
      <c r="B232" s="14" t="s">
        <v>1127</v>
      </c>
      <c r="C232" s="172">
        <f>'Calcul éco'!J160</f>
        <v>0</v>
      </c>
      <c r="D232" s="259">
        <f t="shared" si="109"/>
        <v>0</v>
      </c>
    </row>
    <row r="233" spans="1:49" x14ac:dyDescent="0.25">
      <c r="B233" s="14" t="s">
        <v>1128</v>
      </c>
      <c r="C233" s="172">
        <f>'Calcul éco'!J161</f>
        <v>0</v>
      </c>
      <c r="D233" s="259">
        <f t="shared" si="109"/>
        <v>0</v>
      </c>
    </row>
    <row r="234" spans="1:49" x14ac:dyDescent="0.25">
      <c r="B234" s="14" t="s">
        <v>1405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1406</v>
      </c>
      <c r="C235" s="172">
        <f>'Calcul éco'!J167</f>
        <v>5379.8430000000008</v>
      </c>
      <c r="D235" s="264">
        <f>(D191+D192)*8*[1]Eco!$B$106</f>
        <v>3937.3519999999999</v>
      </c>
      <c r="E235" s="17" t="s">
        <v>1398</v>
      </c>
    </row>
    <row r="236" spans="1:49" x14ac:dyDescent="0.25">
      <c r="B236" s="14" t="s">
        <v>1407</v>
      </c>
      <c r="C236" s="172">
        <f>ROUND(SUM(C222:C235),0)</f>
        <v>29246</v>
      </c>
      <c r="D236" s="264">
        <f>ROUND(SUM(D222:D235),0)</f>
        <v>10664</v>
      </c>
      <c r="E236" s="17" t="s">
        <v>1408</v>
      </c>
    </row>
    <row r="237" spans="1:49" x14ac:dyDescent="0.25">
      <c r="A237" s="2" t="s">
        <v>1409</v>
      </c>
      <c r="B237" s="209" t="s">
        <v>1134</v>
      </c>
      <c r="C237" s="172">
        <f>C194+C211-C221-C236</f>
        <v>20565.399999999994</v>
      </c>
      <c r="D237" s="264">
        <f>D194+D211-D221-D236</f>
        <v>-3164</v>
      </c>
    </row>
    <row r="238" spans="1:49" x14ac:dyDescent="0.25">
      <c r="B238" s="209" t="s">
        <v>1135</v>
      </c>
      <c r="C238" s="172">
        <f>ROUND(C237/Scénario!$K$4,0)</f>
        <v>20565</v>
      </c>
      <c r="D238" s="264" t="e">
        <f>ROUND(D237/D83,0)</f>
        <v>#DIV/0!</v>
      </c>
    </row>
    <row r="239" spans="1:49" x14ac:dyDescent="0.25">
      <c r="B239" s="209" t="s">
        <v>1136</v>
      </c>
      <c r="C239" s="172">
        <f>'Calcul éco'!B177</f>
        <v>11000</v>
      </c>
      <c r="D239" s="264">
        <f>C239</f>
        <v>11000</v>
      </c>
    </row>
    <row r="240" spans="1:49" x14ac:dyDescent="0.25">
      <c r="B240" s="209" t="s">
        <v>1137</v>
      </c>
      <c r="C240" s="267">
        <f>'Calcul éco'!B178</f>
        <v>793.00735393143805</v>
      </c>
      <c r="D240" s="268">
        <f>AW228+AW231</f>
        <v>0</v>
      </c>
      <c r="E240" s="17" t="s">
        <v>1398</v>
      </c>
    </row>
    <row r="241" spans="1:15" x14ac:dyDescent="0.25">
      <c r="B241" s="209" t="s">
        <v>1138</v>
      </c>
      <c r="C241" s="269">
        <f>ROUND(C237-C239-C240,0)</f>
        <v>8772</v>
      </c>
      <c r="D241" s="268">
        <f>ROUND(D237-D239-D240,0)</f>
        <v>-14164</v>
      </c>
    </row>
    <row r="242" spans="1:15" x14ac:dyDescent="0.25">
      <c r="B242" s="209" t="s">
        <v>1139</v>
      </c>
      <c r="C242" s="172">
        <f>ROUND(C241/Scénario!K4,0)</f>
        <v>8772</v>
      </c>
      <c r="D242" s="264" t="e">
        <f>ROUND(D241/D83,0)</f>
        <v>#DIV/0!</v>
      </c>
    </row>
    <row r="243" spans="1:15" x14ac:dyDescent="0.25">
      <c r="B243" s="209" t="s">
        <v>1410</v>
      </c>
      <c r="C243" s="172">
        <f>'Calcul éco'!X237+'Calcul éco'!X240</f>
        <v>32160</v>
      </c>
      <c r="D243" s="172">
        <f>C243</f>
        <v>32160</v>
      </c>
    </row>
    <row r="244" spans="1:15" x14ac:dyDescent="0.25">
      <c r="B244" s="209" t="s">
        <v>1411</v>
      </c>
      <c r="C244" s="172">
        <f>'Calcul éco'!AA237+'Calcul éco'!AA240</f>
        <v>6432</v>
      </c>
      <c r="D244" s="172">
        <f>C244</f>
        <v>6432</v>
      </c>
    </row>
    <row r="245" spans="1:15" x14ac:dyDescent="0.25">
      <c r="A245" s="2" t="s">
        <v>1412</v>
      </c>
      <c r="B245" s="14" t="s">
        <v>577</v>
      </c>
      <c r="C245" s="270">
        <f>Travail!F5</f>
        <v>1120</v>
      </c>
      <c r="D245" s="172">
        <f>C245</f>
        <v>1120</v>
      </c>
    </row>
    <row r="246" spans="1:15" x14ac:dyDescent="0.25">
      <c r="B246" s="14" t="s">
        <v>591</v>
      </c>
      <c r="C246" s="270">
        <f>Travail!F6</f>
        <v>0</v>
      </c>
      <c r="D246" s="172">
        <f t="shared" ref="D246:D247" si="112">C246</f>
        <v>0</v>
      </c>
    </row>
    <row r="247" spans="1:15" x14ac:dyDescent="0.25">
      <c r="B247" s="14" t="s">
        <v>598</v>
      </c>
      <c r="C247" s="270">
        <f>Travail!F7</f>
        <v>0</v>
      </c>
      <c r="D247" s="172">
        <f t="shared" si="112"/>
        <v>0</v>
      </c>
    </row>
    <row r="248" spans="1:15" x14ac:dyDescent="0.25">
      <c r="A248" s="43" t="s">
        <v>790</v>
      </c>
      <c r="B248" s="14" t="s">
        <v>577</v>
      </c>
      <c r="C248" s="270">
        <f>Travail!F9</f>
        <v>1009.9299999999998</v>
      </c>
      <c r="D248" s="264">
        <f>ROUND(SUM(AV163:BS163),1)</f>
        <v>0</v>
      </c>
    </row>
    <row r="249" spans="1:15" x14ac:dyDescent="0.25">
      <c r="B249" s="14" t="s">
        <v>591</v>
      </c>
      <c r="C249" s="270">
        <f>Travail!F10</f>
        <v>0</v>
      </c>
      <c r="D249" s="264">
        <f>SUM(CB163:CY163)</f>
        <v>0</v>
      </c>
    </row>
    <row r="250" spans="1:15" x14ac:dyDescent="0.25">
      <c r="B250" s="14" t="s">
        <v>598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793</v>
      </c>
      <c r="B251" s="14" t="s">
        <v>577</v>
      </c>
      <c r="C251" s="270">
        <f>Travail!F16</f>
        <v>0</v>
      </c>
      <c r="D251" s="172">
        <f>C251</f>
        <v>0</v>
      </c>
      <c r="J251" s="40" t="s">
        <v>818</v>
      </c>
      <c r="M251" s="5"/>
      <c r="N251" s="5"/>
      <c r="O251" s="170"/>
    </row>
    <row r="252" spans="1:15" x14ac:dyDescent="0.25">
      <c r="A252" s="43"/>
      <c r="B252" s="14" t="s">
        <v>591</v>
      </c>
      <c r="C252" s="270">
        <f>Travail!F17</f>
        <v>0</v>
      </c>
      <c r="D252" s="172">
        <f t="shared" ref="D252:D253" si="113">C252</f>
        <v>0</v>
      </c>
      <c r="J252" s="37" t="s">
        <v>819</v>
      </c>
      <c r="K252" s="170" t="s">
        <v>52</v>
      </c>
      <c r="L252" t="s">
        <v>820</v>
      </c>
      <c r="M252" s="5"/>
      <c r="N252" s="5"/>
      <c r="O252" s="170"/>
    </row>
    <row r="253" spans="1:15" x14ac:dyDescent="0.25">
      <c r="A253" s="43"/>
      <c r="B253" s="14" t="s">
        <v>598</v>
      </c>
      <c r="C253" s="270">
        <f>Travail!F18</f>
        <v>0</v>
      </c>
      <c r="D253" s="172">
        <f t="shared" si="113"/>
        <v>0</v>
      </c>
      <c r="J253" s="14" t="s">
        <v>822</v>
      </c>
      <c r="K253" s="172">
        <f>C91+C92</f>
        <v>0</v>
      </c>
      <c r="L253" s="187">
        <f>IF(K253&gt;[1]Trav!$E$116,[1]Trav!C116,[1]Trav!B116)</f>
        <v>11</v>
      </c>
      <c r="M253" s="5"/>
      <c r="N253" s="171"/>
      <c r="O253">
        <f>K253*L253</f>
        <v>0</v>
      </c>
    </row>
    <row r="254" spans="1:15" x14ac:dyDescent="0.25">
      <c r="A254" s="43" t="s">
        <v>800</v>
      </c>
      <c r="B254" s="14" t="s">
        <v>577</v>
      </c>
      <c r="C254" s="270">
        <f>Travail!F20</f>
        <v>0</v>
      </c>
      <c r="D254" s="172">
        <f>Travail!G20</f>
        <v>0</v>
      </c>
      <c r="J254" s="14" t="s">
        <v>824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591</v>
      </c>
      <c r="C255" s="270">
        <f>Travail!F21</f>
        <v>0</v>
      </c>
      <c r="D255" s="172">
        <f>Travail!G21</f>
        <v>0</v>
      </c>
      <c r="J255" s="32" t="s">
        <v>826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598</v>
      </c>
      <c r="C256" s="270">
        <f>Travail!F22</f>
        <v>0</v>
      </c>
      <c r="D256" s="172">
        <f>Travail!G22</f>
        <v>0</v>
      </c>
      <c r="J256" s="32" t="s">
        <v>827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803</v>
      </c>
      <c r="B257" s="14" t="s">
        <v>577</v>
      </c>
      <c r="C257" s="270">
        <f>Travail!F31</f>
        <v>465.66666666666669</v>
      </c>
      <c r="D257" s="259">
        <f>ROUND(C257*D$82/C$82,0)</f>
        <v>0</v>
      </c>
      <c r="E257" s="17" t="s">
        <v>1413</v>
      </c>
      <c r="J257" s="32" t="s">
        <v>828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591</v>
      </c>
      <c r="C258" s="270">
        <f>Travail!F32</f>
        <v>0</v>
      </c>
      <c r="D258" s="259">
        <f t="shared" ref="D258:D259" si="115">ROUND(C258*D$82/C$82,0)</f>
        <v>0</v>
      </c>
      <c r="E258" s="17"/>
      <c r="J258" s="32" t="s">
        <v>829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598</v>
      </c>
      <c r="C259" s="270">
        <f>Travail!F33</f>
        <v>0</v>
      </c>
      <c r="D259" s="259">
        <f t="shared" si="115"/>
        <v>0</v>
      </c>
      <c r="J259" s="32" t="s">
        <v>830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806</v>
      </c>
      <c r="B260" s="14" t="s">
        <v>577</v>
      </c>
      <c r="C260" s="270">
        <f>ROUND(Travail!F35,0)</f>
        <v>820</v>
      </c>
      <c r="D260" s="264">
        <f>ROUND(Travail!B35+(Travail!D35*Travail!C35*'Synthèse résultats'!G63),0)</f>
        <v>220</v>
      </c>
      <c r="E260" s="17" t="s">
        <v>1414</v>
      </c>
      <c r="J260" s="32" t="s">
        <v>831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811</v>
      </c>
      <c r="B261" s="14" t="s">
        <v>577</v>
      </c>
      <c r="C261" s="270">
        <f>Travail!F39</f>
        <v>0</v>
      </c>
      <c r="D261" s="259">
        <f>ROUND(C261*G63,0)</f>
        <v>0</v>
      </c>
      <c r="E261" s="17" t="s">
        <v>1415</v>
      </c>
      <c r="J261" s="32" t="s">
        <v>832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1416</v>
      </c>
      <c r="B262" s="14" t="s">
        <v>822</v>
      </c>
      <c r="C262" s="270">
        <f>Travail!F50</f>
        <v>0</v>
      </c>
      <c r="D262" s="264">
        <f t="shared" ref="D262:D271" si="116">ROUND(K253*L253,0)</f>
        <v>0</v>
      </c>
      <c r="E262" s="17" t="s">
        <v>1417</v>
      </c>
      <c r="J262" s="32" t="s">
        <v>834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824</v>
      </c>
      <c r="C263" s="270">
        <f>Travail!F51</f>
        <v>0</v>
      </c>
      <c r="D263" s="264">
        <f t="shared" si="116"/>
        <v>0</v>
      </c>
    </row>
    <row r="264" spans="1:15" x14ac:dyDescent="0.25">
      <c r="B264" s="32" t="s">
        <v>826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827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828</v>
      </c>
      <c r="C266" s="270">
        <f>Travail!F54</f>
        <v>27</v>
      </c>
      <c r="D266" s="264">
        <f t="shared" si="116"/>
        <v>0</v>
      </c>
    </row>
    <row r="267" spans="1:15" x14ac:dyDescent="0.25">
      <c r="B267" s="32" t="s">
        <v>829</v>
      </c>
      <c r="C267" s="270">
        <f>Travail!F55</f>
        <v>90</v>
      </c>
      <c r="D267" s="264">
        <f t="shared" si="116"/>
        <v>0</v>
      </c>
    </row>
    <row r="268" spans="1:15" x14ac:dyDescent="0.25">
      <c r="B268" s="32" t="s">
        <v>830</v>
      </c>
      <c r="C268" s="270">
        <f>Travail!F56</f>
        <v>79</v>
      </c>
      <c r="D268" s="264">
        <f t="shared" si="116"/>
        <v>0</v>
      </c>
    </row>
    <row r="269" spans="1:15" x14ac:dyDescent="0.25">
      <c r="B269" s="32" t="s">
        <v>831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832</v>
      </c>
      <c r="C270" s="270">
        <f>Travail!F58</f>
        <v>6</v>
      </c>
      <c r="D270" s="264">
        <f t="shared" si="116"/>
        <v>0</v>
      </c>
    </row>
    <row r="271" spans="1:15" x14ac:dyDescent="0.25">
      <c r="B271" s="32" t="s">
        <v>834</v>
      </c>
      <c r="C271" s="270">
        <f>Travail!F59</f>
        <v>72</v>
      </c>
      <c r="D271" s="264">
        <f t="shared" si="116"/>
        <v>0</v>
      </c>
    </row>
    <row r="272" spans="1:15" x14ac:dyDescent="0.25">
      <c r="A272" s="23" t="s">
        <v>1418</v>
      </c>
      <c r="B272" s="32" t="s">
        <v>838</v>
      </c>
      <c r="C272" s="270">
        <f>Travail!F61</f>
        <v>120</v>
      </c>
      <c r="D272" s="172">
        <f>C272</f>
        <v>120</v>
      </c>
    </row>
    <row r="273" spans="1:4" x14ac:dyDescent="0.25">
      <c r="B273" s="32" t="s">
        <v>839</v>
      </c>
      <c r="C273" s="270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1419</v>
      </c>
      <c r="C274" s="270">
        <f>SUM(Travail!F63:F65)</f>
        <v>200</v>
      </c>
      <c r="D274" s="172">
        <f t="shared" si="117"/>
        <v>200</v>
      </c>
    </row>
    <row r="275" spans="1:4" x14ac:dyDescent="0.25">
      <c r="A275" s="23" t="s">
        <v>1420</v>
      </c>
      <c r="B275" s="32" t="s">
        <v>1421</v>
      </c>
      <c r="C275" s="270">
        <f>C191*8</f>
        <v>370.4</v>
      </c>
      <c r="D275" s="172">
        <f>C275</f>
        <v>370.4</v>
      </c>
    </row>
    <row r="276" spans="1:4" x14ac:dyDescent="0.25">
      <c r="A276" s="23"/>
      <c r="B276" s="32" t="s">
        <v>1422</v>
      </c>
      <c r="C276" s="270">
        <f>C192*8</f>
        <v>6.1</v>
      </c>
      <c r="D276" s="264">
        <f>D192*8</f>
        <v>0</v>
      </c>
    </row>
    <row r="277" spans="1:4" x14ac:dyDescent="0.25">
      <c r="B277" s="32" t="s">
        <v>1423</v>
      </c>
      <c r="C277" s="270">
        <f>Travail!F75+Travail!F81</f>
        <v>130</v>
      </c>
      <c r="D277" s="172">
        <f>C277</f>
        <v>130</v>
      </c>
    </row>
    <row r="278" spans="1:4" x14ac:dyDescent="0.25">
      <c r="B278" s="32" t="s">
        <v>1424</v>
      </c>
      <c r="C278" s="270">
        <f>Travail!F76</f>
        <v>0</v>
      </c>
      <c r="D278" s="172">
        <f>C278</f>
        <v>0</v>
      </c>
    </row>
    <row r="279" spans="1:4" x14ac:dyDescent="0.25">
      <c r="B279" s="32" t="s">
        <v>1425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1426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1427</v>
      </c>
      <c r="B281" s="14" t="s">
        <v>1428</v>
      </c>
      <c r="C281" s="172">
        <f>ROUND(C245+C248+C251+C254+C257+C260+C261,0)</f>
        <v>3416</v>
      </c>
      <c r="D281" s="264">
        <f>ROUND(D245+D248+D251+D254+D257+D260+D261,0)</f>
        <v>1340</v>
      </c>
    </row>
    <row r="282" spans="1:4" x14ac:dyDescent="0.25">
      <c r="B282" s="14" t="s">
        <v>1429</v>
      </c>
      <c r="C282" s="172">
        <f>ROUND(C246+C249+C252+C255+C258,0)</f>
        <v>0</v>
      </c>
      <c r="D282" s="264">
        <f>ROUND(D246+D249+D252+D255+D258,0)</f>
        <v>0</v>
      </c>
    </row>
    <row r="283" spans="1:4" x14ac:dyDescent="0.25">
      <c r="B283" s="14" t="s">
        <v>1430</v>
      </c>
      <c r="C283" s="172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1431</v>
      </c>
      <c r="C284" s="172">
        <f>ROUND(C281/Troupeau!$B$17,2)</f>
        <v>12.75</v>
      </c>
      <c r="D284" s="172" t="e">
        <f>ROUND(D281/(Troupeau!$B$17*G63),2)</f>
        <v>#DIV/0!</v>
      </c>
    </row>
    <row r="285" spans="1:4" x14ac:dyDescent="0.25">
      <c r="B285" s="14" t="s">
        <v>1432</v>
      </c>
      <c r="C285" s="172">
        <f>IF(Troupeau!$C$17=0,0,ROUND(C282/Troupeau!$C$17,2))</f>
        <v>0</v>
      </c>
      <c r="D285" s="172">
        <f>IF(Troupeau!$C$17=0,0,ROUND(D282/Troupeau!$C$17*G63,2))</f>
        <v>0</v>
      </c>
    </row>
    <row r="286" spans="1:4" x14ac:dyDescent="0.25">
      <c r="B286" s="14" t="s">
        <v>1433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1434</v>
      </c>
      <c r="C287" s="172">
        <f>SUM(C281:C283)</f>
        <v>3416</v>
      </c>
      <c r="D287" s="264">
        <f>SUM(D281:D283)</f>
        <v>1340</v>
      </c>
    </row>
    <row r="288" spans="1:4" x14ac:dyDescent="0.25">
      <c r="B288" s="14" t="s">
        <v>1435</v>
      </c>
      <c r="C288" s="172">
        <f>SUM(C272:C274)</f>
        <v>440</v>
      </c>
      <c r="D288" s="264">
        <f>SUM(D272:D274)</f>
        <v>440</v>
      </c>
    </row>
    <row r="289" spans="2:5" x14ac:dyDescent="0.25">
      <c r="B289" s="14" t="s">
        <v>1436</v>
      </c>
      <c r="C289" s="172">
        <f>SUM(C262:C271)</f>
        <v>274</v>
      </c>
      <c r="D289" s="264">
        <f>SUM(D262:D271)</f>
        <v>0</v>
      </c>
    </row>
    <row r="290" spans="2:5" x14ac:dyDescent="0.25">
      <c r="B290" s="14" t="s">
        <v>1437</v>
      </c>
      <c r="C290" s="270">
        <f>C275+C276+C277</f>
        <v>506.5</v>
      </c>
      <c r="D290" s="271">
        <f>D275+D276+D277</f>
        <v>500.4</v>
      </c>
    </row>
    <row r="291" spans="2:5" x14ac:dyDescent="0.25">
      <c r="B291" s="14" t="s">
        <v>1438</v>
      </c>
      <c r="C291" s="270">
        <f>C278+C279+C280</f>
        <v>0</v>
      </c>
      <c r="D291" s="270">
        <f>D278+D279+D280</f>
        <v>0</v>
      </c>
    </row>
    <row r="292" spans="2:5" x14ac:dyDescent="0.25">
      <c r="B292" s="14" t="s">
        <v>915</v>
      </c>
      <c r="C292" s="172">
        <f>ROUND(SUM(C287:C291),0)</f>
        <v>4637</v>
      </c>
      <c r="D292" s="264">
        <f>ROUND(SUM(D287:D291),0)</f>
        <v>2280</v>
      </c>
    </row>
    <row r="293" spans="2:5" x14ac:dyDescent="0.25">
      <c r="B293" s="14" t="s">
        <v>916</v>
      </c>
      <c r="C293" s="172">
        <f>ROUND(IF(Scénario!$K$129=1,SUM(C275:C280),SUM(C278:C280)),0)</f>
        <v>507</v>
      </c>
      <c r="D293" s="172">
        <f>ROUND(IF(Scénario!$K$129=1,SUM(D275:D280),SUM(D278:D280)),0)</f>
        <v>500</v>
      </c>
    </row>
    <row r="294" spans="2:5" x14ac:dyDescent="0.25">
      <c r="B294" s="14" t="s">
        <v>917</v>
      </c>
      <c r="C294" s="172">
        <f>ROUND((C292-C293)/C83,0)</f>
        <v>4130</v>
      </c>
      <c r="D294" s="172" t="e">
        <f>ROUND((D292-D293)/D83,0)</f>
        <v>#DIV/0!</v>
      </c>
      <c r="E294">
        <f>C294/1.5</f>
        <v>2753.3333333333335</v>
      </c>
    </row>
    <row r="295" spans="2:5" x14ac:dyDescent="0.25">
      <c r="B295" s="14" t="s">
        <v>1452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5" x14ac:dyDescent="0.25">
      <c r="B296" s="14" t="s">
        <v>1453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5" x14ac:dyDescent="0.25">
      <c r="B297" s="14" t="s">
        <v>1454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5" x14ac:dyDescent="0.25">
      <c r="B298" s="14" t="s">
        <v>1465</v>
      </c>
      <c r="C298" s="172">
        <f>IF(Troupeau!$B$3="OL",CdTrp1!AA220,0)</f>
        <v>97.934536589333391</v>
      </c>
    </row>
    <row r="299" spans="2:5" x14ac:dyDescent="0.25">
      <c r="B299" s="14" t="s">
        <v>1469</v>
      </c>
      <c r="C299" s="172">
        <f>IF(Troupeau!$B$3="OL",CdTrp1!AA221,0)</f>
        <v>0</v>
      </c>
    </row>
    <row r="300" spans="2:5" x14ac:dyDescent="0.25">
      <c r="B300" s="14" t="s">
        <v>1466</v>
      </c>
      <c r="C300" s="172">
        <f>IF(Troupeau!$B$3="BV",CdTrp1!AA220,0)+IF(Troupeau!$C$3="BV",CdTrp2!AA220,0)</f>
        <v>0</v>
      </c>
    </row>
    <row r="301" spans="2:5" x14ac:dyDescent="0.25">
      <c r="B301" s="14" t="s">
        <v>1470</v>
      </c>
      <c r="C301" s="172">
        <f>IF(Troupeau!$B$3="BV",CdTrp1!AA221,0)+IF(Troupeau!$C$3="BV",CdTrp2!AA221,0)</f>
        <v>0</v>
      </c>
    </row>
    <row r="302" spans="2:5" x14ac:dyDescent="0.25">
      <c r="B302" s="14" t="s">
        <v>1467</v>
      </c>
      <c r="C302" s="172">
        <f>IF(Troupeau!$B$3="VL",CdTrp1!AA220,0)</f>
        <v>0</v>
      </c>
    </row>
    <row r="303" spans="2:5" x14ac:dyDescent="0.25">
      <c r="B303" s="14" t="s">
        <v>1468</v>
      </c>
      <c r="C303" s="172">
        <f>'Alim -Surf'!H10</f>
        <v>0</v>
      </c>
    </row>
    <row r="304" spans="2:5" x14ac:dyDescent="0.25">
      <c r="B304" s="14" t="s">
        <v>1471</v>
      </c>
      <c r="C304" s="172">
        <f>Protection!BL31+Protection!BK31</f>
        <v>19.120000000000005</v>
      </c>
    </row>
    <row r="305" spans="2:3" x14ac:dyDescent="0.25">
      <c r="B305" s="14" t="s">
        <v>1472</v>
      </c>
      <c r="C305" s="172">
        <f>Protection!BJ31</f>
        <v>0</v>
      </c>
    </row>
    <row r="306" spans="2:3" x14ac:dyDescent="0.25">
      <c r="B306" s="14" t="s">
        <v>1473</v>
      </c>
      <c r="C306" s="172">
        <f>'Calcul éco'!X233</f>
        <v>0</v>
      </c>
    </row>
    <row r="307" spans="2:3" x14ac:dyDescent="0.25">
      <c r="B307" s="14" t="s">
        <v>1474</v>
      </c>
      <c r="C307" s="172">
        <f>'Calcul éco'!X234</f>
        <v>32160</v>
      </c>
    </row>
    <row r="308" spans="2:3" x14ac:dyDescent="0.25">
      <c r="B308" s="14" t="s">
        <v>1475</v>
      </c>
      <c r="C308" s="172">
        <f>'Calcul éco'!X235</f>
        <v>0</v>
      </c>
    </row>
    <row r="309" spans="2:3" x14ac:dyDescent="0.25">
      <c r="B309" s="14" t="s">
        <v>1476</v>
      </c>
      <c r="C309" s="172">
        <f>'Calcul éco'!X236</f>
        <v>0</v>
      </c>
    </row>
    <row r="310" spans="2:3" x14ac:dyDescent="0.25">
      <c r="B310" s="14" t="s">
        <v>1477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="96" zoomScaleNormal="96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22" activePane="bottomLeft" state="frozen"/>
      <selection pane="bottomLeft" activeCell="L2" sqref="L1:U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177</v>
      </c>
      <c r="AK1" s="50" t="s">
        <v>438</v>
      </c>
      <c r="AL1" s="60">
        <v>323</v>
      </c>
      <c r="AM1" s="60">
        <v>329</v>
      </c>
      <c r="AN1" s="60">
        <v>335</v>
      </c>
      <c r="AO1" s="60">
        <v>314</v>
      </c>
      <c r="AP1" s="60">
        <v>320</v>
      </c>
      <c r="AQ1" s="60">
        <v>327</v>
      </c>
      <c r="AR1" s="60">
        <v>334</v>
      </c>
      <c r="AS1" s="60">
        <v>342</v>
      </c>
      <c r="AT1" s="60">
        <v>348</v>
      </c>
      <c r="AU1" s="60">
        <v>350</v>
      </c>
      <c r="AV1" s="60">
        <v>352</v>
      </c>
      <c r="AW1" s="60">
        <v>352</v>
      </c>
      <c r="AX1" s="60">
        <v>352</v>
      </c>
      <c r="AY1" s="60">
        <v>352</v>
      </c>
      <c r="AZ1" s="60">
        <v>352</v>
      </c>
      <c r="BA1" s="60">
        <v>352</v>
      </c>
      <c r="BB1" s="60">
        <v>352</v>
      </c>
      <c r="BC1" s="60">
        <v>326</v>
      </c>
      <c r="BD1" s="60">
        <v>326</v>
      </c>
      <c r="BE1" s="60">
        <v>326</v>
      </c>
      <c r="BF1" s="60">
        <v>399</v>
      </c>
      <c r="BG1" s="60">
        <v>399</v>
      </c>
      <c r="BH1" s="60">
        <v>323</v>
      </c>
      <c r="BI1" s="60">
        <v>323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K2" s="50" t="s">
        <v>439</v>
      </c>
      <c r="AL2" s="60">
        <v>8</v>
      </c>
      <c r="AM2" s="60">
        <v>8</v>
      </c>
      <c r="AN2" s="60">
        <v>8</v>
      </c>
      <c r="AO2" s="60">
        <v>8</v>
      </c>
      <c r="AP2" s="60">
        <v>8</v>
      </c>
      <c r="AQ2" s="60">
        <v>8</v>
      </c>
      <c r="AR2" s="60">
        <v>8</v>
      </c>
      <c r="AS2" s="60">
        <v>8</v>
      </c>
      <c r="AT2" s="60">
        <v>8</v>
      </c>
      <c r="AU2" s="60">
        <v>8</v>
      </c>
      <c r="AV2" s="156">
        <v>0</v>
      </c>
      <c r="AW2" s="156">
        <v>0</v>
      </c>
      <c r="AX2" s="156">
        <v>0</v>
      </c>
      <c r="AY2" s="156">
        <v>0</v>
      </c>
      <c r="AZ2" s="156">
        <v>0</v>
      </c>
      <c r="BA2" s="156">
        <v>0</v>
      </c>
      <c r="BB2" s="156">
        <v>0</v>
      </c>
      <c r="BC2" s="156">
        <v>0</v>
      </c>
      <c r="BD2" s="156">
        <v>0</v>
      </c>
      <c r="BE2" s="156">
        <v>0</v>
      </c>
      <c r="BF2" s="60">
        <v>8</v>
      </c>
      <c r="BG2" s="60">
        <v>8</v>
      </c>
      <c r="BH2" s="60">
        <v>8</v>
      </c>
      <c r="BI2" s="60">
        <v>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440</v>
      </c>
      <c r="AL3" s="60">
        <v>21</v>
      </c>
      <c r="AM3" s="60">
        <v>21</v>
      </c>
      <c r="AN3" s="60">
        <v>21</v>
      </c>
      <c r="AO3" s="60">
        <v>21</v>
      </c>
      <c r="AP3" s="60">
        <v>21</v>
      </c>
      <c r="AQ3" s="60">
        <v>21</v>
      </c>
      <c r="AR3" s="60">
        <v>21</v>
      </c>
      <c r="AS3" s="60">
        <v>21</v>
      </c>
      <c r="AT3" s="60">
        <v>21</v>
      </c>
      <c r="AU3" s="60">
        <v>21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21</v>
      </c>
      <c r="BG3" s="60">
        <v>21</v>
      </c>
      <c r="BH3" s="60">
        <v>21</v>
      </c>
      <c r="BI3" s="60">
        <v>21</v>
      </c>
    </row>
    <row r="4" spans="1:61" x14ac:dyDescent="0.25">
      <c r="A4" s="2" t="s">
        <v>328</v>
      </c>
      <c r="AC4" t="s">
        <v>182</v>
      </c>
      <c r="AF4" s="290">
        <f>+Troupeau!J17</f>
        <v>45</v>
      </c>
      <c r="AK4" s="50" t="s">
        <v>441</v>
      </c>
      <c r="AL4" s="60">
        <v>76</v>
      </c>
      <c r="AM4" s="60">
        <v>67</v>
      </c>
      <c r="AN4" s="60">
        <v>58</v>
      </c>
      <c r="AO4" s="60">
        <v>49</v>
      </c>
      <c r="AP4" s="60">
        <v>40</v>
      </c>
      <c r="AQ4" s="60">
        <v>31</v>
      </c>
      <c r="AR4" s="60">
        <v>22</v>
      </c>
      <c r="AS4" s="60">
        <v>13</v>
      </c>
      <c r="AT4" s="60">
        <v>4</v>
      </c>
      <c r="AU4" s="60">
        <v>0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76</v>
      </c>
      <c r="BI4" s="60">
        <v>76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442</v>
      </c>
      <c r="AL5" s="60">
        <v>102</v>
      </c>
      <c r="AM5" s="60">
        <v>102</v>
      </c>
      <c r="AN5" s="60">
        <v>102</v>
      </c>
      <c r="AO5" s="60">
        <v>102</v>
      </c>
      <c r="AP5" s="60">
        <v>102</v>
      </c>
      <c r="AQ5" s="60">
        <v>102</v>
      </c>
      <c r="AR5" s="60">
        <v>102</v>
      </c>
      <c r="AS5" s="60">
        <v>102</v>
      </c>
      <c r="AT5" s="60">
        <v>102</v>
      </c>
      <c r="AU5" s="60">
        <v>102</v>
      </c>
      <c r="AV5" s="60">
        <v>102</v>
      </c>
      <c r="AW5" s="60">
        <v>102</v>
      </c>
      <c r="AX5" s="60">
        <v>102</v>
      </c>
      <c r="AY5" s="60">
        <v>102</v>
      </c>
      <c r="AZ5" s="60">
        <v>102</v>
      </c>
      <c r="BA5" s="60">
        <v>102</v>
      </c>
      <c r="BB5" s="60">
        <v>102</v>
      </c>
      <c r="BC5" s="60">
        <v>102</v>
      </c>
      <c r="BD5" s="60">
        <v>102</v>
      </c>
      <c r="BE5" s="60">
        <v>102</v>
      </c>
      <c r="BF5" s="60">
        <v>0</v>
      </c>
      <c r="BG5" s="60">
        <v>0</v>
      </c>
      <c r="BH5" s="60">
        <v>102</v>
      </c>
      <c r="BI5" s="60">
        <v>102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438</v>
      </c>
      <c r="B15" s="60">
        <f>AL1*Troupeau!$B$17/420</f>
        <v>206.10476190476192</v>
      </c>
      <c r="C15" s="60">
        <f>AM1*Troupeau!$B$17/420</f>
        <v>209.93333333333334</v>
      </c>
      <c r="D15" s="60">
        <f>AN1*Troupeau!$B$17/420</f>
        <v>213.76190476190476</v>
      </c>
      <c r="E15" s="60">
        <f>AO1*Troupeau!$B$17/420</f>
        <v>200.36190476190475</v>
      </c>
      <c r="F15" s="60">
        <f>AP1*Troupeau!$B$17/420</f>
        <v>204.1904761904762</v>
      </c>
      <c r="G15" s="60">
        <f>AQ1*Troupeau!$B$17/420</f>
        <v>208.65714285714284</v>
      </c>
      <c r="H15" s="60">
        <f>AR1*Troupeau!$B$17/420</f>
        <v>213.12380952380951</v>
      </c>
      <c r="I15" s="60">
        <f>AS1*Troupeau!$B$17/420</f>
        <v>218.22857142857143</v>
      </c>
      <c r="J15" s="60">
        <f>AT1*Troupeau!$B$17/420</f>
        <v>222.05714285714285</v>
      </c>
      <c r="K15" s="60">
        <f>AU1*Troupeau!$B$17/420</f>
        <v>223.33333333333334</v>
      </c>
      <c r="L15" s="60">
        <f>AV1*Troupeau!$B$17/420</f>
        <v>224.60952380952381</v>
      </c>
      <c r="M15" s="60">
        <f>AW1*Troupeau!$B$17/420</f>
        <v>224.60952380952381</v>
      </c>
      <c r="N15" s="60">
        <f>AX1*Troupeau!$B$17/420</f>
        <v>224.60952380952381</v>
      </c>
      <c r="O15" s="60">
        <f>AY1*Troupeau!$B$17/420</f>
        <v>224.60952380952381</v>
      </c>
      <c r="P15" s="60">
        <f>AZ1*Troupeau!$B$17/420</f>
        <v>224.60952380952381</v>
      </c>
      <c r="Q15" s="60">
        <f>BA1*Troupeau!$B$17/420</f>
        <v>224.60952380952381</v>
      </c>
      <c r="R15" s="60">
        <f>BB1*Troupeau!$B$17/420</f>
        <v>224.60952380952381</v>
      </c>
      <c r="S15" s="60">
        <f>BC1*Troupeau!$B$17/420</f>
        <v>208.01904761904763</v>
      </c>
      <c r="T15" s="60">
        <f>BD1*Troupeau!$B$17/420</f>
        <v>208.01904761904763</v>
      </c>
      <c r="U15" s="60">
        <f>BE1*Troupeau!$B$17/420</f>
        <v>208.01904761904763</v>
      </c>
      <c r="V15" s="60">
        <f>BF1*Troupeau!$B$17/420</f>
        <v>254.6</v>
      </c>
      <c r="W15" s="60">
        <f>BG1*Troupeau!$B$17/420</f>
        <v>254.6</v>
      </c>
      <c r="X15" s="60">
        <f>BH1*Troupeau!$B$17/420</f>
        <v>206.10476190476192</v>
      </c>
      <c r="Y15" s="60">
        <f>BI1*Troupeau!$B$17/420</f>
        <v>206.10476190476192</v>
      </c>
      <c r="Z15" s="52"/>
    </row>
    <row r="16" spans="1:61" x14ac:dyDescent="0.25">
      <c r="A16" s="50" t="s">
        <v>439</v>
      </c>
      <c r="B16" s="60">
        <f>AL2*Troupeau!$B$17/420</f>
        <v>5.1047619047619044</v>
      </c>
      <c r="C16" s="60">
        <f>AM2*Troupeau!$B$17/420</f>
        <v>5.1047619047619044</v>
      </c>
      <c r="D16" s="60">
        <f>AN2*Troupeau!$B$17/420</f>
        <v>5.1047619047619044</v>
      </c>
      <c r="E16" s="60">
        <f>AO2*Troupeau!$B$17/420</f>
        <v>5.1047619047619044</v>
      </c>
      <c r="F16" s="60">
        <f>AP2*Troupeau!$B$17/420</f>
        <v>5.1047619047619044</v>
      </c>
      <c r="G16" s="60">
        <f>AQ2*Troupeau!$B$17/420</f>
        <v>5.1047619047619044</v>
      </c>
      <c r="H16" s="60">
        <f>AR2*Troupeau!$B$17/420</f>
        <v>5.1047619047619044</v>
      </c>
      <c r="I16" s="60">
        <f>AS2*Troupeau!$B$17/420</f>
        <v>5.1047619047619044</v>
      </c>
      <c r="J16" s="60">
        <f>AT2*Troupeau!$B$17/420</f>
        <v>5.1047619047619044</v>
      </c>
      <c r="K16" s="60">
        <f>AU2*Troupeau!$B$17/420</f>
        <v>5.1047619047619044</v>
      </c>
      <c r="L16" s="60">
        <f>AV2*Troupeau!$B$17/420</f>
        <v>0</v>
      </c>
      <c r="M16" s="60">
        <f>AW2*Troupeau!$B$17/420</f>
        <v>0</v>
      </c>
      <c r="N16" s="60">
        <f>AX2*Troupeau!$B$17/420</f>
        <v>0</v>
      </c>
      <c r="O16" s="60">
        <f>AY2*Troupeau!$B$17/420</f>
        <v>0</v>
      </c>
      <c r="P16" s="60">
        <f>AZ2*Troupeau!$B$17/420</f>
        <v>0</v>
      </c>
      <c r="Q16" s="60">
        <f>BA2*Troupeau!$B$17/420</f>
        <v>0</v>
      </c>
      <c r="R16" s="60">
        <f>BB2*Troupeau!$B$17/420</f>
        <v>0</v>
      </c>
      <c r="S16" s="60">
        <f>BC2*Troupeau!$B$17/420</f>
        <v>0</v>
      </c>
      <c r="T16" s="60">
        <f>BD2*Troupeau!$B$17/420</f>
        <v>0</v>
      </c>
      <c r="U16" s="60">
        <f>BE2*Troupeau!$B$17/420</f>
        <v>0</v>
      </c>
      <c r="V16" s="60">
        <f>BF2*Troupeau!$B$17/420</f>
        <v>5.1047619047619044</v>
      </c>
      <c r="W16" s="60">
        <f>BG2*Troupeau!$B$17/420</f>
        <v>5.1047619047619044</v>
      </c>
      <c r="X16" s="60">
        <f>BH2*Troupeau!$B$17/420</f>
        <v>5.1047619047619044</v>
      </c>
      <c r="Y16" s="60">
        <f>BI2*Troupeau!$B$17/420</f>
        <v>5.1047619047619044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AL3*Troupeau!$B$17/420</f>
        <v>13.4</v>
      </c>
      <c r="C17" s="60">
        <f>AM3*Troupeau!$B$17/420</f>
        <v>13.4</v>
      </c>
      <c r="D17" s="60">
        <f>AN3*Troupeau!$B$17/420</f>
        <v>13.4</v>
      </c>
      <c r="E17" s="60">
        <f>AO3*Troupeau!$B$17/420</f>
        <v>13.4</v>
      </c>
      <c r="F17" s="60">
        <f>AP3*Troupeau!$B$17/420</f>
        <v>13.4</v>
      </c>
      <c r="G17" s="60">
        <f>AQ3*Troupeau!$B$17/420</f>
        <v>13.4</v>
      </c>
      <c r="H17" s="60">
        <f>AR3*Troupeau!$B$17/420</f>
        <v>13.4</v>
      </c>
      <c r="I17" s="60">
        <f>AS3*Troupeau!$B$17/420</f>
        <v>13.4</v>
      </c>
      <c r="J17" s="60">
        <f>AT3*Troupeau!$B$17/420</f>
        <v>13.4</v>
      </c>
      <c r="K17" s="60">
        <f>AU3*Troupeau!$B$17/420</f>
        <v>13.4</v>
      </c>
      <c r="L17" s="60">
        <f>AV3*Troupeau!$B$17/420</f>
        <v>0</v>
      </c>
      <c r="M17" s="60">
        <f>AW3*Troupeau!$B$17/420</f>
        <v>0</v>
      </c>
      <c r="N17" s="60">
        <f>AX3*Troupeau!$B$17/420</f>
        <v>0</v>
      </c>
      <c r="O17" s="60">
        <f>AY3*Troupeau!$B$17/420</f>
        <v>0</v>
      </c>
      <c r="P17" s="60">
        <f>AZ3*Troupeau!$B$17/420</f>
        <v>0</v>
      </c>
      <c r="Q17" s="60">
        <f>BA3*Troupeau!$B$17/420</f>
        <v>0</v>
      </c>
      <c r="R17" s="60">
        <f>BB3*Troupeau!$B$17/420</f>
        <v>0</v>
      </c>
      <c r="S17" s="60">
        <f>BC3*Troupeau!$B$17/420</f>
        <v>0</v>
      </c>
      <c r="T17" s="60">
        <f>BD3*Troupeau!$B$17/420</f>
        <v>0</v>
      </c>
      <c r="U17" s="60">
        <f>BE3*Troupeau!$B$17/420</f>
        <v>0</v>
      </c>
      <c r="V17" s="60">
        <f>BF3*Troupeau!$B$17/420</f>
        <v>13.4</v>
      </c>
      <c r="W17" s="60">
        <f>BG3*Troupeau!$B$17/420</f>
        <v>13.4</v>
      </c>
      <c r="X17" s="60">
        <f>BH3*Troupeau!$B$17/420</f>
        <v>13.4</v>
      </c>
      <c r="Y17" s="60">
        <f>BI3*Troupeau!$B$17/420</f>
        <v>13.4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AL4*Troupeau!$B$17/420</f>
        <v>48.495238095238093</v>
      </c>
      <c r="C18" s="60">
        <f>AM4*Troupeau!$B$17/420</f>
        <v>42.752380952380953</v>
      </c>
      <c r="D18" s="60">
        <f>AN4*Troupeau!$B$17/420</f>
        <v>37.009523809523813</v>
      </c>
      <c r="E18" s="60">
        <f>AO4*Troupeau!$B$17/420</f>
        <v>31.266666666666666</v>
      </c>
      <c r="F18" s="60">
        <f>AP4*Troupeau!$B$17/420</f>
        <v>25.523809523809526</v>
      </c>
      <c r="G18" s="60">
        <f>AQ4*Troupeau!$B$17/420</f>
        <v>19.780952380952382</v>
      </c>
      <c r="H18" s="60">
        <f>AR4*Troupeau!$B$17/420</f>
        <v>14.038095238095238</v>
      </c>
      <c r="I18" s="60">
        <f>AS4*Troupeau!$B$17/420</f>
        <v>8.295238095238096</v>
      </c>
      <c r="J18" s="60">
        <f>AT4*Troupeau!$B$17/420</f>
        <v>2.5523809523809522</v>
      </c>
      <c r="K18" s="60">
        <f>AU4*Troupeau!$B$17/420</f>
        <v>0</v>
      </c>
      <c r="L18" s="60">
        <f>AV4*Troupeau!$B$17/420</f>
        <v>0</v>
      </c>
      <c r="M18" s="60">
        <f>AW4*Troupeau!$B$17/420</f>
        <v>0</v>
      </c>
      <c r="N18" s="60">
        <f>AX4*Troupeau!$B$17/420</f>
        <v>0</v>
      </c>
      <c r="O18" s="60">
        <f>AY4*Troupeau!$B$17/420</f>
        <v>0</v>
      </c>
      <c r="P18" s="60">
        <f>AZ4*Troupeau!$B$17/420</f>
        <v>0</v>
      </c>
      <c r="Q18" s="60">
        <f>BA4*Troupeau!$B$17/420</f>
        <v>0</v>
      </c>
      <c r="R18" s="60">
        <f>BB4*Troupeau!$B$17/420</f>
        <v>0</v>
      </c>
      <c r="S18" s="60">
        <f>BC4*Troupeau!$B$17/420</f>
        <v>0</v>
      </c>
      <c r="T18" s="60">
        <f>BD4*Troupeau!$B$17/420</f>
        <v>0</v>
      </c>
      <c r="U18" s="60">
        <f>BE4*Troupeau!$B$17/420</f>
        <v>0</v>
      </c>
      <c r="V18" s="60">
        <f>BF4*Troupeau!$B$17/420</f>
        <v>0</v>
      </c>
      <c r="W18" s="60">
        <f>BG4*Troupeau!$B$17/420</f>
        <v>0</v>
      </c>
      <c r="X18" s="60">
        <f>BH4*Troupeau!$B$17/420</f>
        <v>48.495238095238093</v>
      </c>
      <c r="Y18" s="60">
        <f>BI4*Troupeau!$B$17/420</f>
        <v>48.495238095238093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AL5*Troupeau!$B$17/420</f>
        <v>65.085714285714289</v>
      </c>
      <c r="C19" s="60">
        <f>AM5*Troupeau!$B$17/420</f>
        <v>65.085714285714289</v>
      </c>
      <c r="D19" s="60">
        <f>AN5*Troupeau!$B$17/420</f>
        <v>65.085714285714289</v>
      </c>
      <c r="E19" s="60">
        <f>AO5*Troupeau!$B$17/420</f>
        <v>65.085714285714289</v>
      </c>
      <c r="F19" s="60">
        <f>AP5*Troupeau!$B$17/420</f>
        <v>65.085714285714289</v>
      </c>
      <c r="G19" s="60">
        <f>AQ5*Troupeau!$B$17/420</f>
        <v>65.085714285714289</v>
      </c>
      <c r="H19" s="60">
        <f>AR5*Troupeau!$B$17/420</f>
        <v>65.085714285714289</v>
      </c>
      <c r="I19" s="60">
        <f>AS5*Troupeau!$B$17/420</f>
        <v>65.085714285714289</v>
      </c>
      <c r="J19" s="60">
        <f>AT5*Troupeau!$B$17/420</f>
        <v>65.085714285714289</v>
      </c>
      <c r="K19" s="60">
        <f>AU5*Troupeau!$B$17/420</f>
        <v>65.085714285714289</v>
      </c>
      <c r="L19" s="60">
        <f>AV5*Troupeau!$B$17/420</f>
        <v>65.085714285714289</v>
      </c>
      <c r="M19" s="60">
        <f>AW5*Troupeau!$B$17/420</f>
        <v>65.085714285714289</v>
      </c>
      <c r="N19" s="60">
        <f>AX5*Troupeau!$B$17/420</f>
        <v>65.085714285714289</v>
      </c>
      <c r="O19" s="60">
        <f>AY5*Troupeau!$B$17/420</f>
        <v>65.085714285714289</v>
      </c>
      <c r="P19" s="60">
        <f>AZ5*Troupeau!$B$17/420</f>
        <v>65.085714285714289</v>
      </c>
      <c r="Q19" s="60">
        <f>BA5*Troupeau!$B$17/420</f>
        <v>65.085714285714289</v>
      </c>
      <c r="R19" s="60">
        <f>BB5*Troupeau!$B$17/420</f>
        <v>65.085714285714289</v>
      </c>
      <c r="S19" s="60">
        <f>BC5*Troupeau!$B$17/420</f>
        <v>65.085714285714289</v>
      </c>
      <c r="T19" s="60">
        <f>BD5*Troupeau!$B$17/420</f>
        <v>65.085714285714289</v>
      </c>
      <c r="U19" s="60">
        <f>BE5*Troupeau!$B$17/420</f>
        <v>65.085714285714289</v>
      </c>
      <c r="V19" s="60">
        <f>BF5*Troupeau!$B$17/420</f>
        <v>0</v>
      </c>
      <c r="W19" s="60">
        <f>BG5*Troupeau!$B$17/420</f>
        <v>0</v>
      </c>
      <c r="X19" s="60">
        <f>BH5*Troupeau!$B$17/420</f>
        <v>65.085714285714289</v>
      </c>
      <c r="Y19" s="60">
        <f>BI5*Troupeau!$B$17/420</f>
        <v>65.085714285714289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28.85466666666667</v>
      </c>
      <c r="C39" s="61">
        <f t="shared" ref="C39:Y48" si="11">C15*C27</f>
        <v>29.390666666666672</v>
      </c>
      <c r="D39" s="61">
        <f t="shared" si="11"/>
        <v>29.926666666666669</v>
      </c>
      <c r="E39" s="61">
        <f t="shared" si="11"/>
        <v>28.050666666666668</v>
      </c>
      <c r="F39" s="61">
        <f t="shared" si="11"/>
        <v>28.58666666666667</v>
      </c>
      <c r="G39" s="61">
        <f t="shared" si="11"/>
        <v>29.212</v>
      </c>
      <c r="H39" s="61">
        <f t="shared" si="11"/>
        <v>29.837333333333333</v>
      </c>
      <c r="I39" s="61">
        <f t="shared" si="11"/>
        <v>30.552000000000003</v>
      </c>
      <c r="J39" s="61">
        <f t="shared" si="11"/>
        <v>31.088000000000001</v>
      </c>
      <c r="K39" s="61">
        <f t="shared" si="11"/>
        <v>31.266666666666669</v>
      </c>
      <c r="L39" s="61">
        <f t="shared" si="11"/>
        <v>31.445333333333338</v>
      </c>
      <c r="M39" s="61">
        <f t="shared" si="11"/>
        <v>31.445333333333338</v>
      </c>
      <c r="N39" s="61">
        <f t="shared" si="11"/>
        <v>31.445333333333338</v>
      </c>
      <c r="O39" s="61">
        <f t="shared" si="11"/>
        <v>31.445333333333338</v>
      </c>
      <c r="P39" s="61">
        <f t="shared" si="11"/>
        <v>31.445333333333338</v>
      </c>
      <c r="Q39" s="61">
        <f t="shared" si="11"/>
        <v>31.445333333333338</v>
      </c>
      <c r="R39" s="61">
        <f t="shared" si="11"/>
        <v>31.445333333333338</v>
      </c>
      <c r="S39" s="61">
        <f t="shared" si="11"/>
        <v>29.122666666666671</v>
      </c>
      <c r="T39" s="61">
        <f t="shared" si="11"/>
        <v>29.122666666666671</v>
      </c>
      <c r="U39" s="61">
        <f t="shared" si="11"/>
        <v>29.122666666666671</v>
      </c>
      <c r="V39" s="61">
        <f t="shared" si="11"/>
        <v>35.644000000000005</v>
      </c>
      <c r="W39" s="61">
        <f t="shared" si="11"/>
        <v>35.644000000000005</v>
      </c>
      <c r="X39" s="61">
        <f t="shared" si="11"/>
        <v>28.85466666666667</v>
      </c>
      <c r="Y39" s="61">
        <f t="shared" si="11"/>
        <v>28.85466666666667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0.71466666666666667</v>
      </c>
      <c r="C40" s="61">
        <f t="shared" si="12"/>
        <v>0.71466666666666667</v>
      </c>
      <c r="D40" s="61">
        <f t="shared" si="12"/>
        <v>0.71466666666666667</v>
      </c>
      <c r="E40" s="61">
        <f t="shared" si="12"/>
        <v>0.71466666666666667</v>
      </c>
      <c r="F40" s="61">
        <f t="shared" si="12"/>
        <v>0.71466666666666667</v>
      </c>
      <c r="G40" s="61">
        <f t="shared" si="12"/>
        <v>0.71466666666666667</v>
      </c>
      <c r="H40" s="61">
        <f t="shared" si="12"/>
        <v>0.71466666666666667</v>
      </c>
      <c r="I40" s="61">
        <f t="shared" si="12"/>
        <v>0.71466666666666667</v>
      </c>
      <c r="J40" s="61">
        <f t="shared" si="12"/>
        <v>0.71466666666666667</v>
      </c>
      <c r="K40" s="61">
        <f t="shared" si="12"/>
        <v>0.71466666666666667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0.71466666666666667</v>
      </c>
      <c r="W40" s="61">
        <f t="shared" si="11"/>
        <v>0.71466666666666667</v>
      </c>
      <c r="X40" s="61">
        <f t="shared" si="11"/>
        <v>0.71466666666666667</v>
      </c>
      <c r="Y40" s="61">
        <f t="shared" si="11"/>
        <v>0.71466666666666667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1.8760000000000003</v>
      </c>
      <c r="C41" s="61">
        <f t="shared" si="11"/>
        <v>1.8760000000000003</v>
      </c>
      <c r="D41" s="61">
        <f t="shared" si="11"/>
        <v>1.8760000000000003</v>
      </c>
      <c r="E41" s="61">
        <f t="shared" si="11"/>
        <v>1.8760000000000003</v>
      </c>
      <c r="F41" s="61">
        <f t="shared" si="11"/>
        <v>1.8760000000000003</v>
      </c>
      <c r="G41" s="61">
        <f t="shared" si="11"/>
        <v>1.8760000000000003</v>
      </c>
      <c r="H41" s="61">
        <f t="shared" si="11"/>
        <v>1.8760000000000003</v>
      </c>
      <c r="I41" s="61">
        <f t="shared" si="11"/>
        <v>1.8760000000000003</v>
      </c>
      <c r="J41" s="61">
        <f t="shared" si="11"/>
        <v>1.8760000000000003</v>
      </c>
      <c r="K41" s="61">
        <f t="shared" si="11"/>
        <v>1.8760000000000003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1.8760000000000003</v>
      </c>
      <c r="W41" s="61">
        <f t="shared" si="11"/>
        <v>1.8760000000000003</v>
      </c>
      <c r="X41" s="61">
        <f t="shared" si="11"/>
        <v>1.8760000000000003</v>
      </c>
      <c r="Y41" s="61">
        <f t="shared" si="11"/>
        <v>1.8760000000000003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6.7893333333333334</v>
      </c>
      <c r="C42" s="61">
        <f t="shared" si="11"/>
        <v>5.9853333333333341</v>
      </c>
      <c r="D42" s="61">
        <f t="shared" si="11"/>
        <v>5.1813333333333347</v>
      </c>
      <c r="E42" s="61">
        <f t="shared" si="11"/>
        <v>4.3773333333333335</v>
      </c>
      <c r="F42" s="61">
        <f t="shared" si="11"/>
        <v>3.5733333333333337</v>
      </c>
      <c r="G42" s="61">
        <f t="shared" si="11"/>
        <v>2.7693333333333339</v>
      </c>
      <c r="H42" s="61">
        <f t="shared" si="11"/>
        <v>1.9653333333333336</v>
      </c>
      <c r="I42" s="61">
        <f t="shared" si="11"/>
        <v>1.1613333333333336</v>
      </c>
      <c r="J42" s="61">
        <f t="shared" si="11"/>
        <v>0.35733333333333334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6.7893333333333334</v>
      </c>
      <c r="Y42" s="61">
        <f t="shared" si="11"/>
        <v>6.7893333333333334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1.8224</v>
      </c>
      <c r="C43" s="61">
        <f t="shared" si="11"/>
        <v>1.8224</v>
      </c>
      <c r="D43" s="61">
        <f t="shared" si="11"/>
        <v>4.5560000000000009</v>
      </c>
      <c r="E43" s="61">
        <f t="shared" si="11"/>
        <v>4.5560000000000009</v>
      </c>
      <c r="F43" s="61">
        <f t="shared" si="11"/>
        <v>4.5560000000000009</v>
      </c>
      <c r="G43" s="61">
        <f t="shared" si="11"/>
        <v>4.5560000000000009</v>
      </c>
      <c r="H43" s="61">
        <f t="shared" si="11"/>
        <v>4.5560000000000009</v>
      </c>
      <c r="I43" s="61">
        <f t="shared" si="11"/>
        <v>4.5560000000000009</v>
      </c>
      <c r="J43" s="61">
        <f t="shared" si="11"/>
        <v>4.5560000000000009</v>
      </c>
      <c r="K43" s="61">
        <f t="shared" si="11"/>
        <v>4.5560000000000009</v>
      </c>
      <c r="L43" s="61">
        <f t="shared" si="11"/>
        <v>4.5560000000000009</v>
      </c>
      <c r="M43" s="61">
        <f t="shared" si="11"/>
        <v>4.5560000000000009</v>
      </c>
      <c r="N43" s="61">
        <f t="shared" si="11"/>
        <v>4.5560000000000009</v>
      </c>
      <c r="O43" s="61">
        <f t="shared" si="11"/>
        <v>9.1120000000000019</v>
      </c>
      <c r="P43" s="61">
        <f t="shared" si="11"/>
        <v>9.1120000000000019</v>
      </c>
      <c r="Q43" s="61">
        <f t="shared" si="11"/>
        <v>9.1120000000000019</v>
      </c>
      <c r="R43" s="61">
        <f t="shared" si="11"/>
        <v>9.1120000000000019</v>
      </c>
      <c r="S43" s="61">
        <f t="shared" si="11"/>
        <v>9.1120000000000019</v>
      </c>
      <c r="T43" s="61">
        <f t="shared" si="11"/>
        <v>9.1120000000000019</v>
      </c>
      <c r="U43" s="61">
        <f t="shared" si="11"/>
        <v>9.1120000000000019</v>
      </c>
      <c r="V43" s="61">
        <f t="shared" si="11"/>
        <v>0</v>
      </c>
      <c r="W43" s="61">
        <f t="shared" si="11"/>
        <v>0</v>
      </c>
      <c r="X43" s="61">
        <f t="shared" si="11"/>
        <v>1.8224</v>
      </c>
      <c r="Y43" s="61">
        <f t="shared" si="11"/>
        <v>1.8224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40.057066666666671</v>
      </c>
      <c r="C49" s="62">
        <f t="shared" ref="C49:Y49" si="13">SUM(C39:C48)</f>
        <v>39.789066666666677</v>
      </c>
      <c r="D49" s="62">
        <f t="shared" si="13"/>
        <v>42.254666666666665</v>
      </c>
      <c r="E49" s="62">
        <f t="shared" si="13"/>
        <v>39.574666666666673</v>
      </c>
      <c r="F49" s="62">
        <f t="shared" si="13"/>
        <v>39.306666666666672</v>
      </c>
      <c r="G49" s="62">
        <f t="shared" si="13"/>
        <v>39.128</v>
      </c>
      <c r="H49" s="62">
        <f t="shared" si="13"/>
        <v>38.949333333333328</v>
      </c>
      <c r="I49" s="62">
        <f t="shared" si="13"/>
        <v>38.86</v>
      </c>
      <c r="J49" s="62">
        <f t="shared" si="13"/>
        <v>38.591999999999999</v>
      </c>
      <c r="K49" s="62">
        <f t="shared" si="13"/>
        <v>38.413333333333341</v>
      </c>
      <c r="L49" s="62">
        <f t="shared" si="13"/>
        <v>36.001333333333335</v>
      </c>
      <c r="M49" s="62">
        <f t="shared" si="13"/>
        <v>36.001333333333335</v>
      </c>
      <c r="N49" s="62">
        <f t="shared" si="13"/>
        <v>36.001333333333335</v>
      </c>
      <c r="O49" s="62">
        <f t="shared" si="13"/>
        <v>40.557333333333339</v>
      </c>
      <c r="P49" s="62">
        <f t="shared" si="13"/>
        <v>40.557333333333339</v>
      </c>
      <c r="Q49" s="62">
        <f t="shared" si="13"/>
        <v>40.557333333333339</v>
      </c>
      <c r="R49" s="62">
        <f t="shared" si="13"/>
        <v>40.557333333333339</v>
      </c>
      <c r="S49" s="62">
        <f t="shared" si="13"/>
        <v>38.234666666666669</v>
      </c>
      <c r="T49" s="62">
        <f t="shared" si="13"/>
        <v>38.234666666666669</v>
      </c>
      <c r="U49" s="62">
        <f t="shared" si="13"/>
        <v>38.234666666666669</v>
      </c>
      <c r="V49" s="62">
        <f t="shared" si="13"/>
        <v>38.234666666666669</v>
      </c>
      <c r="W49" s="62">
        <f t="shared" si="13"/>
        <v>38.234666666666669</v>
      </c>
      <c r="X49" s="62">
        <f t="shared" si="13"/>
        <v>40.057066666666671</v>
      </c>
      <c r="Y49" s="62">
        <f t="shared" si="13"/>
        <v>40.057066666666671</v>
      </c>
      <c r="Z49" s="23"/>
      <c r="AA49" s="46">
        <f>AVERAGE(B49:Y49)</f>
        <v>39.018566666666665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292">
        <v>0.5</v>
      </c>
      <c r="N52" s="292">
        <v>0.5</v>
      </c>
      <c r="O52" s="292">
        <v>0.5</v>
      </c>
      <c r="P52" s="292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Lot des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0.5</v>
      </c>
      <c r="Q56" s="60">
        <v>0.5</v>
      </c>
      <c r="R56" s="60">
        <v>0.5</v>
      </c>
      <c r="S56" s="60">
        <v>0.5</v>
      </c>
      <c r="T56" s="60">
        <v>0.5</v>
      </c>
      <c r="U56" s="60">
        <v>0.5</v>
      </c>
      <c r="V56" s="60">
        <v>0.5</v>
      </c>
      <c r="W56" s="60">
        <v>0.5</v>
      </c>
      <c r="X56" s="60">
        <v>0.5</v>
      </c>
      <c r="Y56" s="60">
        <v>0.5</v>
      </c>
      <c r="Z56" s="52"/>
      <c r="AB56" t="s">
        <v>184</v>
      </c>
      <c r="AC56" t="s">
        <v>185</v>
      </c>
      <c r="AD56" s="64">
        <f>AA73*AF5/1000</f>
        <v>34.173000000000002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223.62366666666671</v>
      </c>
      <c r="C63" s="61">
        <f t="shared" si="17"/>
        <v>227.7776666666667</v>
      </c>
      <c r="D63" s="61">
        <f t="shared" si="17"/>
        <v>209.48666666666668</v>
      </c>
      <c r="E63" s="61">
        <f t="shared" si="17"/>
        <v>196.35466666666667</v>
      </c>
      <c r="F63" s="61">
        <f t="shared" si="17"/>
        <v>221.54666666666668</v>
      </c>
      <c r="G63" s="61">
        <f t="shared" si="17"/>
        <v>226.393</v>
      </c>
      <c r="H63" s="61">
        <f t="shared" si="17"/>
        <v>223.78</v>
      </c>
      <c r="I63" s="61">
        <f t="shared" si="17"/>
        <v>229.14000000000001</v>
      </c>
      <c r="J63" s="61">
        <f t="shared" si="17"/>
        <v>240.93200000000002</v>
      </c>
      <c r="K63" s="61">
        <f t="shared" si="17"/>
        <v>242.31666666666669</v>
      </c>
      <c r="L63" s="61">
        <f t="shared" si="17"/>
        <v>235.84000000000003</v>
      </c>
      <c r="M63" s="61">
        <f t="shared" si="17"/>
        <v>235.84000000000003</v>
      </c>
      <c r="N63" s="61">
        <f t="shared" si="17"/>
        <v>243.70133333333337</v>
      </c>
      <c r="O63" s="61">
        <f t="shared" si="17"/>
        <v>243.70133333333337</v>
      </c>
      <c r="P63" s="61">
        <f t="shared" si="17"/>
        <v>243.70133333333337</v>
      </c>
      <c r="Q63" s="61">
        <f t="shared" si="17"/>
        <v>243.70133333333337</v>
      </c>
      <c r="R63" s="61">
        <f t="shared" si="17"/>
        <v>235.84000000000003</v>
      </c>
      <c r="S63" s="61">
        <f t="shared" si="17"/>
        <v>218.42000000000004</v>
      </c>
      <c r="T63" s="61">
        <f t="shared" si="17"/>
        <v>225.70066666666671</v>
      </c>
      <c r="U63" s="61">
        <f t="shared" si="17"/>
        <v>225.70066666666671</v>
      </c>
      <c r="V63" s="61">
        <f t="shared" si="17"/>
        <v>267.33000000000004</v>
      </c>
      <c r="W63" s="61">
        <f t="shared" si="17"/>
        <v>267.33000000000004</v>
      </c>
      <c r="X63" s="61">
        <f t="shared" si="17"/>
        <v>223.62366666666671</v>
      </c>
      <c r="Y63" s="61">
        <f t="shared" si="17"/>
        <v>223.62366666666671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5.5386666666666668</v>
      </c>
      <c r="C64" s="61">
        <f t="shared" si="18"/>
        <v>5.5386666666666668</v>
      </c>
      <c r="D64" s="61">
        <f t="shared" si="18"/>
        <v>5.0026666666666664</v>
      </c>
      <c r="E64" s="61">
        <f t="shared" si="18"/>
        <v>5.0026666666666664</v>
      </c>
      <c r="F64" s="61">
        <f t="shared" si="18"/>
        <v>5.5386666666666668</v>
      </c>
      <c r="G64" s="61">
        <f t="shared" si="18"/>
        <v>5.5386666666666668</v>
      </c>
      <c r="H64" s="61">
        <f t="shared" si="18"/>
        <v>5.36</v>
      </c>
      <c r="I64" s="61">
        <f t="shared" si="18"/>
        <v>5.36</v>
      </c>
      <c r="J64" s="61">
        <f t="shared" si="18"/>
        <v>5.5386666666666668</v>
      </c>
      <c r="K64" s="61">
        <f t="shared" si="18"/>
        <v>5.5386666666666668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5.36</v>
      </c>
      <c r="W64" s="61">
        <f t="shared" si="18"/>
        <v>5.36</v>
      </c>
      <c r="X64" s="61">
        <f t="shared" si="18"/>
        <v>5.5386666666666668</v>
      </c>
      <c r="Y64" s="61">
        <f t="shared" si="18"/>
        <v>5.5386666666666668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14.539000000000003</v>
      </c>
      <c r="C65" s="61">
        <f t="shared" si="19"/>
        <v>14.539000000000003</v>
      </c>
      <c r="D65" s="61">
        <f t="shared" si="19"/>
        <v>13.132000000000001</v>
      </c>
      <c r="E65" s="61">
        <f t="shared" si="19"/>
        <v>13.132000000000001</v>
      </c>
      <c r="F65" s="61">
        <f t="shared" si="19"/>
        <v>14.539000000000003</v>
      </c>
      <c r="G65" s="61">
        <f t="shared" si="19"/>
        <v>14.539000000000003</v>
      </c>
      <c r="H65" s="61">
        <f t="shared" si="19"/>
        <v>14.070000000000002</v>
      </c>
      <c r="I65" s="61">
        <f t="shared" si="19"/>
        <v>14.070000000000002</v>
      </c>
      <c r="J65" s="61">
        <f t="shared" si="19"/>
        <v>14.539000000000003</v>
      </c>
      <c r="K65" s="61">
        <f t="shared" si="19"/>
        <v>14.539000000000003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14.070000000000002</v>
      </c>
      <c r="W65" s="61">
        <f t="shared" si="19"/>
        <v>14.070000000000002</v>
      </c>
      <c r="X65" s="61">
        <f t="shared" si="19"/>
        <v>14.539000000000003</v>
      </c>
      <c r="Y65" s="61">
        <f t="shared" si="19"/>
        <v>14.539000000000003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52.617333333333335</v>
      </c>
      <c r="C66" s="61">
        <f t="shared" si="20"/>
        <v>46.38633333333334</v>
      </c>
      <c r="D66" s="61">
        <f t="shared" si="20"/>
        <v>36.269333333333343</v>
      </c>
      <c r="E66" s="61">
        <f t="shared" si="20"/>
        <v>30.641333333333336</v>
      </c>
      <c r="F66" s="61">
        <f t="shared" si="20"/>
        <v>27.693333333333335</v>
      </c>
      <c r="G66" s="61">
        <f t="shared" si="20"/>
        <v>21.462333333333337</v>
      </c>
      <c r="H66" s="61">
        <f t="shared" si="20"/>
        <v>14.740000000000002</v>
      </c>
      <c r="I66" s="61">
        <f t="shared" si="20"/>
        <v>8.7100000000000009</v>
      </c>
      <c r="J66" s="61">
        <f t="shared" si="20"/>
        <v>2.7693333333333334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52.617333333333335</v>
      </c>
      <c r="Y66" s="61">
        <f t="shared" si="20"/>
        <v>52.617333333333335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28.247199999999999</v>
      </c>
      <c r="C67" s="61">
        <f t="shared" si="21"/>
        <v>28.247199999999999</v>
      </c>
      <c r="D67" s="61">
        <f t="shared" si="21"/>
        <v>63.784000000000013</v>
      </c>
      <c r="E67" s="61">
        <f t="shared" si="21"/>
        <v>63.784000000000013</v>
      </c>
      <c r="F67" s="61">
        <f t="shared" si="21"/>
        <v>70.618000000000009</v>
      </c>
      <c r="G67" s="61">
        <f t="shared" si="21"/>
        <v>70.618000000000009</v>
      </c>
      <c r="H67" s="61">
        <f t="shared" si="21"/>
        <v>68.340000000000018</v>
      </c>
      <c r="I67" s="61">
        <f t="shared" si="21"/>
        <v>68.340000000000018</v>
      </c>
      <c r="J67" s="61">
        <f t="shared" si="21"/>
        <v>70.618000000000009</v>
      </c>
      <c r="K67" s="61">
        <f t="shared" si="21"/>
        <v>70.618000000000009</v>
      </c>
      <c r="L67" s="61">
        <f t="shared" si="21"/>
        <v>68.340000000000018</v>
      </c>
      <c r="M67" s="61">
        <f t="shared" si="21"/>
        <v>68.340000000000018</v>
      </c>
      <c r="N67" s="61">
        <f t="shared" si="21"/>
        <v>70.618000000000009</v>
      </c>
      <c r="O67" s="61">
        <f t="shared" si="21"/>
        <v>141.23600000000002</v>
      </c>
      <c r="P67" s="61">
        <f t="shared" si="21"/>
        <v>70.618000000000009</v>
      </c>
      <c r="Q67" s="61">
        <f t="shared" si="21"/>
        <v>70.618000000000009</v>
      </c>
      <c r="R67" s="61">
        <f t="shared" si="21"/>
        <v>68.340000000000018</v>
      </c>
      <c r="S67" s="61">
        <f t="shared" si="21"/>
        <v>68.340000000000018</v>
      </c>
      <c r="T67" s="61">
        <f t="shared" si="21"/>
        <v>70.618000000000009</v>
      </c>
      <c r="U67" s="61">
        <f t="shared" si="21"/>
        <v>70.618000000000009</v>
      </c>
      <c r="V67" s="61">
        <f t="shared" si="21"/>
        <v>0</v>
      </c>
      <c r="W67" s="61">
        <f t="shared" si="21"/>
        <v>0</v>
      </c>
      <c r="X67" s="61">
        <f t="shared" si="21"/>
        <v>14.1236</v>
      </c>
      <c r="Y67" s="61">
        <f t="shared" si="21"/>
        <v>14.1236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325</v>
      </c>
      <c r="C73" s="64">
        <f t="shared" ref="C73:Y73" si="27">ROUND(SUM(C63:C72),0)</f>
        <v>322</v>
      </c>
      <c r="D73" s="64">
        <f t="shared" si="27"/>
        <v>328</v>
      </c>
      <c r="E73" s="64">
        <f t="shared" si="27"/>
        <v>309</v>
      </c>
      <c r="F73" s="64">
        <f t="shared" si="27"/>
        <v>340</v>
      </c>
      <c r="G73" s="64">
        <f t="shared" si="27"/>
        <v>339</v>
      </c>
      <c r="H73" s="64">
        <f t="shared" si="27"/>
        <v>326</v>
      </c>
      <c r="I73" s="64">
        <f t="shared" si="27"/>
        <v>326</v>
      </c>
      <c r="J73" s="64">
        <f t="shared" si="27"/>
        <v>334</v>
      </c>
      <c r="K73" s="64">
        <f t="shared" si="27"/>
        <v>333</v>
      </c>
      <c r="L73" s="64">
        <f t="shared" si="27"/>
        <v>304</v>
      </c>
      <c r="M73" s="64">
        <f t="shared" si="27"/>
        <v>304</v>
      </c>
      <c r="N73" s="64">
        <f t="shared" si="27"/>
        <v>314</v>
      </c>
      <c r="O73" s="64">
        <f t="shared" si="27"/>
        <v>385</v>
      </c>
      <c r="P73" s="64">
        <f t="shared" si="27"/>
        <v>314</v>
      </c>
      <c r="Q73" s="64">
        <f t="shared" si="27"/>
        <v>314</v>
      </c>
      <c r="R73" s="64">
        <f t="shared" si="27"/>
        <v>304</v>
      </c>
      <c r="S73" s="64">
        <f t="shared" si="27"/>
        <v>287</v>
      </c>
      <c r="T73" s="64">
        <f t="shared" si="27"/>
        <v>296</v>
      </c>
      <c r="U73" s="64">
        <f t="shared" si="27"/>
        <v>296</v>
      </c>
      <c r="V73" s="64">
        <f t="shared" si="27"/>
        <v>287</v>
      </c>
      <c r="W73" s="64">
        <f t="shared" si="27"/>
        <v>287</v>
      </c>
      <c r="X73" s="64">
        <f t="shared" si="27"/>
        <v>310</v>
      </c>
      <c r="Y73" s="64">
        <f t="shared" si="27"/>
        <v>310</v>
      </c>
      <c r="Z73" s="52"/>
      <c r="AA73" s="56">
        <f>ROUND(SUM(B73:Y73),0)</f>
        <v>7594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274">
        <v>1</v>
      </c>
      <c r="C78" s="274">
        <v>1</v>
      </c>
      <c r="D78" s="274">
        <v>1</v>
      </c>
      <c r="E78" s="274">
        <v>1</v>
      </c>
      <c r="F78" s="274">
        <v>1</v>
      </c>
      <c r="G78" s="274">
        <v>1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1</v>
      </c>
      <c r="Y79" s="60">
        <v>1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4">
        <v>1</v>
      </c>
      <c r="T80" s="274">
        <v>1</v>
      </c>
      <c r="U80" s="274">
        <v>1</v>
      </c>
      <c r="V80" s="274">
        <v>1</v>
      </c>
      <c r="W80" s="274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6">
        <v>5</v>
      </c>
      <c r="C90" s="156">
        <v>5</v>
      </c>
      <c r="D90" s="156">
        <v>5</v>
      </c>
      <c r="E90" s="156">
        <v>5</v>
      </c>
      <c r="F90" s="156">
        <v>5</v>
      </c>
      <c r="G90" s="156">
        <v>5</v>
      </c>
      <c r="H90" s="156">
        <v>5</v>
      </c>
      <c r="I90" s="156">
        <v>5</v>
      </c>
      <c r="J90" s="156">
        <v>5</v>
      </c>
      <c r="K90" s="156">
        <v>5</v>
      </c>
      <c r="L90" s="156">
        <v>5</v>
      </c>
      <c r="M90" s="156">
        <v>5</v>
      </c>
      <c r="N90" s="156">
        <v>5</v>
      </c>
      <c r="O90" s="156">
        <v>5</v>
      </c>
      <c r="P90" s="156">
        <v>5</v>
      </c>
      <c r="Q90" s="156">
        <v>5</v>
      </c>
      <c r="R90" s="156">
        <v>5</v>
      </c>
      <c r="S90" s="156">
        <v>5</v>
      </c>
      <c r="T90" s="156">
        <v>5</v>
      </c>
      <c r="U90" s="156">
        <v>5</v>
      </c>
      <c r="V90" s="156">
        <v>5</v>
      </c>
      <c r="W90" s="156">
        <v>5</v>
      </c>
      <c r="X90" s="156">
        <v>5</v>
      </c>
      <c r="Y90" s="156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7.2409343266666681</v>
      </c>
      <c r="C110" s="61">
        <f t="shared" si="38"/>
        <v>7.3754408466666685</v>
      </c>
      <c r="D110" s="61">
        <f t="shared" si="38"/>
        <v>6.7831782666666678</v>
      </c>
      <c r="E110" s="61">
        <f t="shared" si="38"/>
        <v>6.3579641066666674</v>
      </c>
      <c r="F110" s="61">
        <f t="shared" si="38"/>
        <v>7.1736810666666679</v>
      </c>
      <c r="G110" s="61">
        <f t="shared" si="38"/>
        <v>7.3306053400000009</v>
      </c>
      <c r="H110" s="61">
        <f t="shared" si="38"/>
        <v>7.245996400000001</v>
      </c>
      <c r="I110" s="61">
        <f t="shared" si="38"/>
        <v>7.4195532000000011</v>
      </c>
      <c r="J110" s="61">
        <f t="shared" si="38"/>
        <v>7.8013781600000014</v>
      </c>
      <c r="K110" s="61">
        <f t="shared" si="38"/>
        <v>7.8462136666666682</v>
      </c>
      <c r="L110" s="61">
        <f t="shared" si="38"/>
        <v>4.749817600000001</v>
      </c>
      <c r="M110" s="61">
        <f t="shared" si="38"/>
        <v>4.749817600000001</v>
      </c>
      <c r="N110" s="61">
        <f t="shared" si="38"/>
        <v>4.9081448533333338</v>
      </c>
      <c r="O110" s="61">
        <f t="shared" si="38"/>
        <v>4.9081448533333338</v>
      </c>
      <c r="P110" s="61">
        <f t="shared" si="38"/>
        <v>4.9081448533333338</v>
      </c>
      <c r="Q110" s="61">
        <f t="shared" si="38"/>
        <v>4.9081448533333338</v>
      </c>
      <c r="R110" s="61">
        <f t="shared" si="38"/>
        <v>4.749817600000001</v>
      </c>
      <c r="S110" s="61">
        <f t="shared" si="38"/>
        <v>4.398978800000001</v>
      </c>
      <c r="T110" s="61">
        <f t="shared" si="38"/>
        <v>4.5456114266666674</v>
      </c>
      <c r="U110" s="61">
        <f t="shared" si="38"/>
        <v>3.5705845466666672</v>
      </c>
      <c r="V110" s="61">
        <f t="shared" si="38"/>
        <v>7.6456380000000017</v>
      </c>
      <c r="W110" s="61">
        <f t="shared" si="38"/>
        <v>7.6456380000000017</v>
      </c>
      <c r="X110" s="61">
        <f t="shared" si="38"/>
        <v>7.2409343266666681</v>
      </c>
      <c r="Y110" s="61">
        <f t="shared" si="38"/>
        <v>7.2409343266666681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0.14400533333333335</v>
      </c>
      <c r="C111" s="61">
        <f t="shared" si="39"/>
        <v>0.14400533333333335</v>
      </c>
      <c r="D111" s="61">
        <f t="shared" si="39"/>
        <v>0.13006933333333334</v>
      </c>
      <c r="E111" s="61">
        <f t="shared" si="39"/>
        <v>0.13006933333333334</v>
      </c>
      <c r="F111" s="61">
        <f t="shared" si="39"/>
        <v>0.14400533333333335</v>
      </c>
      <c r="G111" s="61">
        <f t="shared" si="39"/>
        <v>0.14400533333333335</v>
      </c>
      <c r="H111" s="61">
        <f t="shared" si="39"/>
        <v>0.13936000000000001</v>
      </c>
      <c r="I111" s="61">
        <f t="shared" si="39"/>
        <v>0.13936000000000001</v>
      </c>
      <c r="J111" s="61">
        <f t="shared" si="39"/>
        <v>0.14400533333333335</v>
      </c>
      <c r="K111" s="61">
        <f t="shared" si="39"/>
        <v>0.14400533333333335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0.13936000000000001</v>
      </c>
      <c r="W111" s="61">
        <f t="shared" si="39"/>
        <v>0.13936000000000001</v>
      </c>
      <c r="X111" s="61">
        <f t="shared" si="39"/>
        <v>0.14400533333333335</v>
      </c>
      <c r="Y111" s="61">
        <f t="shared" si="39"/>
        <v>0.14400533333333335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0.37801400000000007</v>
      </c>
      <c r="C112" s="61">
        <f t="shared" si="40"/>
        <v>0.37801400000000007</v>
      </c>
      <c r="D112" s="61">
        <f t="shared" si="40"/>
        <v>0.34143200000000001</v>
      </c>
      <c r="E112" s="61">
        <f t="shared" si="40"/>
        <v>0.34143200000000001</v>
      </c>
      <c r="F112" s="61">
        <f t="shared" si="40"/>
        <v>0.37801400000000007</v>
      </c>
      <c r="G112" s="61">
        <f t="shared" si="40"/>
        <v>0.37801400000000007</v>
      </c>
      <c r="H112" s="61">
        <f t="shared" si="40"/>
        <v>0.36582000000000003</v>
      </c>
      <c r="I112" s="61">
        <f t="shared" si="40"/>
        <v>0.36582000000000003</v>
      </c>
      <c r="J112" s="61">
        <f t="shared" si="40"/>
        <v>0.37801400000000007</v>
      </c>
      <c r="K112" s="61">
        <f t="shared" si="40"/>
        <v>0.37801400000000007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0.36582000000000003</v>
      </c>
      <c r="W112" s="61">
        <f t="shared" si="40"/>
        <v>0.36582000000000003</v>
      </c>
      <c r="X112" s="61">
        <f t="shared" si="40"/>
        <v>0.37801400000000007</v>
      </c>
      <c r="Y112" s="61">
        <f t="shared" si="40"/>
        <v>0.37801400000000007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1.3680506666666667</v>
      </c>
      <c r="C113" s="61">
        <f t="shared" si="41"/>
        <v>1.2060446666666669</v>
      </c>
      <c r="D113" s="61">
        <f t="shared" si="41"/>
        <v>0.94300266666666688</v>
      </c>
      <c r="E113" s="61">
        <f t="shared" si="41"/>
        <v>0.79667466666666675</v>
      </c>
      <c r="F113" s="61">
        <f t="shared" si="41"/>
        <v>0.7200266666666667</v>
      </c>
      <c r="G113" s="61">
        <f t="shared" si="41"/>
        <v>0.55802066666666683</v>
      </c>
      <c r="H113" s="61">
        <f t="shared" si="41"/>
        <v>0.38324000000000008</v>
      </c>
      <c r="I113" s="61">
        <f t="shared" si="41"/>
        <v>0.22646000000000005</v>
      </c>
      <c r="J113" s="61">
        <f t="shared" si="41"/>
        <v>7.2002666666666673E-2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1.3680506666666667</v>
      </c>
      <c r="Y113" s="61">
        <f t="shared" si="41"/>
        <v>1.3680506666666667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0.36721359999999997</v>
      </c>
      <c r="C114" s="61">
        <f t="shared" si="42"/>
        <v>0.36721359999999997</v>
      </c>
      <c r="D114" s="61">
        <f t="shared" si="42"/>
        <v>0.82919200000000015</v>
      </c>
      <c r="E114" s="61">
        <f t="shared" si="42"/>
        <v>0.82919200000000015</v>
      </c>
      <c r="F114" s="61">
        <f t="shared" si="42"/>
        <v>0.91803400000000013</v>
      </c>
      <c r="G114" s="61">
        <f t="shared" si="42"/>
        <v>0.91803400000000013</v>
      </c>
      <c r="H114" s="61">
        <f t="shared" si="42"/>
        <v>0.88842000000000021</v>
      </c>
      <c r="I114" s="61">
        <f t="shared" si="42"/>
        <v>0.88842000000000021</v>
      </c>
      <c r="J114" s="61">
        <f t="shared" si="42"/>
        <v>0.91803400000000013</v>
      </c>
      <c r="K114" s="61">
        <f t="shared" si="42"/>
        <v>0.91803400000000013</v>
      </c>
      <c r="L114" s="61">
        <f t="shared" si="42"/>
        <v>0.88842000000000021</v>
      </c>
      <c r="M114" s="61">
        <f t="shared" si="42"/>
        <v>0.88842000000000021</v>
      </c>
      <c r="N114" s="61">
        <f t="shared" si="42"/>
        <v>0.91803400000000013</v>
      </c>
      <c r="O114" s="61">
        <f t="shared" si="42"/>
        <v>1.8360680000000003</v>
      </c>
      <c r="P114" s="61">
        <f t="shared" si="42"/>
        <v>1.8360680000000003</v>
      </c>
      <c r="Q114" s="61">
        <f t="shared" si="42"/>
        <v>1.8360680000000003</v>
      </c>
      <c r="R114" s="61">
        <f t="shared" si="42"/>
        <v>1.7768400000000004</v>
      </c>
      <c r="S114" s="61">
        <f t="shared" si="42"/>
        <v>1.7768400000000004</v>
      </c>
      <c r="T114" s="61">
        <f t="shared" si="42"/>
        <v>1.8360680000000003</v>
      </c>
      <c r="U114" s="61">
        <f t="shared" si="42"/>
        <v>1.8360680000000003</v>
      </c>
      <c r="V114" s="61">
        <f t="shared" si="42"/>
        <v>0</v>
      </c>
      <c r="W114" s="61">
        <f t="shared" si="42"/>
        <v>0</v>
      </c>
      <c r="X114" s="61">
        <f t="shared" si="42"/>
        <v>0.36721359999999997</v>
      </c>
      <c r="Y114" s="61">
        <f t="shared" si="42"/>
        <v>0.36721359999999997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9.4707184466666678</v>
      </c>
      <c r="D120" s="61">
        <f t="shared" si="48"/>
        <v>9.0268742666666686</v>
      </c>
      <c r="E120" s="61">
        <f t="shared" si="48"/>
        <v>8.4553321066666687</v>
      </c>
      <c r="F120" s="61">
        <f t="shared" si="48"/>
        <v>9.3337610666666695</v>
      </c>
      <c r="G120" s="61">
        <f t="shared" si="48"/>
        <v>9.3286793400000025</v>
      </c>
      <c r="H120" s="61">
        <f t="shared" si="48"/>
        <v>9.022836400000001</v>
      </c>
      <c r="I120" s="61">
        <f t="shared" si="48"/>
        <v>9.0396132000000016</v>
      </c>
      <c r="J120" s="61">
        <f t="shared" si="48"/>
        <v>9.3134341600000017</v>
      </c>
      <c r="K120" s="61">
        <f t="shared" si="48"/>
        <v>9.2862670000000023</v>
      </c>
      <c r="L120" s="61">
        <f t="shared" si="48"/>
        <v>5.638237600000001</v>
      </c>
      <c r="M120" s="61">
        <f t="shared" si="48"/>
        <v>5.638237600000001</v>
      </c>
      <c r="N120" s="61">
        <f t="shared" si="48"/>
        <v>5.8261788533333343</v>
      </c>
      <c r="O120" s="61">
        <f t="shared" si="48"/>
        <v>6.7442128533333339</v>
      </c>
      <c r="P120" s="61">
        <f t="shared" si="48"/>
        <v>6.7442128533333339</v>
      </c>
      <c r="Q120" s="61">
        <f t="shared" si="48"/>
        <v>6.7442128533333339</v>
      </c>
      <c r="R120" s="61">
        <f t="shared" si="48"/>
        <v>6.5266576000000018</v>
      </c>
      <c r="S120" s="61">
        <f t="shared" si="48"/>
        <v>6.1758188000000018</v>
      </c>
      <c r="T120" s="61">
        <f t="shared" si="48"/>
        <v>6.3816794266666674</v>
      </c>
      <c r="U120" s="61">
        <f t="shared" si="48"/>
        <v>5.4066525466666677</v>
      </c>
      <c r="V120" s="61">
        <f t="shared" si="48"/>
        <v>8.150818000000001</v>
      </c>
      <c r="W120" s="61">
        <f t="shared" si="48"/>
        <v>8.150818000000001</v>
      </c>
      <c r="X120" s="61">
        <f t="shared" si="48"/>
        <v>9.4982179266666673</v>
      </c>
      <c r="Y120" s="61">
        <f t="shared" si="48"/>
        <v>9.4982179266666673</v>
      </c>
      <c r="AA120" s="57">
        <f>SUM(B120:Y120)</f>
        <v>188.90168882666666</v>
      </c>
      <c r="AB120" t="s">
        <v>38</v>
      </c>
      <c r="AC120" t="s">
        <v>207</v>
      </c>
    </row>
    <row r="121" spans="1:29" x14ac:dyDescent="0.25">
      <c r="AA121">
        <f>AA49*4.75</f>
        <v>185.33819166666666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274">
        <v>0.2</v>
      </c>
      <c r="C123" s="274">
        <v>0.2</v>
      </c>
      <c r="D123" s="274">
        <v>0.3</v>
      </c>
      <c r="E123" s="274">
        <v>0.3</v>
      </c>
      <c r="F123" s="274">
        <v>0.3</v>
      </c>
      <c r="G123" s="274">
        <v>0.3</v>
      </c>
      <c r="H123" s="60">
        <v>0.6</v>
      </c>
      <c r="I123" s="60">
        <v>0.6</v>
      </c>
      <c r="J123" s="60">
        <v>0.8</v>
      </c>
      <c r="K123" s="60">
        <v>0.8</v>
      </c>
      <c r="L123" s="60">
        <v>0.6</v>
      </c>
      <c r="M123" s="278">
        <v>1</v>
      </c>
      <c r="N123" s="278">
        <v>1</v>
      </c>
      <c r="O123" s="278">
        <v>1</v>
      </c>
      <c r="P123" s="278">
        <v>1</v>
      </c>
      <c r="Q123" s="274">
        <v>0.7</v>
      </c>
      <c r="R123" s="274">
        <v>0.8</v>
      </c>
      <c r="S123" s="274">
        <v>0.8</v>
      </c>
      <c r="T123" s="274">
        <v>0.8</v>
      </c>
      <c r="U123" s="60">
        <v>0.25</v>
      </c>
      <c r="V123" s="60">
        <v>0.25</v>
      </c>
      <c r="W123" s="60">
        <v>0.25</v>
      </c>
      <c r="X123" s="274">
        <v>0.2</v>
      </c>
      <c r="Y123" s="274">
        <v>0.2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0.5</v>
      </c>
      <c r="W125" s="60">
        <v>0.5</v>
      </c>
      <c r="X125" s="60">
        <v>0.5</v>
      </c>
      <c r="Y125" s="60">
        <v>0.5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>
        <v>0.2</v>
      </c>
      <c r="Y126" s="60">
        <v>0.2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4">
        <v>0.25</v>
      </c>
      <c r="W127" s="274">
        <v>0.25</v>
      </c>
      <c r="X127" s="274">
        <v>0.1</v>
      </c>
      <c r="Y127" s="274">
        <v>0.1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5.7927474613333345</v>
      </c>
      <c r="C136" s="61">
        <f t="shared" ref="C136:Y136" si="49">C110*(1-C123)</f>
        <v>5.900352677333335</v>
      </c>
      <c r="D136" s="61">
        <f t="shared" si="49"/>
        <v>4.7482247866666674</v>
      </c>
      <c r="E136" s="61">
        <f t="shared" si="49"/>
        <v>4.4505748746666667</v>
      </c>
      <c r="F136" s="61">
        <f t="shared" si="49"/>
        <v>5.0215767466666676</v>
      </c>
      <c r="G136" s="61">
        <f t="shared" si="49"/>
        <v>5.1314237380000005</v>
      </c>
      <c r="H136" s="61">
        <f t="shared" si="49"/>
        <v>2.8983985600000004</v>
      </c>
      <c r="I136" s="61">
        <f t="shared" si="49"/>
        <v>2.9678212800000008</v>
      </c>
      <c r="J136" s="61">
        <f t="shared" si="49"/>
        <v>1.560275632</v>
      </c>
      <c r="K136" s="61">
        <f t="shared" si="49"/>
        <v>1.5692427333333332</v>
      </c>
      <c r="L136" s="61">
        <f t="shared" si="49"/>
        <v>1.8999270400000006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1.4724434560000004</v>
      </c>
      <c r="R136" s="61">
        <f t="shared" si="49"/>
        <v>0.94996351999999995</v>
      </c>
      <c r="S136" s="61">
        <f t="shared" si="49"/>
        <v>0.87979576000000004</v>
      </c>
      <c r="T136" s="61">
        <f t="shared" si="49"/>
        <v>0.90912228533333328</v>
      </c>
      <c r="U136" s="61">
        <f t="shared" si="49"/>
        <v>2.6779384100000003</v>
      </c>
      <c r="V136" s="61">
        <f t="shared" si="49"/>
        <v>5.7342285000000013</v>
      </c>
      <c r="W136" s="61">
        <f t="shared" si="49"/>
        <v>5.7342285000000013</v>
      </c>
      <c r="X136" s="61">
        <f t="shared" si="49"/>
        <v>5.7927474613333345</v>
      </c>
      <c r="Y136" s="61">
        <f t="shared" si="49"/>
        <v>5.7927474613333345</v>
      </c>
      <c r="AA136" s="61">
        <f>SUM(B136:Y136)</f>
        <v>71.883780884000004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0.18291000000000002</v>
      </c>
      <c r="W138" s="61">
        <f t="shared" si="50"/>
        <v>0.18291000000000002</v>
      </c>
      <c r="X138" s="61">
        <f t="shared" si="50"/>
        <v>0.18900700000000004</v>
      </c>
      <c r="Y138" s="61">
        <f t="shared" si="50"/>
        <v>0.18900700000000004</v>
      </c>
      <c r="AA138" s="61">
        <f t="shared" ref="AA138:AA144" si="51">SUM(B138:Y138)</f>
        <v>0.74383400000000011</v>
      </c>
    </row>
    <row r="139" spans="1:31" x14ac:dyDescent="0.25">
      <c r="A139" s="127" t="str">
        <f>A$18</f>
        <v>Lot des tardives</v>
      </c>
      <c r="B139" s="61">
        <f t="shared" si="50"/>
        <v>0.68402533333333337</v>
      </c>
      <c r="C139" s="61">
        <f t="shared" si="50"/>
        <v>0.60302233333333344</v>
      </c>
      <c r="D139" s="61">
        <f t="shared" si="50"/>
        <v>0.47150133333333344</v>
      </c>
      <c r="E139" s="61">
        <f t="shared" si="50"/>
        <v>0.39833733333333338</v>
      </c>
      <c r="F139" s="61">
        <f t="shared" si="50"/>
        <v>0.36001333333333335</v>
      </c>
      <c r="G139" s="61">
        <f t="shared" si="50"/>
        <v>0.27901033333333342</v>
      </c>
      <c r="H139" s="61">
        <f t="shared" si="50"/>
        <v>0.19162000000000004</v>
      </c>
      <c r="I139" s="61">
        <f t="shared" si="50"/>
        <v>0.11323000000000003</v>
      </c>
      <c r="J139" s="61">
        <f t="shared" si="50"/>
        <v>1.4400533333333332E-2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1.0944405333333334</v>
      </c>
      <c r="Y139" s="61">
        <f t="shared" si="50"/>
        <v>1.0944405333333334</v>
      </c>
      <c r="AA139" s="61">
        <f t="shared" si="51"/>
        <v>5.3040416000000006</v>
      </c>
    </row>
    <row r="140" spans="1:31" x14ac:dyDescent="0.25">
      <c r="A140" s="128" t="str">
        <f>A$19</f>
        <v>Lot des agnelles</v>
      </c>
      <c r="B140" s="61">
        <f t="shared" si="50"/>
        <v>0.36721359999999997</v>
      </c>
      <c r="C140" s="61">
        <f t="shared" si="50"/>
        <v>0.36721359999999997</v>
      </c>
      <c r="D140" s="61">
        <f t="shared" si="50"/>
        <v>0.82919200000000015</v>
      </c>
      <c r="E140" s="61">
        <f t="shared" si="50"/>
        <v>0.82919200000000015</v>
      </c>
      <c r="F140" s="61">
        <f t="shared" si="50"/>
        <v>0.91803400000000013</v>
      </c>
      <c r="G140" s="61">
        <f t="shared" si="50"/>
        <v>0.91803400000000013</v>
      </c>
      <c r="H140" s="61">
        <f t="shared" si="50"/>
        <v>0.88842000000000021</v>
      </c>
      <c r="I140" s="61">
        <f t="shared" si="50"/>
        <v>0.88842000000000021</v>
      </c>
      <c r="J140" s="61">
        <f t="shared" si="50"/>
        <v>0.91803400000000013</v>
      </c>
      <c r="K140" s="61">
        <f t="shared" si="50"/>
        <v>0.91803400000000013</v>
      </c>
      <c r="L140" s="61">
        <f t="shared" si="50"/>
        <v>0.88842000000000021</v>
      </c>
      <c r="M140" s="61">
        <f t="shared" si="50"/>
        <v>0.88842000000000021</v>
      </c>
      <c r="N140" s="61">
        <f t="shared" si="50"/>
        <v>0.91803400000000013</v>
      </c>
      <c r="O140" s="61">
        <f t="shared" si="50"/>
        <v>1.8360680000000003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0.33049223999999999</v>
      </c>
      <c r="Y140" s="61">
        <f t="shared" si="50"/>
        <v>0.33049223999999999</v>
      </c>
      <c r="AA140" s="61">
        <f t="shared" si="51"/>
        <v>13.033713680000004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90.965370164000021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104.61017568860001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1.4481868653333336</v>
      </c>
      <c r="C149" s="61">
        <f t="shared" si="53"/>
        <v>1.4750881693333335</v>
      </c>
      <c r="D149" s="61">
        <f t="shared" si="53"/>
        <v>2.0349534800000004</v>
      </c>
      <c r="E149" s="61">
        <f t="shared" si="53"/>
        <v>1.9073892320000008</v>
      </c>
      <c r="F149" s="61">
        <f t="shared" si="53"/>
        <v>2.1521043200000003</v>
      </c>
      <c r="G149" s="61">
        <f t="shared" si="53"/>
        <v>2.1991816020000003</v>
      </c>
      <c r="H149" s="61">
        <f t="shared" si="53"/>
        <v>4.3475978400000006</v>
      </c>
      <c r="I149" s="61">
        <f t="shared" si="53"/>
        <v>4.4517319200000003</v>
      </c>
      <c r="J149" s="61">
        <f t="shared" si="53"/>
        <v>6.2411025280000016</v>
      </c>
      <c r="K149" s="61">
        <f t="shared" si="53"/>
        <v>6.2769709333333346</v>
      </c>
      <c r="L149" s="61">
        <f t="shared" si="53"/>
        <v>2.8498905600000004</v>
      </c>
      <c r="M149" s="61">
        <f t="shared" si="53"/>
        <v>4.749817600000001</v>
      </c>
      <c r="N149" s="61">
        <f t="shared" si="53"/>
        <v>4.9081448533333338</v>
      </c>
      <c r="O149" s="61">
        <f t="shared" si="53"/>
        <v>4.9081448533333338</v>
      </c>
      <c r="P149" s="61">
        <f t="shared" si="53"/>
        <v>4.9081448533333338</v>
      </c>
      <c r="Q149" s="61">
        <f t="shared" si="53"/>
        <v>3.4357013973333332</v>
      </c>
      <c r="R149" s="61">
        <f t="shared" si="53"/>
        <v>3.7998540800000011</v>
      </c>
      <c r="S149" s="61">
        <f t="shared" si="53"/>
        <v>3.519183040000001</v>
      </c>
      <c r="T149" s="61">
        <f t="shared" si="53"/>
        <v>3.636489141333334</v>
      </c>
      <c r="U149" s="61">
        <f t="shared" si="53"/>
        <v>0.89264613666666692</v>
      </c>
      <c r="V149" s="61">
        <f t="shared" si="53"/>
        <v>1.9114095000000004</v>
      </c>
      <c r="W149" s="61">
        <f t="shared" si="53"/>
        <v>1.9114095000000004</v>
      </c>
      <c r="X149" s="61">
        <f t="shared" si="53"/>
        <v>1.4481868653333336</v>
      </c>
      <c r="Y149" s="61">
        <f t="shared" si="53"/>
        <v>1.4481868653333336</v>
      </c>
    </row>
    <row r="150" spans="1:28" x14ac:dyDescent="0.25">
      <c r="A150" s="128" t="str">
        <f>A$16</f>
        <v>Lot des béliers</v>
      </c>
      <c r="B150" s="61">
        <f t="shared" ref="B150:Y150" si="54">B111-B137</f>
        <v>0.14400533333333335</v>
      </c>
      <c r="C150" s="61">
        <f t="shared" si="54"/>
        <v>0.14400533333333335</v>
      </c>
      <c r="D150" s="61">
        <f t="shared" si="54"/>
        <v>0.13006933333333334</v>
      </c>
      <c r="E150" s="61">
        <f t="shared" si="54"/>
        <v>0.13006933333333334</v>
      </c>
      <c r="F150" s="61">
        <f t="shared" si="54"/>
        <v>0.14400533333333335</v>
      </c>
      <c r="G150" s="61">
        <f t="shared" si="54"/>
        <v>0.14400533333333335</v>
      </c>
      <c r="H150" s="61">
        <f t="shared" si="54"/>
        <v>0.13936000000000001</v>
      </c>
      <c r="I150" s="61">
        <f t="shared" si="54"/>
        <v>0.13936000000000001</v>
      </c>
      <c r="J150" s="61">
        <f t="shared" si="54"/>
        <v>0.14400533333333335</v>
      </c>
      <c r="K150" s="61">
        <f t="shared" si="54"/>
        <v>0.14400533333333335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0.13936000000000001</v>
      </c>
      <c r="W150" s="61">
        <f t="shared" si="54"/>
        <v>0.13936000000000001</v>
      </c>
      <c r="X150" s="61">
        <f t="shared" si="54"/>
        <v>0.14400533333333335</v>
      </c>
      <c r="Y150" s="61">
        <f t="shared" si="54"/>
        <v>0.14400533333333335</v>
      </c>
    </row>
    <row r="151" spans="1:28" x14ac:dyDescent="0.25">
      <c r="A151" s="128" t="str">
        <f>A$17</f>
        <v>Lot des vides</v>
      </c>
      <c r="B151" s="61">
        <f t="shared" ref="B151:Y151" si="55">B112-B138</f>
        <v>0.37801400000000007</v>
      </c>
      <c r="C151" s="61">
        <f t="shared" si="55"/>
        <v>0.37801400000000007</v>
      </c>
      <c r="D151" s="61">
        <f t="shared" si="55"/>
        <v>0.34143200000000001</v>
      </c>
      <c r="E151" s="61">
        <f t="shared" si="55"/>
        <v>0.34143200000000001</v>
      </c>
      <c r="F151" s="61">
        <f t="shared" si="55"/>
        <v>0.37801400000000007</v>
      </c>
      <c r="G151" s="61">
        <f t="shared" si="55"/>
        <v>0.37801400000000007</v>
      </c>
      <c r="H151" s="61">
        <f t="shared" si="55"/>
        <v>0.36582000000000003</v>
      </c>
      <c r="I151" s="61">
        <f t="shared" si="55"/>
        <v>0.36582000000000003</v>
      </c>
      <c r="J151" s="61">
        <f t="shared" si="55"/>
        <v>0.37801400000000007</v>
      </c>
      <c r="K151" s="61">
        <f t="shared" si="55"/>
        <v>0.37801400000000007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0.18291000000000002</v>
      </c>
      <c r="W151" s="61">
        <f t="shared" si="55"/>
        <v>0.18291000000000002</v>
      </c>
      <c r="X151" s="61">
        <f t="shared" si="55"/>
        <v>0.18900700000000004</v>
      </c>
      <c r="Y151" s="61">
        <f t="shared" si="55"/>
        <v>0.18900700000000004</v>
      </c>
    </row>
    <row r="152" spans="1:28" x14ac:dyDescent="0.25">
      <c r="A152" s="127" t="str">
        <f>A$18</f>
        <v>Lot des tardives</v>
      </c>
      <c r="B152" s="61">
        <f t="shared" ref="B152:Y152" si="56">B113-B139</f>
        <v>0.68402533333333337</v>
      </c>
      <c r="C152" s="61">
        <f t="shared" si="56"/>
        <v>0.60302233333333344</v>
      </c>
      <c r="D152" s="61">
        <f t="shared" si="56"/>
        <v>0.47150133333333344</v>
      </c>
      <c r="E152" s="61">
        <f t="shared" si="56"/>
        <v>0.39833733333333338</v>
      </c>
      <c r="F152" s="61">
        <f t="shared" si="56"/>
        <v>0.36001333333333335</v>
      </c>
      <c r="G152" s="61">
        <f t="shared" si="56"/>
        <v>0.27901033333333342</v>
      </c>
      <c r="H152" s="61">
        <f t="shared" si="56"/>
        <v>0.19162000000000004</v>
      </c>
      <c r="I152" s="61">
        <f t="shared" si="56"/>
        <v>0.11323000000000003</v>
      </c>
      <c r="J152" s="61">
        <f t="shared" si="56"/>
        <v>5.760213333333334E-2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0.27361013333333339</v>
      </c>
      <c r="Y152" s="61">
        <f t="shared" si="56"/>
        <v>0.27361013333333339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1.8360680000000003</v>
      </c>
      <c r="Q153" s="61">
        <f t="shared" si="57"/>
        <v>1.8360680000000003</v>
      </c>
      <c r="R153" s="61">
        <f t="shared" si="57"/>
        <v>1.7768400000000004</v>
      </c>
      <c r="S153" s="61">
        <f t="shared" si="57"/>
        <v>1.7768400000000004</v>
      </c>
      <c r="T153" s="61">
        <f t="shared" si="57"/>
        <v>1.8360680000000003</v>
      </c>
      <c r="U153" s="61">
        <f t="shared" si="57"/>
        <v>1.8360680000000003</v>
      </c>
      <c r="V153" s="61">
        <f t="shared" si="57"/>
        <v>0</v>
      </c>
      <c r="W153" s="61">
        <f t="shared" si="57"/>
        <v>0</v>
      </c>
      <c r="X153" s="61">
        <f t="shared" si="57"/>
        <v>3.6721359999999981E-2</v>
      </c>
      <c r="Y153" s="61">
        <f t="shared" si="57"/>
        <v>3.6721359999999981E-2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97.934536589333362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1.4481868653333336</v>
      </c>
      <c r="C162" s="61">
        <f t="shared" si="63"/>
        <v>1.4750881693333335</v>
      </c>
      <c r="D162" s="61">
        <f t="shared" si="63"/>
        <v>2.0349534800000004</v>
      </c>
      <c r="E162" s="61">
        <f t="shared" si="63"/>
        <v>1.9073892320000008</v>
      </c>
      <c r="F162" s="61">
        <f t="shared" si="63"/>
        <v>2.1521043200000003</v>
      </c>
      <c r="G162" s="61">
        <f t="shared" si="63"/>
        <v>2.1991816020000003</v>
      </c>
      <c r="H162" s="61">
        <f t="shared" si="63"/>
        <v>4.3475978400000006</v>
      </c>
      <c r="I162" s="61">
        <f t="shared" si="63"/>
        <v>4.4517319200000003</v>
      </c>
      <c r="J162" s="61">
        <f t="shared" si="63"/>
        <v>6.2411025280000016</v>
      </c>
      <c r="K162" s="61">
        <f t="shared" si="63"/>
        <v>6.2769709333333346</v>
      </c>
      <c r="L162" s="61">
        <f t="shared" si="63"/>
        <v>2.8498905600000004</v>
      </c>
      <c r="M162" s="61">
        <f t="shared" si="63"/>
        <v>4.749817600000001</v>
      </c>
      <c r="N162" s="61">
        <f t="shared" si="63"/>
        <v>4.9081448533333338</v>
      </c>
      <c r="O162" s="61">
        <f t="shared" si="63"/>
        <v>4.9081448533333338</v>
      </c>
      <c r="P162" s="61">
        <f t="shared" si="63"/>
        <v>4.9081448533333338</v>
      </c>
      <c r="Q162" s="61">
        <f t="shared" si="63"/>
        <v>3.4357013973333332</v>
      </c>
      <c r="R162" s="61">
        <f t="shared" si="63"/>
        <v>3.7998540800000011</v>
      </c>
      <c r="S162" s="61">
        <f t="shared" si="63"/>
        <v>3.519183040000001</v>
      </c>
      <c r="T162" s="61">
        <f t="shared" si="63"/>
        <v>3.636489141333334</v>
      </c>
      <c r="U162" s="61">
        <f t="shared" si="63"/>
        <v>0.89264613666666692</v>
      </c>
      <c r="V162" s="61">
        <f t="shared" si="63"/>
        <v>1.9114095000000004</v>
      </c>
      <c r="W162" s="61">
        <f t="shared" si="63"/>
        <v>1.9114095000000004</v>
      </c>
      <c r="X162" s="61">
        <f t="shared" si="63"/>
        <v>1.4481868653333336</v>
      </c>
      <c r="Y162" s="61">
        <f t="shared" si="63"/>
        <v>1.4481868653333336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0.37801400000000007</v>
      </c>
      <c r="C164" s="61">
        <f t="shared" si="65"/>
        <v>0.37801400000000007</v>
      </c>
      <c r="D164" s="61">
        <f t="shared" si="65"/>
        <v>0.34143200000000001</v>
      </c>
      <c r="E164" s="61">
        <f t="shared" si="65"/>
        <v>0.34143200000000001</v>
      </c>
      <c r="F164" s="61">
        <f t="shared" si="65"/>
        <v>0.37801400000000007</v>
      </c>
      <c r="G164" s="61">
        <f t="shared" si="65"/>
        <v>0.37801400000000007</v>
      </c>
      <c r="H164" s="61">
        <f t="shared" si="65"/>
        <v>0.36582000000000003</v>
      </c>
      <c r="I164" s="61">
        <f t="shared" si="65"/>
        <v>0.36582000000000003</v>
      </c>
      <c r="J164" s="61">
        <f t="shared" si="65"/>
        <v>0.37801400000000007</v>
      </c>
      <c r="K164" s="61">
        <f t="shared" si="65"/>
        <v>0.37801400000000007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0.68402533333333337</v>
      </c>
      <c r="C165" s="61">
        <f t="shared" si="66"/>
        <v>0.60302233333333344</v>
      </c>
      <c r="D165" s="61">
        <f t="shared" si="66"/>
        <v>0.47150133333333344</v>
      </c>
      <c r="E165" s="61">
        <f t="shared" si="66"/>
        <v>0.39833733333333338</v>
      </c>
      <c r="F165" s="61">
        <f t="shared" si="66"/>
        <v>0.36001333333333335</v>
      </c>
      <c r="G165" s="61">
        <f t="shared" si="66"/>
        <v>0.27901033333333342</v>
      </c>
      <c r="H165" s="61">
        <f t="shared" si="66"/>
        <v>0.19162000000000004</v>
      </c>
      <c r="I165" s="61">
        <f t="shared" si="66"/>
        <v>0.11323000000000003</v>
      </c>
      <c r="J165" s="61">
        <f t="shared" si="66"/>
        <v>5.760213333333334E-2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0.27361013333333339</v>
      </c>
      <c r="Y165" s="61">
        <f t="shared" si="66"/>
        <v>0.27361013333333339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1.8360680000000003</v>
      </c>
      <c r="Q166" s="61">
        <f t="shared" si="67"/>
        <v>1.8360680000000003</v>
      </c>
      <c r="R166" s="61">
        <f t="shared" si="67"/>
        <v>1.7768400000000004</v>
      </c>
      <c r="S166" s="61">
        <f t="shared" si="67"/>
        <v>1.7768400000000004</v>
      </c>
      <c r="T166" s="61">
        <f t="shared" si="67"/>
        <v>1.8360680000000003</v>
      </c>
      <c r="U166" s="61">
        <f t="shared" si="67"/>
        <v>1.8360680000000003</v>
      </c>
      <c r="V166" s="61">
        <f t="shared" si="67"/>
        <v>0</v>
      </c>
      <c r="W166" s="61">
        <f t="shared" si="67"/>
        <v>0</v>
      </c>
      <c r="X166" s="61">
        <f t="shared" si="67"/>
        <v>3.6721359999999981E-2</v>
      </c>
      <c r="Y166" s="61">
        <f t="shared" si="67"/>
        <v>3.6721359999999981E-2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2.510226198666667</v>
      </c>
      <c r="C172" s="61">
        <f t="shared" ref="C172:Y172" si="73">SUM(C162:C171)</f>
        <v>2.4561245026666669</v>
      </c>
      <c r="D172" s="61">
        <f t="shared" si="73"/>
        <v>2.8478868133333339</v>
      </c>
      <c r="E172" s="61">
        <f t="shared" si="73"/>
        <v>2.6471585653333345</v>
      </c>
      <c r="F172" s="61">
        <f t="shared" si="73"/>
        <v>2.8901316533333339</v>
      </c>
      <c r="G172" s="61">
        <f t="shared" si="73"/>
        <v>2.856205935333334</v>
      </c>
      <c r="H172" s="61">
        <f t="shared" si="73"/>
        <v>4.9050378400000012</v>
      </c>
      <c r="I172" s="61">
        <f t="shared" si="73"/>
        <v>4.9307819200000003</v>
      </c>
      <c r="J172" s="61">
        <f t="shared" si="73"/>
        <v>6.6767186613333349</v>
      </c>
      <c r="K172" s="61">
        <f t="shared" si="73"/>
        <v>6.6549849333333349</v>
      </c>
      <c r="L172" s="61">
        <f t="shared" si="73"/>
        <v>2.8498905600000004</v>
      </c>
      <c r="M172" s="61">
        <f t="shared" si="73"/>
        <v>4.749817600000001</v>
      </c>
      <c r="N172" s="61">
        <f t="shared" si="73"/>
        <v>4.9081448533333338</v>
      </c>
      <c r="O172" s="61">
        <f t="shared" si="73"/>
        <v>4.9081448533333338</v>
      </c>
      <c r="P172" s="61">
        <f t="shared" si="73"/>
        <v>6.7442128533333339</v>
      </c>
      <c r="Q172" s="61">
        <f t="shared" si="73"/>
        <v>5.2717693973333333</v>
      </c>
      <c r="R172" s="61">
        <f t="shared" si="73"/>
        <v>5.5766940800000011</v>
      </c>
      <c r="S172" s="61">
        <f t="shared" si="73"/>
        <v>5.2960230400000015</v>
      </c>
      <c r="T172" s="61">
        <f t="shared" si="73"/>
        <v>5.4725571413333345</v>
      </c>
      <c r="U172" s="61">
        <f t="shared" si="73"/>
        <v>2.7287141366666674</v>
      </c>
      <c r="V172" s="61">
        <f t="shared" si="73"/>
        <v>1.9114095000000004</v>
      </c>
      <c r="W172" s="61">
        <f t="shared" si="73"/>
        <v>1.9114095000000004</v>
      </c>
      <c r="X172" s="61">
        <f t="shared" si="73"/>
        <v>1.7585183586666671</v>
      </c>
      <c r="Y172" s="61">
        <f t="shared" si="73"/>
        <v>1.7585183586666671</v>
      </c>
      <c r="AA172" s="64">
        <f>SUM(B172:Y172)</f>
        <v>95.221081256000019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0.14400533333333335</v>
      </c>
      <c r="C176" s="61">
        <f t="shared" si="75"/>
        <v>0.14400533333333335</v>
      </c>
      <c r="D176" s="61">
        <f t="shared" si="75"/>
        <v>0.13006933333333334</v>
      </c>
      <c r="E176" s="61">
        <f t="shared" si="75"/>
        <v>0.13006933333333334</v>
      </c>
      <c r="F176" s="61">
        <f t="shared" si="75"/>
        <v>0.14400533333333335</v>
      </c>
      <c r="G176" s="61">
        <f t="shared" si="75"/>
        <v>0.14400533333333335</v>
      </c>
      <c r="H176" s="61">
        <f t="shared" si="75"/>
        <v>0.13936000000000001</v>
      </c>
      <c r="I176" s="61">
        <f t="shared" si="75"/>
        <v>0.13936000000000001</v>
      </c>
      <c r="J176" s="61">
        <f t="shared" si="75"/>
        <v>0.14400533333333335</v>
      </c>
      <c r="K176" s="61">
        <f t="shared" si="75"/>
        <v>0.14400533333333335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0.13936000000000001</v>
      </c>
      <c r="W176" s="61">
        <f t="shared" si="75"/>
        <v>0.13936000000000001</v>
      </c>
      <c r="X176" s="61">
        <f t="shared" si="75"/>
        <v>0.14400533333333335</v>
      </c>
      <c r="Y176" s="61">
        <f t="shared" si="75"/>
        <v>0.14400533333333335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0.18291000000000002</v>
      </c>
      <c r="W177" s="61">
        <f t="shared" si="76"/>
        <v>0.18291000000000002</v>
      </c>
      <c r="X177" s="61">
        <f t="shared" si="76"/>
        <v>0.18900700000000004</v>
      </c>
      <c r="Y177" s="61">
        <f t="shared" si="76"/>
        <v>0.18900700000000004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0.14400533333333335</v>
      </c>
      <c r="C185" s="61">
        <f>SUM(CdTrp1!C175:C184)</f>
        <v>0.14400533333333335</v>
      </c>
      <c r="D185" s="61">
        <f>SUM(CdTrp1!D175:D184)</f>
        <v>0.13006933333333334</v>
      </c>
      <c r="E185" s="61">
        <f>SUM(CdTrp1!E175:E184)</f>
        <v>0.13006933333333334</v>
      </c>
      <c r="F185" s="61">
        <f>SUM(CdTrp1!F175:F184)</f>
        <v>0.14400533333333335</v>
      </c>
      <c r="G185" s="61">
        <f>SUM(CdTrp1!G175:G184)</f>
        <v>0.14400533333333335</v>
      </c>
      <c r="H185" s="61">
        <f>SUM(CdTrp1!H175:H184)</f>
        <v>0.13936000000000001</v>
      </c>
      <c r="I185" s="61">
        <f>SUM(CdTrp1!I175:I184)</f>
        <v>0.13936000000000001</v>
      </c>
      <c r="J185" s="61">
        <f>SUM(CdTrp1!J175:J184)</f>
        <v>0.14400533333333335</v>
      </c>
      <c r="K185" s="61">
        <f>SUM(CdTrp1!K175:K184)</f>
        <v>0.14400533333333335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0.32227000000000006</v>
      </c>
      <c r="W185" s="61">
        <f>SUM(CdTrp1!W175:W184)</f>
        <v>0.32227000000000006</v>
      </c>
      <c r="X185" s="61">
        <f>SUM(CdTrp1!X175:X184)</f>
        <v>0.33301233333333335</v>
      </c>
      <c r="Y185" s="61">
        <f>SUM(CdTrp1!Y175:Y184)</f>
        <v>0.33301233333333335</v>
      </c>
      <c r="AA185" s="64">
        <f>SUM(B185:Y185)</f>
        <v>2.713455333333334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2.510226198666667</v>
      </c>
      <c r="C215" s="61">
        <f t="shared" ref="C215:Y215" si="106">C172</f>
        <v>2.4561245026666669</v>
      </c>
      <c r="D215" s="61">
        <f t="shared" si="106"/>
        <v>2.8478868133333339</v>
      </c>
      <c r="E215" s="61">
        <f t="shared" si="106"/>
        <v>2.6471585653333345</v>
      </c>
      <c r="F215" s="61">
        <f t="shared" si="106"/>
        <v>2.8901316533333339</v>
      </c>
      <c r="G215" s="61">
        <f t="shared" si="106"/>
        <v>2.856205935333334</v>
      </c>
      <c r="H215" s="61">
        <f t="shared" si="106"/>
        <v>4.9050378400000012</v>
      </c>
      <c r="I215" s="61">
        <f t="shared" si="106"/>
        <v>4.9307819200000003</v>
      </c>
      <c r="J215" s="61">
        <f t="shared" si="106"/>
        <v>6.6767186613333349</v>
      </c>
      <c r="K215" s="61">
        <f t="shared" si="106"/>
        <v>6.6549849333333349</v>
      </c>
      <c r="L215" s="61">
        <f t="shared" si="106"/>
        <v>2.8498905600000004</v>
      </c>
      <c r="M215" s="61">
        <f t="shared" si="106"/>
        <v>4.749817600000001</v>
      </c>
      <c r="N215" s="61">
        <f t="shared" si="106"/>
        <v>4.9081448533333338</v>
      </c>
      <c r="O215" s="61">
        <f t="shared" si="106"/>
        <v>4.9081448533333338</v>
      </c>
      <c r="P215" s="61">
        <f t="shared" si="106"/>
        <v>6.7442128533333339</v>
      </c>
      <c r="Q215" s="61">
        <f t="shared" si="106"/>
        <v>5.2717693973333333</v>
      </c>
      <c r="R215" s="61">
        <f t="shared" si="106"/>
        <v>5.5766940800000011</v>
      </c>
      <c r="S215" s="61">
        <f t="shared" si="106"/>
        <v>5.2960230400000015</v>
      </c>
      <c r="T215" s="61">
        <f t="shared" si="106"/>
        <v>5.4725571413333345</v>
      </c>
      <c r="U215" s="61">
        <f t="shared" si="106"/>
        <v>2.7287141366666674</v>
      </c>
      <c r="V215" s="61">
        <f t="shared" si="106"/>
        <v>1.9114095000000004</v>
      </c>
      <c r="W215" s="61">
        <f t="shared" si="106"/>
        <v>1.9114095000000004</v>
      </c>
      <c r="X215" s="61">
        <f t="shared" si="106"/>
        <v>1.7585183586666671</v>
      </c>
      <c r="Y215" s="61">
        <f t="shared" si="106"/>
        <v>1.7585183586666671</v>
      </c>
    </row>
    <row r="216" spans="1:28" x14ac:dyDescent="0.25">
      <c r="A216" s="38" t="s">
        <v>219</v>
      </c>
      <c r="B216" s="61">
        <f>B185</f>
        <v>0.14400533333333335</v>
      </c>
      <c r="C216" s="61">
        <f t="shared" ref="C216:Y216" si="107">C185</f>
        <v>0.14400533333333335</v>
      </c>
      <c r="D216" s="61">
        <f t="shared" si="107"/>
        <v>0.13006933333333334</v>
      </c>
      <c r="E216" s="61">
        <f t="shared" si="107"/>
        <v>0.13006933333333334</v>
      </c>
      <c r="F216" s="61">
        <f t="shared" si="107"/>
        <v>0.14400533333333335</v>
      </c>
      <c r="G216" s="61">
        <f t="shared" si="107"/>
        <v>0.14400533333333335</v>
      </c>
      <c r="H216" s="61">
        <f t="shared" si="107"/>
        <v>0.13936000000000001</v>
      </c>
      <c r="I216" s="61">
        <f t="shared" si="107"/>
        <v>0.13936000000000001</v>
      </c>
      <c r="J216" s="61">
        <f t="shared" si="107"/>
        <v>0.14400533333333335</v>
      </c>
      <c r="K216" s="61">
        <f t="shared" si="107"/>
        <v>0.14400533333333335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0.32227000000000006</v>
      </c>
      <c r="W216" s="61">
        <f t="shared" si="107"/>
        <v>0.32227000000000006</v>
      </c>
      <c r="X216" s="61">
        <f t="shared" si="107"/>
        <v>0.33301233333333335</v>
      </c>
      <c r="Y216" s="61">
        <f t="shared" si="107"/>
        <v>0.33301233333333335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97.934536589333391</v>
      </c>
      <c r="AB219" t="s">
        <v>223</v>
      </c>
    </row>
    <row r="220" spans="1:28" x14ac:dyDescent="0.25">
      <c r="AA220" s="30">
        <f>SUM(B215:Y217)</f>
        <v>97.934536589333391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valid parcellaire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2023-01-16T18:39:46Z</dcterms:modified>
</cp:coreProperties>
</file>