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3" activeTab="7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30" r:id="rId18"/>
    <pivotCache cacheId="31" r:id="rId19"/>
  </pivotCaches>
</workbook>
</file>

<file path=xl/calcChain.xml><?xml version="1.0" encoding="utf-8"?>
<calcChain xmlns="http://schemas.openxmlformats.org/spreadsheetml/2006/main">
  <c r="AV4" i="28" l="1"/>
  <c r="AW4" i="28"/>
  <c r="BD4" i="28" s="1"/>
  <c r="BE4" i="28" s="1"/>
  <c r="BF4" i="28" s="1"/>
  <c r="AX4" i="28"/>
  <c r="AY4" i="28"/>
  <c r="AZ4" i="28"/>
  <c r="BA4" i="28"/>
  <c r="BB4" i="28"/>
  <c r="BC4" i="28"/>
  <c r="BG4" i="28"/>
  <c r="BK4" i="28"/>
  <c r="AV5" i="28"/>
  <c r="AW5" i="28"/>
  <c r="AX5" i="28"/>
  <c r="AY5" i="28"/>
  <c r="AZ5" i="28"/>
  <c r="BA5" i="28"/>
  <c r="BB5" i="28"/>
  <c r="BC5" i="28"/>
  <c r="BD5" i="28"/>
  <c r="BE5" i="28" s="1"/>
  <c r="BF5" i="28" s="1"/>
  <c r="AV6" i="28"/>
  <c r="AW6" i="28"/>
  <c r="BJ6" i="28" s="1"/>
  <c r="AX6" i="28"/>
  <c r="AY6" i="28"/>
  <c r="AZ6" i="28"/>
  <c r="BA6" i="28"/>
  <c r="BB6" i="28"/>
  <c r="BC6" i="28"/>
  <c r="BI6" i="28"/>
  <c r="BK6" i="28"/>
  <c r="AV7" i="28"/>
  <c r="AW7" i="28"/>
  <c r="AX7" i="28"/>
  <c r="AY7" i="28"/>
  <c r="AZ7" i="28"/>
  <c r="BA7" i="28"/>
  <c r="BB7" i="28"/>
  <c r="BC7" i="28"/>
  <c r="BD7" i="28"/>
  <c r="BE7" i="28" s="1"/>
  <c r="BF7" i="28" s="1"/>
  <c r="BG7" i="28"/>
  <c r="BH7" i="28"/>
  <c r="BI7" i="28"/>
  <c r="BJ7" i="28"/>
  <c r="BK7" i="28"/>
  <c r="BL7" i="28"/>
  <c r="AV8" i="28"/>
  <c r="AW8" i="28"/>
  <c r="BJ8" i="28" s="1"/>
  <c r="AX8" i="28"/>
  <c r="AY8" i="28"/>
  <c r="AZ8" i="28"/>
  <c r="BA8" i="28"/>
  <c r="BB8" i="28"/>
  <c r="BC8" i="28"/>
  <c r="BG8" i="28"/>
  <c r="BH8" i="28"/>
  <c r="BI8" i="28"/>
  <c r="BK8" i="28"/>
  <c r="AV9" i="28"/>
  <c r="AW9" i="28"/>
  <c r="AX9" i="28"/>
  <c r="AY9" i="28"/>
  <c r="BD9" i="28" s="1"/>
  <c r="BE9" i="28" s="1"/>
  <c r="BF9" i="28" s="1"/>
  <c r="AZ9" i="28"/>
  <c r="BA9" i="28"/>
  <c r="BB9" i="28"/>
  <c r="BC9" i="28"/>
  <c r="AV10" i="28"/>
  <c r="AW10" i="28"/>
  <c r="AX10" i="28"/>
  <c r="AY10" i="28"/>
  <c r="AZ10" i="28"/>
  <c r="BA10" i="28"/>
  <c r="BB10" i="28"/>
  <c r="BC10" i="28"/>
  <c r="AV11" i="28"/>
  <c r="AW11" i="28"/>
  <c r="BG11" i="28" s="1"/>
  <c r="AX11" i="28"/>
  <c r="AY11" i="28"/>
  <c r="AZ11" i="28"/>
  <c r="BA11" i="28"/>
  <c r="BB11" i="28"/>
  <c r="BC11" i="28"/>
  <c r="BD11" i="28"/>
  <c r="BE11" i="28" s="1"/>
  <c r="BF11" i="28" s="1"/>
  <c r="BH11" i="28"/>
  <c r="BL11" i="28"/>
  <c r="AV12" i="28"/>
  <c r="AW12" i="28"/>
  <c r="BD12" i="28" s="1"/>
  <c r="BE12" i="28" s="1"/>
  <c r="BF12" i="28" s="1"/>
  <c r="BK12" i="28" s="1"/>
  <c r="AX12" i="28"/>
  <c r="AY12" i="28"/>
  <c r="AZ12" i="28"/>
  <c r="BA12" i="28"/>
  <c r="BB12" i="28"/>
  <c r="BC12" i="28"/>
  <c r="AV13" i="28"/>
  <c r="AW13" i="28"/>
  <c r="AX13" i="28"/>
  <c r="AY13" i="28"/>
  <c r="AZ13" i="28"/>
  <c r="BA13" i="28"/>
  <c r="BB13" i="28"/>
  <c r="BC13" i="28"/>
  <c r="BD13" i="28"/>
  <c r="BE13" i="28"/>
  <c r="BF13" i="28" s="1"/>
  <c r="BK13" i="28" s="1"/>
  <c r="AV14" i="28"/>
  <c r="AW14" i="28"/>
  <c r="BJ14" i="28" s="1"/>
  <c r="AX14" i="28"/>
  <c r="AY14" i="28"/>
  <c r="AZ14" i="28"/>
  <c r="BA14" i="28"/>
  <c r="BB14" i="28"/>
  <c r="BC14" i="28"/>
  <c r="BI14" i="28"/>
  <c r="BK14" i="28"/>
  <c r="AV15" i="28"/>
  <c r="AW15" i="28"/>
  <c r="AX15" i="28"/>
  <c r="AY15" i="28"/>
  <c r="AZ15" i="28"/>
  <c r="BA15" i="28"/>
  <c r="BB15" i="28"/>
  <c r="BC15" i="28"/>
  <c r="BD15" i="28"/>
  <c r="BE15" i="28" s="1"/>
  <c r="BF15" i="28" s="1"/>
  <c r="AV16" i="28"/>
  <c r="AW16" i="28"/>
  <c r="AX16" i="28"/>
  <c r="AY16" i="28"/>
  <c r="AZ16" i="28"/>
  <c r="BA16" i="28"/>
  <c r="BB16" i="28"/>
  <c r="BC16" i="28"/>
  <c r="AV17" i="28"/>
  <c r="AW17" i="28"/>
  <c r="AX17" i="28"/>
  <c r="AY17" i="28"/>
  <c r="AZ17" i="28"/>
  <c r="BA17" i="28"/>
  <c r="BB17" i="28"/>
  <c r="BC17" i="28"/>
  <c r="BD17" i="28"/>
  <c r="BE17" i="28" s="1"/>
  <c r="BF17" i="28" s="1"/>
  <c r="AV18" i="28"/>
  <c r="AW18" i="28"/>
  <c r="AX18" i="28"/>
  <c r="AY18" i="28"/>
  <c r="AZ18" i="28"/>
  <c r="BA18" i="28"/>
  <c r="BB18" i="28"/>
  <c r="BC18" i="28"/>
  <c r="AV19" i="28"/>
  <c r="AW19" i="28"/>
  <c r="AX19" i="28"/>
  <c r="AY19" i="28"/>
  <c r="AZ19" i="28"/>
  <c r="BA19" i="28"/>
  <c r="BB19" i="28"/>
  <c r="BC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BA20" i="28"/>
  <c r="BB20" i="28"/>
  <c r="BC20" i="28"/>
  <c r="AV21" i="28"/>
  <c r="AW21" i="28"/>
  <c r="AX21" i="28"/>
  <c r="AY21" i="28"/>
  <c r="AZ21" i="28"/>
  <c r="BA21" i="28"/>
  <c r="BD21" i="28"/>
  <c r="BE21" i="28" s="1"/>
  <c r="BF21" i="28" s="1"/>
  <c r="AV22" i="28"/>
  <c r="AW22" i="28"/>
  <c r="AX22" i="28"/>
  <c r="AY22" i="28"/>
  <c r="AZ22" i="28"/>
  <c r="BA22" i="28"/>
  <c r="BB22" i="28"/>
  <c r="BC22" i="28"/>
  <c r="AV23" i="28"/>
  <c r="AW23" i="28"/>
  <c r="BG23" i="28" s="1"/>
  <c r="AX23" i="28"/>
  <c r="AY23" i="28"/>
  <c r="AZ23" i="28"/>
  <c r="BA23" i="28"/>
  <c r="BB23" i="28"/>
  <c r="BC23" i="28"/>
  <c r="BD23" i="28"/>
  <c r="BE23" i="28" s="1"/>
  <c r="BF23" i="28" s="1"/>
  <c r="BH23" i="28"/>
  <c r="BI23" i="28"/>
  <c r="BJ23" i="28"/>
  <c r="BK23" i="28"/>
  <c r="BL23" i="28"/>
  <c r="AV24" i="28"/>
  <c r="AW24" i="28"/>
  <c r="BH24" i="28" s="1"/>
  <c r="AX24" i="28"/>
  <c r="AY24" i="28"/>
  <c r="AZ24" i="28"/>
  <c r="BA24" i="28"/>
  <c r="BB24" i="28"/>
  <c r="BC24" i="28"/>
  <c r="BG24" i="28"/>
  <c r="BI24" i="28"/>
  <c r="BK24" i="28"/>
  <c r="AV25" i="28"/>
  <c r="AW25" i="28"/>
  <c r="AX25" i="28"/>
  <c r="AY25" i="28"/>
  <c r="AZ25" i="28"/>
  <c r="BA25" i="28"/>
  <c r="BB25" i="28"/>
  <c r="BC25" i="28"/>
  <c r="BD25" i="28"/>
  <c r="BE25" i="28" s="1"/>
  <c r="BF25" i="28" s="1"/>
  <c r="BG25" i="28"/>
  <c r="BH25" i="28"/>
  <c r="BI25" i="28"/>
  <c r="BJ25" i="28"/>
  <c r="BK25" i="28"/>
  <c r="BL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BG27" i="28" s="1"/>
  <c r="AX27" i="28"/>
  <c r="AY27" i="28"/>
  <c r="AZ27" i="28"/>
  <c r="BA27" i="28"/>
  <c r="BB27" i="28"/>
  <c r="BC27" i="28"/>
  <c r="BD27" i="28"/>
  <c r="BE27" i="28" s="1"/>
  <c r="BF27" i="28" s="1"/>
  <c r="BH27" i="28"/>
  <c r="BJ27" i="28"/>
  <c r="BL27" i="28"/>
  <c r="AV28" i="28"/>
  <c r="AW28" i="28"/>
  <c r="BD28" i="28" s="1"/>
  <c r="AX28" i="28"/>
  <c r="AY28" i="28"/>
  <c r="AZ28" i="28"/>
  <c r="BA28" i="28"/>
  <c r="BB28" i="28"/>
  <c r="BC28" i="28"/>
  <c r="BG28" i="28"/>
  <c r="BK28" i="28"/>
  <c r="AV29" i="28"/>
  <c r="AW29" i="28"/>
  <c r="AX29" i="28"/>
  <c r="AY29" i="28"/>
  <c r="AZ29" i="28"/>
  <c r="BA29" i="28"/>
  <c r="BB29" i="28"/>
  <c r="BC29" i="28"/>
  <c r="BD29" i="28"/>
  <c r="BE29" i="28" s="1"/>
  <c r="BF29" i="28" s="1"/>
  <c r="BG29" i="28"/>
  <c r="BH29" i="28"/>
  <c r="BI29" i="28"/>
  <c r="BJ29" i="28"/>
  <c r="BK29" i="28"/>
  <c r="BL29" i="28"/>
  <c r="AV30" i="28"/>
  <c r="AW30" i="28"/>
  <c r="BJ30" i="28" s="1"/>
  <c r="AX30" i="28"/>
  <c r="AY30" i="28"/>
  <c r="AZ30" i="28"/>
  <c r="BA30" i="28"/>
  <c r="BB30" i="28"/>
  <c r="BC30" i="28"/>
  <c r="BI30" i="28"/>
  <c r="BG13" i="28" l="1"/>
  <c r="BG19" i="28"/>
  <c r="BG15" i="28"/>
  <c r="BI15" i="28"/>
  <c r="BJ15" i="28"/>
  <c r="BK15" i="28"/>
  <c r="BL15" i="28"/>
  <c r="BH15" i="28"/>
  <c r="BG20" i="28"/>
  <c r="BK20" i="28"/>
  <c r="BK21" i="28"/>
  <c r="BL21" i="28"/>
  <c r="BG21" i="28"/>
  <c r="BJ21" i="28"/>
  <c r="BI21" i="28"/>
  <c r="BG9" i="28"/>
  <c r="BH9" i="28"/>
  <c r="BI9" i="28"/>
  <c r="BJ9" i="28"/>
  <c r="BK9" i="28"/>
  <c r="BL9" i="28"/>
  <c r="BH19" i="28"/>
  <c r="BJ19" i="28"/>
  <c r="BL19" i="28"/>
  <c r="BK5" i="28"/>
  <c r="BL5" i="28"/>
  <c r="BG5" i="28"/>
  <c r="BH5" i="28"/>
  <c r="BI5" i="28"/>
  <c r="BJ5" i="28"/>
  <c r="BG17" i="28"/>
  <c r="BH17" i="28"/>
  <c r="BI17" i="28"/>
  <c r="BJ17" i="28"/>
  <c r="BK17" i="28"/>
  <c r="BL17" i="28"/>
  <c r="BJ13" i="28"/>
  <c r="BH30" i="28"/>
  <c r="BJ28" i="28"/>
  <c r="BK27" i="28"/>
  <c r="BL26" i="28"/>
  <c r="BD26" i="28"/>
  <c r="BE26" i="28" s="1"/>
  <c r="BF26" i="28" s="1"/>
  <c r="BJ20" i="28"/>
  <c r="BK19" i="28"/>
  <c r="BD18" i="28"/>
  <c r="BE18" i="28" s="1"/>
  <c r="BF18" i="28" s="1"/>
  <c r="BI18" i="28" s="1"/>
  <c r="BH14" i="28"/>
  <c r="BI13" i="28"/>
  <c r="BJ12" i="28"/>
  <c r="BK11" i="28"/>
  <c r="BD10" i="28"/>
  <c r="BE10" i="28" s="1"/>
  <c r="BF10" i="28" s="1"/>
  <c r="BI10" i="28" s="1"/>
  <c r="BH6" i="28"/>
  <c r="BJ4" i="28"/>
  <c r="BI28" i="28"/>
  <c r="BI20" i="28"/>
  <c r="BG14" i="28"/>
  <c r="BH13" i="28"/>
  <c r="BI12" i="28"/>
  <c r="BJ11" i="28"/>
  <c r="BG6" i="28"/>
  <c r="BI4" i="28"/>
  <c r="BG30" i="28"/>
  <c r="BK26" i="28"/>
  <c r="BH28" i="28"/>
  <c r="BI27" i="28"/>
  <c r="BJ26" i="28"/>
  <c r="BL24" i="28"/>
  <c r="BD24" i="28"/>
  <c r="BE24" i="28" s="1"/>
  <c r="BF24" i="28" s="1"/>
  <c r="BH20" i="28"/>
  <c r="BI19" i="28"/>
  <c r="BD16" i="28"/>
  <c r="BE16" i="28" s="1"/>
  <c r="BF16" i="28" s="1"/>
  <c r="BL16" i="28" s="1"/>
  <c r="BH12" i="28"/>
  <c r="BI11" i="28"/>
  <c r="BL8" i="28"/>
  <c r="BD8" i="28"/>
  <c r="BE8" i="28" s="1"/>
  <c r="BF8" i="28" s="1"/>
  <c r="BH4" i="28"/>
  <c r="BG12" i="28"/>
  <c r="BI26" i="28"/>
  <c r="BL30" i="28"/>
  <c r="BD30" i="28"/>
  <c r="BE30" i="28" s="1"/>
  <c r="BF30" i="28" s="1"/>
  <c r="BH26" i="28"/>
  <c r="BJ24" i="28"/>
  <c r="BD22" i="28"/>
  <c r="BE22" i="28" s="1"/>
  <c r="BF22" i="28" s="1"/>
  <c r="BI22" i="28" s="1"/>
  <c r="BL14" i="28"/>
  <c r="BD14" i="28"/>
  <c r="BE14" i="28" s="1"/>
  <c r="BF14" i="28" s="1"/>
  <c r="BL6" i="28"/>
  <c r="BD6" i="28"/>
  <c r="BE6" i="28" s="1"/>
  <c r="BF6" i="28" s="1"/>
  <c r="BE28" i="28"/>
  <c r="BF28" i="28" s="1"/>
  <c r="BL13" i="28"/>
  <c r="BK30" i="28"/>
  <c r="BL28" i="28"/>
  <c r="BL20" i="28"/>
  <c r="BL12" i="28"/>
  <c r="BL4" i="28"/>
  <c r="BK10" i="28" l="1"/>
  <c r="BJ10" i="28"/>
  <c r="BH10" i="28"/>
  <c r="BG10" i="28"/>
  <c r="BJ16" i="28"/>
  <c r="BL10" i="28"/>
  <c r="BH18" i="28"/>
  <c r="BL22" i="28"/>
  <c r="BL18" i="28"/>
  <c r="BG18" i="28"/>
  <c r="BJ18" i="28"/>
  <c r="BK18" i="28"/>
  <c r="BJ22" i="28"/>
  <c r="BH22" i="28"/>
  <c r="BG22" i="28"/>
  <c r="BK22" i="28"/>
  <c r="BH16" i="28"/>
  <c r="BI16" i="28"/>
  <c r="BK16" i="28"/>
  <c r="BG16" i="28"/>
  <c r="C150" i="30" l="1"/>
  <c r="C151" i="30"/>
  <c r="C152" i="30"/>
  <c r="C153" i="30"/>
  <c r="C154" i="30"/>
  <c r="C155" i="30"/>
  <c r="C149" i="30"/>
  <c r="T41" i="30" l="1"/>
  <c r="T38" i="30"/>
  <c r="C302" i="31"/>
  <c r="C301" i="31"/>
  <c r="C300" i="31"/>
  <c r="C297" i="31"/>
  <c r="C296" i="31"/>
  <c r="C295" i="31"/>
  <c r="K3" i="7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U137" i="30"/>
  <c r="U136" i="30"/>
  <c r="U135" i="30"/>
  <c r="AA134" i="30"/>
  <c r="Y134" i="30"/>
  <c r="W134" i="30"/>
  <c r="U134" i="30"/>
  <c r="U133" i="30"/>
  <c r="U132" i="30"/>
  <c r="AI145" i="30"/>
  <c r="AH145" i="30"/>
  <c r="AG145" i="30"/>
  <c r="AF145" i="30"/>
  <c r="AI142" i="30"/>
  <c r="AH142" i="30"/>
  <c r="AG142" i="30"/>
  <c r="AF142" i="30"/>
  <c r="AI139" i="30"/>
  <c r="AH139" i="30"/>
  <c r="AG139" i="30"/>
  <c r="AF139" i="30"/>
  <c r="AI136" i="30"/>
  <c r="AH136" i="30"/>
  <c r="AG136" i="30"/>
  <c r="AF136" i="30"/>
  <c r="AI133" i="30"/>
  <c r="AH133" i="30"/>
  <c r="AG133" i="30"/>
  <c r="AF133" i="30"/>
  <c r="AI130" i="30"/>
  <c r="AH130" i="30"/>
  <c r="AG130" i="30"/>
  <c r="AF130" i="30"/>
  <c r="AI127" i="30"/>
  <c r="AH127" i="30"/>
  <c r="AG127" i="30"/>
  <c r="AF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I221" i="31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DD166" i="31"/>
  <c r="CA166" i="31"/>
  <c r="AU166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DD105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CA105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BA107" i="29"/>
  <c r="AZ107" i="29"/>
  <c r="AY107" i="29"/>
  <c r="AX107" i="29"/>
  <c r="AW107" i="29"/>
  <c r="AV107" i="29"/>
  <c r="BS106" i="29"/>
  <c r="AX106" i="29"/>
  <c r="AW106" i="29"/>
  <c r="AV106" i="29"/>
  <c r="AU105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W240" i="30"/>
  <c r="AE240" i="30"/>
  <c r="AD240" i="30"/>
  <c r="AE237" i="30"/>
  <c r="AD237" i="30"/>
  <c r="W236" i="30"/>
  <c r="W235" i="30"/>
  <c r="W234" i="30"/>
  <c r="W233" i="30"/>
  <c r="V233" i="30"/>
  <c r="C84" i="29"/>
  <c r="C83" i="29"/>
  <c r="C81" i="29"/>
  <c r="G76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Z12" i="28"/>
  <c r="Y12" i="28"/>
  <c r="X12" i="28"/>
  <c r="W12" i="28"/>
  <c r="V12" i="28"/>
  <c r="U12" i="28"/>
  <c r="T12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C10" i="28"/>
  <c r="Z9" i="28"/>
  <c r="Y9" i="28"/>
  <c r="X9" i="28"/>
  <c r="W9" i="28"/>
  <c r="V9" i="28"/>
  <c r="U9" i="28"/>
  <c r="T9" i="28"/>
  <c r="S9" i="28"/>
  <c r="R9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Z8" i="28"/>
  <c r="Y8" i="28"/>
  <c r="X8" i="28"/>
  <c r="W8" i="28"/>
  <c r="V8" i="28"/>
  <c r="U8" i="28"/>
  <c r="T8" i="28"/>
  <c r="S8" i="28"/>
  <c r="R8" i="28"/>
  <c r="Q8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8" i="27"/>
  <c r="Y188" i="27"/>
  <c r="X188" i="27"/>
  <c r="Z187" i="27"/>
  <c r="Y187" i="27"/>
  <c r="X187" i="27"/>
  <c r="Z186" i="27"/>
  <c r="Y186" i="27"/>
  <c r="X186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8" i="27"/>
  <c r="T187" i="27"/>
  <c r="T186" i="27"/>
  <c r="T185" i="27"/>
  <c r="T184" i="27"/>
  <c r="T183" i="27"/>
  <c r="T182" i="27"/>
  <c r="T181" i="27"/>
  <c r="T180" i="27"/>
  <c r="T179" i="27"/>
  <c r="T178" i="27"/>
  <c r="T177" i="27"/>
  <c r="T176" i="27"/>
  <c r="T175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BD106" i="29" l="1"/>
  <c r="BL106" i="29"/>
  <c r="BC106" i="29"/>
  <c r="BE106" i="29"/>
  <c r="BM106" i="29"/>
  <c r="BK106" i="29"/>
  <c r="BF106" i="29"/>
  <c r="BN106" i="29"/>
  <c r="BC107" i="29"/>
  <c r="AY106" i="29"/>
  <c r="BG106" i="29"/>
  <c r="BO106" i="29"/>
  <c r="AZ106" i="29"/>
  <c r="BH106" i="29"/>
  <c r="BP106" i="29"/>
  <c r="BA106" i="29"/>
  <c r="BI106" i="29"/>
  <c r="BQ106" i="29"/>
  <c r="BB106" i="29"/>
  <c r="BJ106" i="29"/>
  <c r="BR106" i="29"/>
  <c r="BB107" i="29"/>
  <c r="AD29" i="28"/>
  <c r="AD28" i="28"/>
  <c r="O37" i="23" l="1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BD3" i="28" s="1"/>
  <c r="BE3" i="28" s="1"/>
  <c r="AV3" i="28"/>
  <c r="D286" i="31"/>
  <c r="C286" i="31"/>
  <c r="D285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D225" i="31" s="1"/>
  <c r="J151" i="30"/>
  <c r="C224" i="31" s="1"/>
  <c r="D224" i="31" s="1"/>
  <c r="J150" i="30"/>
  <c r="C223" i="31" s="1"/>
  <c r="D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C181" i="28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D97" i="31"/>
  <c r="AC97" i="31"/>
  <c r="AB97" i="31"/>
  <c r="AA97" i="31"/>
  <c r="Z97" i="31"/>
  <c r="Y97" i="31"/>
  <c r="X97" i="31"/>
  <c r="W97" i="31"/>
  <c r="V97" i="31"/>
  <c r="U97" i="31"/>
  <c r="T97" i="31"/>
  <c r="S97" i="31"/>
  <c r="R97" i="31"/>
  <c r="Q97" i="31"/>
  <c r="P97" i="31"/>
  <c r="O97" i="31"/>
  <c r="N97" i="31"/>
  <c r="M97" i="31"/>
  <c r="L97" i="31"/>
  <c r="K97" i="31"/>
  <c r="J97" i="31"/>
  <c r="I97" i="31"/>
  <c r="H97" i="31"/>
  <c r="G97" i="31"/>
  <c r="AE96" i="31"/>
  <c r="AD96" i="31"/>
  <c r="AC96" i="31"/>
  <c r="AB96" i="31"/>
  <c r="AA96" i="31"/>
  <c r="Z96" i="31"/>
  <c r="Y96" i="31"/>
  <c r="X96" i="31"/>
  <c r="W96" i="31"/>
  <c r="V96" i="31"/>
  <c r="U96" i="31"/>
  <c r="T96" i="31"/>
  <c r="S96" i="31"/>
  <c r="R96" i="31"/>
  <c r="Q96" i="31"/>
  <c r="P96" i="31"/>
  <c r="O96" i="31"/>
  <c r="N96" i="31"/>
  <c r="M96" i="31"/>
  <c r="L96" i="31"/>
  <c r="K96" i="31"/>
  <c r="J96" i="31"/>
  <c r="I96" i="31"/>
  <c r="H96" i="31"/>
  <c r="G96" i="31"/>
  <c r="AE95" i="31"/>
  <c r="AD95" i="31"/>
  <c r="AC95" i="31"/>
  <c r="AC129" i="31" s="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N100" i="31"/>
  <c r="BM100" i="31"/>
  <c r="BL100" i="31"/>
  <c r="BK100" i="3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O66" i="30"/>
  <c r="AN66" i="30"/>
  <c r="AM66" i="30"/>
  <c r="AL66" i="30"/>
  <c r="AK66" i="30"/>
  <c r="AJ66" i="30"/>
  <c r="AI66" i="30"/>
  <c r="AH66" i="30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BE63" i="30"/>
  <c r="BD63" i="30"/>
  <c r="BC63" i="30"/>
  <c r="BB63" i="30"/>
  <c r="BA63" i="30"/>
  <c r="AZ63" i="30"/>
  <c r="AY63" i="30"/>
  <c r="AX63" i="30"/>
  <c r="AW63" i="30"/>
  <c r="AV63" i="30"/>
  <c r="AU63" i="30"/>
  <c r="AT63" i="30"/>
  <c r="AS63" i="30"/>
  <c r="AR63" i="30"/>
  <c r="AQ63" i="30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R62" i="30"/>
  <c r="AQ62" i="30"/>
  <c r="AP62" i="30"/>
  <c r="AO62" i="30"/>
  <c r="AN62" i="30"/>
  <c r="AM62" i="30"/>
  <c r="AL62" i="30"/>
  <c r="AK62" i="30"/>
  <c r="AJ62" i="30"/>
  <c r="AI62" i="30"/>
  <c r="AH62" i="30"/>
  <c r="AG62" i="30"/>
  <c r="BE61" i="30"/>
  <c r="BD61" i="30"/>
  <c r="BC61" i="30"/>
  <c r="BB61" i="30"/>
  <c r="BA61" i="30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C60" i="30"/>
  <c r="BB60" i="30"/>
  <c r="BA60" i="30"/>
  <c r="AZ60" i="30"/>
  <c r="AY60" i="30"/>
  <c r="AX60" i="30"/>
  <c r="AW60" i="30"/>
  <c r="AV60" i="30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D59" i="30"/>
  <c r="BC59" i="30"/>
  <c r="BB59" i="30"/>
  <c r="BA59" i="30"/>
  <c r="AZ59" i="30"/>
  <c r="AY59" i="30"/>
  <c r="AX59" i="30"/>
  <c r="AW59" i="30"/>
  <c r="AV59" i="30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R51" i="30"/>
  <c r="BQ51" i="30"/>
  <c r="BP51" i="30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AG50" i="30"/>
  <c r="BS49" i="30"/>
  <c r="BR49" i="30"/>
  <c r="BQ49" i="30"/>
  <c r="BP49" i="30"/>
  <c r="BO49" i="30"/>
  <c r="BN49" i="30"/>
  <c r="BM49" i="30"/>
  <c r="BL49" i="30"/>
  <c r="BK49" i="30"/>
  <c r="BK71" i="30" s="1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AG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R40" i="29"/>
  <c r="BQ40" i="29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C93" i="29" s="1"/>
  <c r="BB40" i="29"/>
  <c r="BA40" i="29"/>
  <c r="AZ40" i="29"/>
  <c r="AY40" i="29"/>
  <c r="AX40" i="29"/>
  <c r="AW40" i="29"/>
  <c r="AV40" i="29"/>
  <c r="AT40" i="29"/>
  <c r="BS39" i="29"/>
  <c r="BR39" i="29"/>
  <c r="BQ39" i="29"/>
  <c r="BP39" i="29"/>
  <c r="BO39" i="29"/>
  <c r="BN39" i="29"/>
  <c r="BM39" i="29"/>
  <c r="BL39" i="29"/>
  <c r="BK39" i="29"/>
  <c r="BJ39" i="29"/>
  <c r="BI39" i="29"/>
  <c r="BH39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T39" i="29"/>
  <c r="BS38" i="29"/>
  <c r="BR38" i="29"/>
  <c r="BQ38" i="29"/>
  <c r="BP38" i="29"/>
  <c r="BO38" i="29"/>
  <c r="BN38" i="29"/>
  <c r="BM38" i="29"/>
  <c r="BL38" i="29"/>
  <c r="BL91" i="29" s="1"/>
  <c r="BK38" i="29"/>
  <c r="BJ38" i="29"/>
  <c r="BI38" i="29"/>
  <c r="BH38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T38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R7" i="29"/>
  <c r="BQ7" i="29"/>
  <c r="BQ18" i="29" s="1"/>
  <c r="BP7" i="29"/>
  <c r="BO7" i="29"/>
  <c r="BN7" i="29"/>
  <c r="BM7" i="29"/>
  <c r="BL7" i="29"/>
  <c r="BK7" i="29"/>
  <c r="BJ7" i="29"/>
  <c r="BI7" i="29"/>
  <c r="BI93" i="29" s="1"/>
  <c r="BH7" i="29"/>
  <c r="BG7" i="29"/>
  <c r="BF7" i="29"/>
  <c r="BE7" i="29"/>
  <c r="BD7" i="29"/>
  <c r="BD18" i="29" s="1"/>
  <c r="BC7" i="29"/>
  <c r="BB7" i="29"/>
  <c r="BA7" i="29"/>
  <c r="BA18" i="29" s="1"/>
  <c r="AZ7" i="29"/>
  <c r="AY7" i="29"/>
  <c r="AX7" i="29"/>
  <c r="AW7" i="29"/>
  <c r="AV7" i="29"/>
  <c r="AV18" i="29" s="1"/>
  <c r="BS6" i="29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B6" i="29"/>
  <c r="BA6" i="29"/>
  <c r="BA17" i="29" s="1"/>
  <c r="AZ6" i="29"/>
  <c r="AY6" i="29"/>
  <c r="AX6" i="29"/>
  <c r="AW6" i="29"/>
  <c r="AV6" i="29"/>
  <c r="AV17" i="29" s="1"/>
  <c r="BS5" i="29"/>
  <c r="BR5" i="29"/>
  <c r="BQ5" i="29"/>
  <c r="BQ16" i="29" s="1"/>
  <c r="BP5" i="29"/>
  <c r="BO5" i="29"/>
  <c r="BN5" i="29"/>
  <c r="BM5" i="29"/>
  <c r="BL5" i="29"/>
  <c r="BL16" i="29" s="1"/>
  <c r="BK5" i="29"/>
  <c r="BJ5" i="29"/>
  <c r="BI5" i="29"/>
  <c r="BI16" i="29" s="1"/>
  <c r="BH5" i="29"/>
  <c r="BG5" i="29"/>
  <c r="BF5" i="29"/>
  <c r="BE5" i="29"/>
  <c r="BD5" i="29"/>
  <c r="BD16" i="29" s="1"/>
  <c r="BC5" i="29"/>
  <c r="BB5" i="29"/>
  <c r="BA5" i="29"/>
  <c r="AZ5" i="29"/>
  <c r="AY5" i="29"/>
  <c r="AX5" i="29"/>
  <c r="AW5" i="29"/>
  <c r="AV5" i="29"/>
  <c r="AV91" i="29" s="1"/>
  <c r="BS4" i="29"/>
  <c r="BR4" i="29"/>
  <c r="BQ4" i="29"/>
  <c r="BP4" i="29"/>
  <c r="BO4" i="29"/>
  <c r="BN4" i="29"/>
  <c r="BM4" i="29"/>
  <c r="BL4" i="29"/>
  <c r="BL90" i="29" s="1"/>
  <c r="BK4" i="29"/>
  <c r="BJ4" i="29"/>
  <c r="BI4" i="29"/>
  <c r="BI90" i="29" s="1"/>
  <c r="BH4" i="29"/>
  <c r="BG4" i="29"/>
  <c r="BF4" i="29"/>
  <c r="BE4" i="29"/>
  <c r="BD4" i="29"/>
  <c r="BD90" i="29" s="1"/>
  <c r="BC4" i="29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H87" i="28"/>
  <c r="G87" i="28"/>
  <c r="F87" i="28"/>
  <c r="E87" i="28"/>
  <c r="D87" i="28"/>
  <c r="C87" i="28"/>
  <c r="B87" i="28"/>
  <c r="Z86" i="28"/>
  <c r="Y86" i="28"/>
  <c r="X86" i="28"/>
  <c r="W86" i="28"/>
  <c r="V86" i="28"/>
  <c r="U86" i="28"/>
  <c r="T86" i="28"/>
  <c r="S86" i="28"/>
  <c r="R86" i="28"/>
  <c r="Q86" i="28"/>
  <c r="P86" i="28"/>
  <c r="O86" i="28"/>
  <c r="N86" i="28"/>
  <c r="M86" i="28"/>
  <c r="L86" i="28"/>
  <c r="K86" i="28"/>
  <c r="J86" i="28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R85" i="28"/>
  <c r="Q85" i="28"/>
  <c r="P85" i="28"/>
  <c r="O85" i="28"/>
  <c r="N85" i="28"/>
  <c r="M85" i="28"/>
  <c r="L85" i="28"/>
  <c r="K85" i="28"/>
  <c r="J85" i="28"/>
  <c r="I85" i="28"/>
  <c r="H85" i="28"/>
  <c r="G85" i="28"/>
  <c r="F85" i="28"/>
  <c r="E85" i="28"/>
  <c r="D85" i="28"/>
  <c r="C85" i="28"/>
  <c r="B85" i="28"/>
  <c r="Z84" i="28"/>
  <c r="Y84" i="28"/>
  <c r="Y20" i="28" s="1"/>
  <c r="X84" i="28"/>
  <c r="W84" i="28"/>
  <c r="V84" i="28"/>
  <c r="U84" i="28"/>
  <c r="T84" i="28"/>
  <c r="S84" i="28"/>
  <c r="R84" i="28"/>
  <c r="Q84" i="28"/>
  <c r="P84" i="28"/>
  <c r="O84" i="28"/>
  <c r="N84" i="28"/>
  <c r="M84" i="28"/>
  <c r="L84" i="28"/>
  <c r="K84" i="28"/>
  <c r="J84" i="28"/>
  <c r="I84" i="28"/>
  <c r="H84" i="28"/>
  <c r="G84" i="28"/>
  <c r="F84" i="28"/>
  <c r="E84" i="28"/>
  <c r="D84" i="28"/>
  <c r="C84" i="28"/>
  <c r="B84" i="28"/>
  <c r="Z83" i="28"/>
  <c r="Y83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D83" i="28"/>
  <c r="C83" i="28"/>
  <c r="B83" i="28"/>
  <c r="Z82" i="28"/>
  <c r="Y82" i="28"/>
  <c r="X82" i="28"/>
  <c r="W82" i="28"/>
  <c r="V82" i="28"/>
  <c r="U82" i="28"/>
  <c r="T82" i="28"/>
  <c r="S82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F82" i="28"/>
  <c r="E82" i="28"/>
  <c r="D82" i="28"/>
  <c r="C82" i="28"/>
  <c r="B82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Z69" i="28" s="1"/>
  <c r="G69" i="28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CX90" i="31" s="1"/>
  <c r="AU89" i="31"/>
  <c r="AU88" i="31"/>
  <c r="AU87" i="31"/>
  <c r="C8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C50" i="31"/>
  <c r="C49" i="31"/>
  <c r="C48" i="31"/>
  <c r="C47" i="31"/>
  <c r="C46" i="31"/>
  <c r="C45" i="31"/>
  <c r="C44" i="31"/>
  <c r="C43" i="31"/>
  <c r="C42" i="31"/>
  <c r="D42" i="31" s="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D25" i="31" s="1"/>
  <c r="C24" i="31"/>
  <c r="C23" i="3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C16" i="31"/>
  <c r="C15" i="31"/>
  <c r="C14" i="31"/>
  <c r="C13" i="31"/>
  <c r="C12" i="31"/>
  <c r="C11" i="31"/>
  <c r="C8" i="31"/>
  <c r="D8" i="31" s="1"/>
  <c r="C7" i="31"/>
  <c r="C6" i="31"/>
  <c r="C5" i="31"/>
  <c r="C4" i="31"/>
  <c r="C3" i="31"/>
  <c r="C2" i="31"/>
  <c r="C1" i="31"/>
  <c r="T254" i="30"/>
  <c r="T246" i="30"/>
  <c r="T240" i="30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BR28" i="29" s="1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D184" i="28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E33" i="28"/>
  <c r="AK22" i="28"/>
  <c r="AH22" i="28"/>
  <c r="AE22" i="28"/>
  <c r="AD13" i="28"/>
  <c r="AO171" i="30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X26" i="27" s="1"/>
  <c r="U25" i="27"/>
  <c r="T25" i="27"/>
  <c r="V25" i="27" s="1"/>
  <c r="U24" i="27"/>
  <c r="AB24" i="27" s="1"/>
  <c r="T24" i="27"/>
  <c r="M112" i="30"/>
  <c r="AI128" i="30"/>
  <c r="V40" i="30"/>
  <c r="C280" i="31"/>
  <c r="D280" i="31" s="1"/>
  <c r="C273" i="31"/>
  <c r="D273" i="31" s="1"/>
  <c r="F21" i="29"/>
  <c r="C255" i="31" s="1"/>
  <c r="F20" i="29"/>
  <c r="C254" i="31" s="1"/>
  <c r="AM219" i="31"/>
  <c r="W273" i="30"/>
  <c r="AM217" i="31" s="1"/>
  <c r="W272" i="30"/>
  <c r="AM216" i="31" s="1"/>
  <c r="W271" i="30"/>
  <c r="AC227" i="30"/>
  <c r="AC223" i="30"/>
  <c r="AB223" i="30"/>
  <c r="AC220" i="30"/>
  <c r="AA220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I224" i="30"/>
  <c r="AI223" i="30"/>
  <c r="AJ221" i="30"/>
  <c r="V220" i="30"/>
  <c r="U218" i="30"/>
  <c r="AF217" i="30"/>
  <c r="AI216" i="30"/>
  <c r="AI215" i="30"/>
  <c r="W212" i="30"/>
  <c r="AF209" i="30"/>
  <c r="U207" i="30"/>
  <c r="AJ205" i="30"/>
  <c r="W204" i="30"/>
  <c r="U202" i="30"/>
  <c r="AG201" i="30"/>
  <c r="AJ200" i="30"/>
  <c r="AI199" i="30"/>
  <c r="AJ197" i="30"/>
  <c r="W196" i="30"/>
  <c r="V194" i="30"/>
  <c r="AG193" i="30"/>
  <c r="U191" i="30"/>
  <c r="AI184" i="30"/>
  <c r="AI183" i="30"/>
  <c r="AG181" i="30"/>
  <c r="AF180" i="30"/>
  <c r="AJ179" i="30"/>
  <c r="AJ177" i="30"/>
  <c r="AF176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W207" i="27"/>
  <c r="AI205" i="27"/>
  <c r="AJ198" i="27"/>
  <c r="AI195" i="27"/>
  <c r="U191" i="27"/>
  <c r="AJ185" i="27"/>
  <c r="V181" i="27"/>
  <c r="AJ180" i="27"/>
  <c r="U179" i="27"/>
  <c r="AJ176" i="27"/>
  <c r="W32" i="27"/>
  <c r="AA31" i="27"/>
  <c r="AB30" i="27"/>
  <c r="AA28" i="27"/>
  <c r="D256" i="31"/>
  <c r="D255" i="31"/>
  <c r="D254" i="31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P154" i="31"/>
  <c r="BO154" i="31"/>
  <c r="BN154" i="31"/>
  <c r="BM154" i="31"/>
  <c r="BL154" i="31"/>
  <c r="BK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M129" i="3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AE129" i="31"/>
  <c r="W129" i="31"/>
  <c r="O129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CJ90" i="31"/>
  <c r="BZ90" i="31"/>
  <c r="BZ154" i="31" s="1"/>
  <c r="BQ90" i="31"/>
  <c r="BA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D62" i="31"/>
  <c r="D61" i="31"/>
  <c r="D60" i="31"/>
  <c r="D59" i="31"/>
  <c r="D58" i="31"/>
  <c r="D57" i="31"/>
  <c r="D56" i="31"/>
  <c r="D55" i="31"/>
  <c r="D54" i="31"/>
  <c r="D53" i="31"/>
  <c r="D52" i="31"/>
  <c r="D51" i="31"/>
  <c r="D50" i="31"/>
  <c r="D49" i="31"/>
  <c r="D48" i="31"/>
  <c r="D47" i="31"/>
  <c r="D46" i="31"/>
  <c r="D45" i="31"/>
  <c r="D44" i="31"/>
  <c r="D43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4" i="31"/>
  <c r="D23" i="31"/>
  <c r="D17" i="31"/>
  <c r="D16" i="31"/>
  <c r="D15" i="31"/>
  <c r="D14" i="31"/>
  <c r="D13" i="31"/>
  <c r="D12" i="31"/>
  <c r="D11" i="31"/>
  <c r="D7" i="31"/>
  <c r="D6" i="31"/>
  <c r="D5" i="31"/>
  <c r="D4" i="31"/>
  <c r="D3" i="31"/>
  <c r="D2" i="31"/>
  <c r="D1" i="31"/>
  <c r="Z260" i="30"/>
  <c r="C190" i="31"/>
  <c r="D190" i="31" s="1"/>
  <c r="AK190" i="31" s="1"/>
  <c r="AC224" i="30"/>
  <c r="AB221" i="30"/>
  <c r="AC221" i="30"/>
  <c r="AA216" i="30"/>
  <c r="AC216" i="30"/>
  <c r="AC213" i="30"/>
  <c r="AI207" i="30"/>
  <c r="AC205" i="30"/>
  <c r="AB200" i="30"/>
  <c r="AC200" i="30"/>
  <c r="W199" i="30"/>
  <c r="AC197" i="30"/>
  <c r="AF193" i="30"/>
  <c r="AB193" i="30"/>
  <c r="AB192" i="30"/>
  <c r="AF191" i="30"/>
  <c r="AB185" i="30"/>
  <c r="AA183" i="30"/>
  <c r="V183" i="30"/>
  <c r="U183" i="30"/>
  <c r="AC182" i="30"/>
  <c r="AF177" i="30"/>
  <c r="AB177" i="30"/>
  <c r="AC177" i="30"/>
  <c r="C239" i="31"/>
  <c r="D239" i="31" s="1"/>
  <c r="AA175" i="30"/>
  <c r="C80" i="31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BN77" i="30"/>
  <c r="DA76" i="30"/>
  <c r="AJ76" i="30"/>
  <c r="BV75" i="30"/>
  <c r="AR74" i="30"/>
  <c r="CD73" i="30"/>
  <c r="DT72" i="30"/>
  <c r="AZ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BH61" i="30"/>
  <c r="BH72" i="30" s="1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S78" i="30"/>
  <c r="BR78" i="30"/>
  <c r="BQ78" i="30"/>
  <c r="BO78" i="30"/>
  <c r="BN78" i="30"/>
  <c r="BM78" i="30"/>
  <c r="BL78" i="30"/>
  <c r="BK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M77" i="30"/>
  <c r="BK77" i="30"/>
  <c r="BJ77" i="30"/>
  <c r="BI77" i="30"/>
  <c r="BH66" i="30"/>
  <c r="BH77" i="30" s="1"/>
  <c r="BE77" i="30"/>
  <c r="BD77" i="30"/>
  <c r="BC77" i="30"/>
  <c r="BA77" i="30"/>
  <c r="AZ77" i="30"/>
  <c r="AY77" i="30"/>
  <c r="AX77" i="30"/>
  <c r="AW77" i="30"/>
  <c r="AV77" i="30"/>
  <c r="AU77" i="30"/>
  <c r="AS77" i="30"/>
  <c r="AR77" i="30"/>
  <c r="AQ77" i="30"/>
  <c r="AP77" i="30"/>
  <c r="AO77" i="30"/>
  <c r="AN77" i="30"/>
  <c r="AM77" i="30"/>
  <c r="AK77" i="30"/>
  <c r="AJ77" i="30"/>
  <c r="AI77" i="30"/>
  <c r="AH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M76" i="30"/>
  <c r="BL76" i="30"/>
  <c r="BK76" i="30"/>
  <c r="BJ76" i="30"/>
  <c r="BI76" i="30"/>
  <c r="BE76" i="30"/>
  <c r="BD76" i="30"/>
  <c r="BC76" i="30"/>
  <c r="BB76" i="30"/>
  <c r="BA76" i="30"/>
  <c r="AZ76" i="30"/>
  <c r="AY76" i="30"/>
  <c r="AW76" i="30"/>
  <c r="AV76" i="30"/>
  <c r="AU76" i="30"/>
  <c r="AT76" i="30"/>
  <c r="AS76" i="30"/>
  <c r="AR76" i="30"/>
  <c r="AQ76" i="30"/>
  <c r="AO76" i="30"/>
  <c r="AN76" i="30"/>
  <c r="AM76" i="30"/>
  <c r="AL76" i="30"/>
  <c r="AK76" i="30"/>
  <c r="AI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64" i="30"/>
  <c r="BH75" i="30" s="1"/>
  <c r="BE75" i="30"/>
  <c r="BD75" i="30"/>
  <c r="BC75" i="30"/>
  <c r="BA75" i="30"/>
  <c r="AZ75" i="30"/>
  <c r="AY75" i="30"/>
  <c r="AX75" i="30"/>
  <c r="AW75" i="30"/>
  <c r="AV75" i="30"/>
  <c r="AU75" i="30"/>
  <c r="AS75" i="30"/>
  <c r="AR75" i="30"/>
  <c r="AQ75" i="30"/>
  <c r="AP75" i="30"/>
  <c r="AO75" i="30"/>
  <c r="AN75" i="30"/>
  <c r="AM75" i="30"/>
  <c r="AK75" i="30"/>
  <c r="AJ75" i="30"/>
  <c r="AI75" i="30"/>
  <c r="AH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S74" i="30"/>
  <c r="BR74" i="30"/>
  <c r="BQ74" i="30"/>
  <c r="BO74" i="30"/>
  <c r="BN74" i="30"/>
  <c r="BM74" i="30"/>
  <c r="BL74" i="30"/>
  <c r="BK74" i="30"/>
  <c r="BJ74" i="30"/>
  <c r="BI74" i="30"/>
  <c r="BE74" i="30"/>
  <c r="BD74" i="30"/>
  <c r="BC74" i="30"/>
  <c r="BB74" i="30"/>
  <c r="BA74" i="30"/>
  <c r="AZ74" i="30"/>
  <c r="AY74" i="30"/>
  <c r="AW74" i="30"/>
  <c r="AV74" i="30"/>
  <c r="AU74" i="30"/>
  <c r="AT74" i="30"/>
  <c r="AS74" i="30"/>
  <c r="AQ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S73" i="30"/>
  <c r="BR73" i="30"/>
  <c r="BQ73" i="30"/>
  <c r="BP73" i="30"/>
  <c r="BO73" i="30"/>
  <c r="BN73" i="30"/>
  <c r="BM73" i="30"/>
  <c r="BK73" i="30"/>
  <c r="BE73" i="30"/>
  <c r="BD73" i="30"/>
  <c r="BC73" i="30"/>
  <c r="BA73" i="30"/>
  <c r="AZ73" i="30"/>
  <c r="AY73" i="30"/>
  <c r="AX73" i="30"/>
  <c r="AW73" i="30"/>
  <c r="AV73" i="30"/>
  <c r="AU73" i="30"/>
  <c r="AS73" i="30"/>
  <c r="AR73" i="30"/>
  <c r="AQ73" i="30"/>
  <c r="AP73" i="30"/>
  <c r="AO73" i="30"/>
  <c r="AN73" i="30"/>
  <c r="AM73" i="30"/>
  <c r="AK73" i="30"/>
  <c r="AJ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R72" i="30"/>
  <c r="BQ72" i="30"/>
  <c r="BO72" i="30"/>
  <c r="BN72" i="30"/>
  <c r="BM72" i="30"/>
  <c r="BL72" i="30"/>
  <c r="BK72" i="30"/>
  <c r="BJ72" i="30"/>
  <c r="BI72" i="30"/>
  <c r="BE72" i="30"/>
  <c r="BD72" i="30"/>
  <c r="BC72" i="30"/>
  <c r="BB72" i="30"/>
  <c r="BA72" i="30"/>
  <c r="AY72" i="30"/>
  <c r="AW72" i="30"/>
  <c r="AV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R71" i="30"/>
  <c r="BQ71" i="30"/>
  <c r="BP71" i="30"/>
  <c r="BO71" i="30"/>
  <c r="BN71" i="30"/>
  <c r="BM71" i="30"/>
  <c r="BJ71" i="30"/>
  <c r="BI71" i="30"/>
  <c r="BH60" i="30"/>
  <c r="BH71" i="30" s="1"/>
  <c r="BE71" i="30"/>
  <c r="BD71" i="30"/>
  <c r="BC71" i="30"/>
  <c r="BA71" i="30"/>
  <c r="AZ71" i="30"/>
  <c r="AY71" i="30"/>
  <c r="AX71" i="30"/>
  <c r="AW71" i="30"/>
  <c r="AV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Q70" i="30"/>
  <c r="BO70" i="30"/>
  <c r="BN70" i="30"/>
  <c r="BM70" i="30"/>
  <c r="BK70" i="30"/>
  <c r="BJ70" i="30"/>
  <c r="BI70" i="30"/>
  <c r="BE70" i="30"/>
  <c r="BD70" i="30"/>
  <c r="BC70" i="30"/>
  <c r="BB70" i="30"/>
  <c r="BA70" i="30"/>
  <c r="AZ70" i="30"/>
  <c r="AY70" i="30"/>
  <c r="AX70" i="30"/>
  <c r="AW70" i="30"/>
  <c r="AV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S93" i="29"/>
  <c r="BR93" i="29"/>
  <c r="BQ93" i="29"/>
  <c r="BO93" i="29"/>
  <c r="BN93" i="29"/>
  <c r="BM93" i="29"/>
  <c r="BL93" i="29"/>
  <c r="BK93" i="29"/>
  <c r="BJ93" i="29"/>
  <c r="BG93" i="29"/>
  <c r="BF93" i="29"/>
  <c r="BE93" i="29"/>
  <c r="BD93" i="29"/>
  <c r="BB93" i="29"/>
  <c r="BA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S92" i="29"/>
  <c r="BR92" i="29"/>
  <c r="BQ92" i="29"/>
  <c r="BP92" i="29"/>
  <c r="BO92" i="29"/>
  <c r="BN92" i="29"/>
  <c r="BM92" i="29"/>
  <c r="BL92" i="29"/>
  <c r="BK92" i="29"/>
  <c r="BJ92" i="29"/>
  <c r="BI92" i="29"/>
  <c r="BH92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S91" i="29"/>
  <c r="BR91" i="29"/>
  <c r="BQ91" i="29"/>
  <c r="BP91" i="29"/>
  <c r="BO91" i="29"/>
  <c r="BN91" i="29"/>
  <c r="BM91" i="29"/>
  <c r="BK91" i="29"/>
  <c r="BJ91" i="29"/>
  <c r="BH91" i="29"/>
  <c r="BG91" i="29"/>
  <c r="BF91" i="29"/>
  <c r="BE91" i="29"/>
  <c r="BC91" i="29"/>
  <c r="BA91" i="29"/>
  <c r="AZ91" i="29"/>
  <c r="AY91" i="29"/>
  <c r="AX91" i="29"/>
  <c r="AW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S90" i="29"/>
  <c r="BR90" i="29"/>
  <c r="BQ90" i="29"/>
  <c r="BP90" i="29"/>
  <c r="BN90" i="29"/>
  <c r="BM90" i="29"/>
  <c r="BK90" i="29"/>
  <c r="BJ90" i="29"/>
  <c r="BH90" i="29"/>
  <c r="BG90" i="29"/>
  <c r="BF90" i="29"/>
  <c r="BE90" i="29"/>
  <c r="BC90" i="29"/>
  <c r="BB90" i="29"/>
  <c r="AZ90" i="29"/>
  <c r="AY90" i="29"/>
  <c r="AX90" i="29"/>
  <c r="AW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N28" i="29"/>
  <c r="BJ28" i="29"/>
  <c r="BI28" i="29"/>
  <c r="BB28" i="29"/>
  <c r="AZ28" i="29"/>
  <c r="AY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Q23" i="29"/>
  <c r="BJ23" i="29"/>
  <c r="BJ68" i="29" s="1"/>
  <c r="BI23" i="29"/>
  <c r="BB23" i="29"/>
  <c r="BB68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L22" i="29"/>
  <c r="BE22" i="29"/>
  <c r="BE67" i="29" s="1"/>
  <c r="BD22" i="29"/>
  <c r="AW22" i="29"/>
  <c r="AW67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S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C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S17" i="29"/>
  <c r="BP17" i="29"/>
  <c r="BO17" i="29"/>
  <c r="BO62" i="29" s="1"/>
  <c r="BO108" i="29" s="1"/>
  <c r="BN17" i="29"/>
  <c r="BM17" i="29"/>
  <c r="BK17" i="29"/>
  <c r="BH17" i="29"/>
  <c r="BG17" i="29"/>
  <c r="BF17" i="29"/>
  <c r="BE17" i="29"/>
  <c r="BC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S16" i="29"/>
  <c r="BR16" i="29"/>
  <c r="BP16" i="29"/>
  <c r="BO16" i="29"/>
  <c r="BN16" i="29"/>
  <c r="BM16" i="29"/>
  <c r="BK16" i="29"/>
  <c r="BJ16" i="29"/>
  <c r="BH16" i="29"/>
  <c r="BG16" i="29"/>
  <c r="BF16" i="29"/>
  <c r="BE16" i="29"/>
  <c r="BC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K15" i="29"/>
  <c r="BH15" i="29"/>
  <c r="BG15" i="29"/>
  <c r="BF15" i="29"/>
  <c r="BE15" i="29"/>
  <c r="BC15" i="29"/>
  <c r="AZ15" i="29"/>
  <c r="AY15" i="29"/>
  <c r="AX15" i="29"/>
  <c r="AW15" i="29"/>
  <c r="DD2" i="29"/>
  <c r="CA2" i="29"/>
  <c r="AU2" i="29"/>
  <c r="C196" i="28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T5" i="28"/>
  <c r="L4" i="28"/>
  <c r="D5" i="28"/>
  <c r="U5" i="28"/>
  <c r="M5" i="28"/>
  <c r="E5" i="28"/>
  <c r="V20" i="28"/>
  <c r="N20" i="28"/>
  <c r="F20" i="28"/>
  <c r="W4" i="28"/>
  <c r="O3" i="28"/>
  <c r="G4" i="28"/>
  <c r="X4" i="28"/>
  <c r="P4" i="28"/>
  <c r="H4" i="28"/>
  <c r="Q3" i="28"/>
  <c r="I5" i="28"/>
  <c r="Z3" i="28"/>
  <c r="R3" i="28"/>
  <c r="J3" i="28"/>
  <c r="S3" i="28"/>
  <c r="K3" i="28"/>
  <c r="C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W20" i="28"/>
  <c r="Q20" i="28"/>
  <c r="O20" i="28"/>
  <c r="I20" i="28"/>
  <c r="G20" i="28"/>
  <c r="AD14" i="28"/>
  <c r="T233" i="30" s="1"/>
  <c r="T271" i="30" s="1"/>
  <c r="X5" i="28"/>
  <c r="V5" i="28"/>
  <c r="P5" i="28"/>
  <c r="N5" i="28"/>
  <c r="H5" i="28"/>
  <c r="F5" i="28"/>
  <c r="Y4" i="28"/>
  <c r="S4" i="28"/>
  <c r="Q4" i="28"/>
  <c r="K4" i="28"/>
  <c r="I4" i="28"/>
  <c r="C4" i="28"/>
  <c r="V3" i="28"/>
  <c r="T3" i="28"/>
  <c r="N3" i="28"/>
  <c r="L3" i="28"/>
  <c r="F3" i="28"/>
  <c r="D3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BB90" i="31" l="1"/>
  <c r="BR90" i="31"/>
  <c r="CM90" i="31"/>
  <c r="BA28" i="29"/>
  <c r="BL28" i="29"/>
  <c r="BD90" i="31"/>
  <c r="CN90" i="31"/>
  <c r="CP90" i="31"/>
  <c r="BF90" i="31"/>
  <c r="BD28" i="29"/>
  <c r="BO28" i="29"/>
  <c r="BI90" i="31"/>
  <c r="CB90" i="31"/>
  <c r="CR90" i="31"/>
  <c r="BM28" i="29"/>
  <c r="BF28" i="29"/>
  <c r="BP28" i="29"/>
  <c r="CW90" i="31"/>
  <c r="BJ90" i="31"/>
  <c r="CE90" i="31"/>
  <c r="CU90" i="31"/>
  <c r="CT90" i="31"/>
  <c r="AV28" i="29"/>
  <c r="BG28" i="29"/>
  <c r="BQ28" i="29"/>
  <c r="AV90" i="31"/>
  <c r="BL90" i="31"/>
  <c r="CF90" i="31"/>
  <c r="CV90" i="31"/>
  <c r="AX28" i="29"/>
  <c r="BH28" i="29"/>
  <c r="AX90" i="31"/>
  <c r="BN90" i="31"/>
  <c r="CH90" i="31"/>
  <c r="U34" i="27"/>
  <c r="T208" i="30"/>
  <c r="AI208" i="30" s="1"/>
  <c r="Z208" i="30"/>
  <c r="AC208" i="30" s="1"/>
  <c r="Y208" i="30"/>
  <c r="AB208" i="30" s="1"/>
  <c r="X208" i="30"/>
  <c r="AA208" i="30" s="1"/>
  <c r="C160" i="30"/>
  <c r="C159" i="30"/>
  <c r="C158" i="30"/>
  <c r="C161" i="30"/>
  <c r="Z189" i="30"/>
  <c r="AC189" i="30" s="1"/>
  <c r="T189" i="30"/>
  <c r="U189" i="30" s="1"/>
  <c r="Y189" i="30"/>
  <c r="AB189" i="30" s="1"/>
  <c r="X189" i="30"/>
  <c r="AA189" i="30" s="1"/>
  <c r="Y189" i="27"/>
  <c r="AB189" i="27" s="1"/>
  <c r="X189" i="27"/>
  <c r="AA189" i="27" s="1"/>
  <c r="Z189" i="27"/>
  <c r="AC189" i="27" s="1"/>
  <c r="T189" i="27"/>
  <c r="Z171" i="27"/>
  <c r="Y171" i="27"/>
  <c r="AB171" i="27" s="1"/>
  <c r="X171" i="27"/>
  <c r="AA171" i="27" s="1"/>
  <c r="T171" i="27"/>
  <c r="V171" i="27" s="1"/>
  <c r="Z173" i="30"/>
  <c r="AC173" i="30" s="1"/>
  <c r="Y173" i="30"/>
  <c r="AB173" i="30" s="1"/>
  <c r="X173" i="30"/>
  <c r="AA173" i="30" s="1"/>
  <c r="T173" i="30"/>
  <c r="X172" i="27"/>
  <c r="AA172" i="27" s="1"/>
  <c r="Y172" i="27"/>
  <c r="AB172" i="27" s="1"/>
  <c r="T172" i="27"/>
  <c r="W172" i="27" s="1"/>
  <c r="Z172" i="27"/>
  <c r="AC172" i="27" s="1"/>
  <c r="T170" i="30"/>
  <c r="Z170" i="30"/>
  <c r="AC170" i="30" s="1"/>
  <c r="Y170" i="30"/>
  <c r="AB170" i="30" s="1"/>
  <c r="X170" i="30"/>
  <c r="AA170" i="30" s="1"/>
  <c r="Z174" i="30"/>
  <c r="AC174" i="30" s="1"/>
  <c r="Y174" i="30"/>
  <c r="AB174" i="30" s="1"/>
  <c r="X174" i="30"/>
  <c r="AA174" i="30" s="1"/>
  <c r="T174" i="30"/>
  <c r="AI174" i="30" s="1"/>
  <c r="T173" i="27"/>
  <c r="Z173" i="27"/>
  <c r="AC173" i="27" s="1"/>
  <c r="Y173" i="27"/>
  <c r="AB173" i="27" s="1"/>
  <c r="X173" i="27"/>
  <c r="Z171" i="30"/>
  <c r="AC171" i="30" s="1"/>
  <c r="Y171" i="30"/>
  <c r="AB171" i="30" s="1"/>
  <c r="X171" i="30"/>
  <c r="AA171" i="30" s="1"/>
  <c r="T171" i="30"/>
  <c r="Z170" i="27"/>
  <c r="AC170" i="27" s="1"/>
  <c r="T170" i="27"/>
  <c r="V170" i="27" s="1"/>
  <c r="Y170" i="27"/>
  <c r="AB170" i="27" s="1"/>
  <c r="X170" i="27"/>
  <c r="AA170" i="27" s="1"/>
  <c r="Z174" i="27"/>
  <c r="AC174" i="27" s="1"/>
  <c r="T174" i="27"/>
  <c r="Y174" i="27"/>
  <c r="AB174" i="27" s="1"/>
  <c r="X174" i="27"/>
  <c r="AA174" i="27" s="1"/>
  <c r="X172" i="30"/>
  <c r="AA172" i="30" s="1"/>
  <c r="Y172" i="30"/>
  <c r="AB172" i="30" s="1"/>
  <c r="Z172" i="30"/>
  <c r="AC172" i="30" s="1"/>
  <c r="T172" i="30"/>
  <c r="T167" i="27"/>
  <c r="Z167" i="27"/>
  <c r="AC167" i="27" s="1"/>
  <c r="Y167" i="27"/>
  <c r="AB167" i="27" s="1"/>
  <c r="X167" i="27"/>
  <c r="AA167" i="27" s="1"/>
  <c r="X165" i="30"/>
  <c r="AA165" i="30" s="1"/>
  <c r="Z165" i="30"/>
  <c r="Y165" i="30"/>
  <c r="AB165" i="30" s="1"/>
  <c r="T165" i="30"/>
  <c r="Y169" i="30"/>
  <c r="X169" i="30"/>
  <c r="AA169" i="30" s="1"/>
  <c r="T169" i="30"/>
  <c r="U169" i="30" s="1"/>
  <c r="Z169" i="30"/>
  <c r="AC169" i="30" s="1"/>
  <c r="X164" i="27"/>
  <c r="AA164" i="27" s="1"/>
  <c r="T164" i="27"/>
  <c r="U164" i="27" s="1"/>
  <c r="Z164" i="27"/>
  <c r="AC164" i="27" s="1"/>
  <c r="Y164" i="27"/>
  <c r="T168" i="27"/>
  <c r="Z168" i="27"/>
  <c r="AC168" i="27" s="1"/>
  <c r="Y168" i="27"/>
  <c r="AB168" i="27" s="1"/>
  <c r="X168" i="27"/>
  <c r="AA168" i="27" s="1"/>
  <c r="Z166" i="30"/>
  <c r="AC166" i="30" s="1"/>
  <c r="Y166" i="30"/>
  <c r="AB166" i="30" s="1"/>
  <c r="X166" i="30"/>
  <c r="AA166" i="30" s="1"/>
  <c r="T166" i="30"/>
  <c r="AG166" i="30" s="1"/>
  <c r="Z165" i="27"/>
  <c r="AC165" i="27" s="1"/>
  <c r="T165" i="27"/>
  <c r="Y165" i="27"/>
  <c r="AB165" i="27" s="1"/>
  <c r="X165" i="27"/>
  <c r="AA165" i="27" s="1"/>
  <c r="Y169" i="27"/>
  <c r="AB169" i="27" s="1"/>
  <c r="X169" i="27"/>
  <c r="Z169" i="27"/>
  <c r="AC169" i="27" s="1"/>
  <c r="T169" i="27"/>
  <c r="Z167" i="30"/>
  <c r="T167" i="30"/>
  <c r="Y167" i="30"/>
  <c r="AB167" i="30" s="1"/>
  <c r="X167" i="30"/>
  <c r="AA167" i="30" s="1"/>
  <c r="Z166" i="27"/>
  <c r="AC166" i="27" s="1"/>
  <c r="Y166" i="27"/>
  <c r="AB166" i="27" s="1"/>
  <c r="X166" i="27"/>
  <c r="AA166" i="27" s="1"/>
  <c r="T166" i="27"/>
  <c r="X164" i="30"/>
  <c r="T164" i="30"/>
  <c r="AI164" i="30" s="1"/>
  <c r="Z164" i="30"/>
  <c r="AC164" i="30" s="1"/>
  <c r="Y164" i="30"/>
  <c r="AB164" i="30" s="1"/>
  <c r="Z168" i="30"/>
  <c r="AC168" i="30" s="1"/>
  <c r="Y168" i="30"/>
  <c r="AB168" i="30" s="1"/>
  <c r="X168" i="30"/>
  <c r="AA168" i="30" s="1"/>
  <c r="T168" i="30"/>
  <c r="C186" i="31"/>
  <c r="D186" i="31" s="1"/>
  <c r="AJ217" i="31" s="1"/>
  <c r="T273" i="30"/>
  <c r="AJ181" i="30"/>
  <c r="V191" i="30"/>
  <c r="U199" i="30"/>
  <c r="V207" i="30"/>
  <c r="W191" i="30"/>
  <c r="V199" i="30"/>
  <c r="W207" i="30"/>
  <c r="AI191" i="30"/>
  <c r="AE183" i="30"/>
  <c r="U215" i="30"/>
  <c r="U223" i="30"/>
  <c r="V215" i="30"/>
  <c r="V223" i="30"/>
  <c r="W215" i="30"/>
  <c r="W223" i="30"/>
  <c r="W183" i="30"/>
  <c r="J166" i="30"/>
  <c r="C234" i="31" s="1"/>
  <c r="D234" i="31" s="1"/>
  <c r="AF181" i="27"/>
  <c r="AF183" i="30"/>
  <c r="W220" i="30"/>
  <c r="C144" i="31"/>
  <c r="U129" i="31"/>
  <c r="W176" i="27"/>
  <c r="AE191" i="30"/>
  <c r="AE199" i="30"/>
  <c r="AE207" i="30"/>
  <c r="AE215" i="30"/>
  <c r="AE223" i="30"/>
  <c r="AI200" i="30"/>
  <c r="C142" i="31"/>
  <c r="AE204" i="30"/>
  <c r="AE212" i="30"/>
  <c r="AI131" i="30"/>
  <c r="AI143" i="30"/>
  <c r="AI137" i="30"/>
  <c r="AI177" i="30"/>
  <c r="V202" i="30"/>
  <c r="AJ184" i="30"/>
  <c r="AE176" i="30"/>
  <c r="V179" i="27"/>
  <c r="V39" i="30"/>
  <c r="F73" i="29"/>
  <c r="B110" i="29" s="1"/>
  <c r="C113" i="31"/>
  <c r="D113" i="31" s="1"/>
  <c r="AC188" i="30"/>
  <c r="AG188" i="30" s="1"/>
  <c r="V188" i="30"/>
  <c r="AB188" i="30"/>
  <c r="C143" i="31"/>
  <c r="AI180" i="27"/>
  <c r="AO190" i="31"/>
  <c r="AC48" i="30"/>
  <c r="AF180" i="27"/>
  <c r="V205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B188" i="27"/>
  <c r="AH93" i="30"/>
  <c r="AX93" i="30"/>
  <c r="Y3" i="28"/>
  <c r="F69" i="29"/>
  <c r="F72" i="29"/>
  <c r="AC187" i="30"/>
  <c r="AB186" i="30"/>
  <c r="AA186" i="30"/>
  <c r="AC188" i="27"/>
  <c r="AF188" i="27" s="1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BF99" i="29"/>
  <c r="BF100" i="29" s="1"/>
  <c r="BF101" i="29" s="1"/>
  <c r="BN99" i="29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AV15" i="29"/>
  <c r="C68" i="28"/>
  <c r="K68" i="28"/>
  <c r="N68" i="28"/>
  <c r="S68" i="28"/>
  <c r="G77" i="28"/>
  <c r="K77" i="28"/>
  <c r="R77" i="28"/>
  <c r="T77" i="28"/>
  <c r="W77" i="28"/>
  <c r="AJ100" i="30"/>
  <c r="AD175" i="27"/>
  <c r="AE188" i="30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Y31" i="27"/>
  <c r="Z31" i="27"/>
  <c r="F21" i="28"/>
  <c r="F7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N21" i="28"/>
  <c r="N7" i="28" s="1"/>
  <c r="D42" i="28"/>
  <c r="D28" i="28" s="1"/>
  <c r="AU120" i="31"/>
  <c r="AU59" i="29"/>
  <c r="BS99" i="29"/>
  <c r="BS100" i="29" s="1"/>
  <c r="BS101" i="29" s="1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Q21" i="28"/>
  <c r="Q7" i="28" s="1"/>
  <c r="V21" i="28"/>
  <c r="V7" i="28" s="1"/>
  <c r="CA120" i="31"/>
  <c r="CA59" i="29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C42" i="28"/>
  <c r="C28" i="28" s="1"/>
  <c r="L42" i="28"/>
  <c r="L28" i="28" s="1"/>
  <c r="DD59" i="29"/>
  <c r="DD120" i="31"/>
  <c r="AY69" i="29"/>
  <c r="BL99" i="29"/>
  <c r="BL100" i="29" s="1"/>
  <c r="BL101" i="29" s="1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Y7" i="28"/>
  <c r="Y21" i="28"/>
  <c r="BM99" i="29"/>
  <c r="BM100" i="29" s="1"/>
  <c r="BM101" i="29" s="1"/>
  <c r="BI105" i="30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U187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V187" i="27"/>
  <c r="AC195" i="27"/>
  <c r="AE195" i="27" s="1"/>
  <c r="BI91" i="30"/>
  <c r="AF97" i="30"/>
  <c r="BV97" i="30"/>
  <c r="AI179" i="27"/>
  <c r="W187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C171" i="27"/>
  <c r="AE90" i="30"/>
  <c r="BN93" i="30"/>
  <c r="AH96" i="30"/>
  <c r="AV97" i="30"/>
  <c r="AT99" i="30"/>
  <c r="BV99" i="30"/>
  <c r="BF100" i="30"/>
  <c r="AU105" i="30"/>
  <c r="BI106" i="30"/>
  <c r="AC179" i="27"/>
  <c r="AE179" i="27" s="1"/>
  <c r="AG195" i="27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X273" i="30"/>
  <c r="AC187" i="27"/>
  <c r="AE187" i="27" s="1"/>
  <c r="BC90" i="30"/>
  <c r="AE93" i="30"/>
  <c r="AB99" i="30"/>
  <c r="BB99" i="30"/>
  <c r="K111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C2" i="28"/>
  <c r="K2" i="28"/>
  <c r="S2" i="28"/>
  <c r="Q2" i="28"/>
  <c r="Y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109" i="29" s="1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75" i="29"/>
  <c r="BJ64" i="29"/>
  <c r="BJ75" i="29"/>
  <c r="BR64" i="29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76" i="29"/>
  <c r="BL65" i="29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BF77" i="29"/>
  <c r="BF66" i="29"/>
  <c r="BN77" i="29"/>
  <c r="BN66" i="29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78" i="29"/>
  <c r="BH67" i="29"/>
  <c r="BH78" i="29"/>
  <c r="BP67" i="29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N79" i="29"/>
  <c r="BN68" i="29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CU76" i="29"/>
  <c r="CU65" i="29"/>
  <c r="BR66" i="29"/>
  <c r="BR77" i="29"/>
  <c r="DI66" i="29"/>
  <c r="DI77" i="29"/>
  <c r="CK80" i="29"/>
  <c r="CK69" i="29"/>
  <c r="DU80" i="29"/>
  <c r="DU69" i="29"/>
  <c r="CE77" i="29"/>
  <c r="E3" i="28"/>
  <c r="M3" i="28"/>
  <c r="U3" i="28"/>
  <c r="BF3" i="28"/>
  <c r="BK3" i="28" s="1"/>
  <c r="J4" i="28"/>
  <c r="J2" i="28" s="1"/>
  <c r="R4" i="28"/>
  <c r="R2" i="28" s="1"/>
  <c r="Z4" i="28"/>
  <c r="Z2" i="28" s="1"/>
  <c r="G5" i="28"/>
  <c r="O5" i="28"/>
  <c r="W5" i="28"/>
  <c r="C19" i="28"/>
  <c r="C6" i="28" s="1"/>
  <c r="H20" i="28"/>
  <c r="P20" i="28"/>
  <c r="X20" i="28"/>
  <c r="G46" i="28"/>
  <c r="O46" i="28"/>
  <c r="W46" i="28"/>
  <c r="BB72" i="29"/>
  <c r="BB61" i="29"/>
  <c r="BJ72" i="29"/>
  <c r="BJ61" i="29"/>
  <c r="BJ107" i="29" s="1"/>
  <c r="BR72" i="29"/>
  <c r="BR61" i="29"/>
  <c r="BR107" i="29" s="1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AV73" i="29"/>
  <c r="AV62" i="29"/>
  <c r="AV108" i="29" s="1"/>
  <c r="BD73" i="29"/>
  <c r="BD62" i="29"/>
  <c r="BD108" i="29" s="1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109" i="29" s="1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K75" i="29"/>
  <c r="BK64" i="29"/>
  <c r="BS75" i="29"/>
  <c r="BS64" i="29"/>
  <c r="CH75" i="29"/>
  <c r="CH64" i="29"/>
  <c r="CP75" i="29"/>
  <c r="CP64" i="29"/>
  <c r="CX75" i="29"/>
  <c r="CX64" i="29"/>
  <c r="DR75" i="29"/>
  <c r="DR64" i="29"/>
  <c r="DZ75" i="29"/>
  <c r="DZ64" i="29"/>
  <c r="AW65" i="29"/>
  <c r="AW76" i="29"/>
  <c r="BE65" i="29"/>
  <c r="BE76" i="29"/>
  <c r="BM65" i="29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BG77" i="29"/>
  <c r="BG66" i="29"/>
  <c r="BO77" i="29"/>
  <c r="BO66" i="29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Q78" i="29"/>
  <c r="BQ67" i="29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BG79" i="29"/>
  <c r="BG68" i="29"/>
  <c r="BO79" i="29"/>
  <c r="BO68" i="29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CI78" i="29"/>
  <c r="CI67" i="29"/>
  <c r="DS78" i="29"/>
  <c r="DS67" i="29"/>
  <c r="BQ79" i="29"/>
  <c r="BQ68" i="29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109" i="29" s="1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CW78" i="29"/>
  <c r="CW67" i="29"/>
  <c r="DQ78" i="29"/>
  <c r="DQ67" i="29"/>
  <c r="BP79" i="29"/>
  <c r="BP68" i="29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T201" i="28" s="1"/>
  <c r="T212" i="28" s="1"/>
  <c r="Y5" i="28"/>
  <c r="I46" i="28"/>
  <c r="Q46" i="28"/>
  <c r="Y46" i="28"/>
  <c r="BS60" i="29"/>
  <c r="CH71" i="29"/>
  <c r="CH60" i="29"/>
  <c r="CP71" i="29"/>
  <c r="CP60" i="29"/>
  <c r="CX71" i="29"/>
  <c r="CX60" i="29"/>
  <c r="DJ71" i="29"/>
  <c r="DJ60" i="29"/>
  <c r="DR71" i="29"/>
  <c r="DR60" i="29"/>
  <c r="AV61" i="29"/>
  <c r="AV72" i="29"/>
  <c r="BD61" i="29"/>
  <c r="BD107" i="29" s="1"/>
  <c r="BD72" i="29"/>
  <c r="BL61" i="29"/>
  <c r="BL107" i="29" s="1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AX108" i="29" s="1"/>
  <c r="BF73" i="29"/>
  <c r="BF62" i="29"/>
  <c r="BF108" i="29" s="1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BO109" i="29" s="1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BE75" i="29"/>
  <c r="BE64" i="29"/>
  <c r="BM75" i="29"/>
  <c r="BM64" i="29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BG76" i="29"/>
  <c r="BG65" i="29"/>
  <c r="BO76" i="29"/>
  <c r="BO65" i="29"/>
  <c r="CD76" i="29"/>
  <c r="CD65" i="29"/>
  <c r="CT76" i="29"/>
  <c r="CT65" i="29"/>
  <c r="DF76" i="29"/>
  <c r="DF65" i="29"/>
  <c r="DN76" i="29"/>
  <c r="DN65" i="29"/>
  <c r="DV76" i="29"/>
  <c r="DV65" i="29"/>
  <c r="BA66" i="29"/>
  <c r="BA77" i="29"/>
  <c r="BI66" i="29"/>
  <c r="BI77" i="29"/>
  <c r="BQ66" i="29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K78" i="29"/>
  <c r="BK67" i="29"/>
  <c r="BS78" i="29"/>
  <c r="BS67" i="29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108" i="29" s="1"/>
  <c r="BA73" i="29"/>
  <c r="CN62" i="29"/>
  <c r="CN73" i="29"/>
  <c r="DX62" i="29"/>
  <c r="DX73" i="29"/>
  <c r="BI74" i="29"/>
  <c r="BI63" i="29"/>
  <c r="BI109" i="29" s="1"/>
  <c r="AX75" i="29"/>
  <c r="AX64" i="29"/>
  <c r="DU75" i="29"/>
  <c r="DU64" i="29"/>
  <c r="BD78" i="29"/>
  <c r="BD67" i="29"/>
  <c r="CQ78" i="29"/>
  <c r="CQ67" i="29"/>
  <c r="EA78" i="29"/>
  <c r="EA67" i="29"/>
  <c r="CF79" i="29"/>
  <c r="CF68" i="29"/>
  <c r="DP79" i="29"/>
  <c r="DP68" i="29"/>
  <c r="DT33" i="29"/>
  <c r="BE99" i="29"/>
  <c r="BI67" i="29"/>
  <c r="BS61" i="29"/>
  <c r="BS107" i="29" s="1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CY75" i="29"/>
  <c r="CY64" i="29"/>
  <c r="BF65" i="29"/>
  <c r="BF76" i="29"/>
  <c r="DE65" i="29"/>
  <c r="DE76" i="29"/>
  <c r="AZ66" i="29"/>
  <c r="AZ77" i="29"/>
  <c r="DW66" i="29"/>
  <c r="DW77" i="29"/>
  <c r="CO78" i="29"/>
  <c r="CO67" i="29"/>
  <c r="AZ79" i="29"/>
  <c r="AZ68" i="29"/>
  <c r="CU79" i="29"/>
  <c r="CU68" i="29"/>
  <c r="BR80" i="29"/>
  <c r="BR69" i="29"/>
  <c r="CW80" i="29"/>
  <c r="CW69" i="29"/>
  <c r="BQ60" i="29"/>
  <c r="BQ71" i="29"/>
  <c r="DM75" i="29"/>
  <c r="DM64" i="29"/>
  <c r="DQ66" i="29"/>
  <c r="DQ77" i="29"/>
  <c r="CS80" i="29"/>
  <c r="CS69" i="29"/>
  <c r="Q5" i="28"/>
  <c r="J20" i="28"/>
  <c r="H3" i="28"/>
  <c r="H201" i="28" s="1"/>
  <c r="H212" i="28" s="1"/>
  <c r="P3" i="28"/>
  <c r="P201" i="28" s="1"/>
  <c r="P212" i="28" s="1"/>
  <c r="X3" i="28"/>
  <c r="X201" i="28" s="1"/>
  <c r="X212" i="28" s="1"/>
  <c r="E4" i="28"/>
  <c r="M4" i="28"/>
  <c r="U4" i="28"/>
  <c r="J5" i="28"/>
  <c r="R5" i="28"/>
  <c r="Z5" i="28"/>
  <c r="C20" i="28"/>
  <c r="K20" i="28"/>
  <c r="S20" i="28"/>
  <c r="J46" i="28"/>
  <c r="R46" i="28"/>
  <c r="Z46" i="28"/>
  <c r="AV60" i="29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72" i="29"/>
  <c r="BE61" i="29"/>
  <c r="BE107" i="29" s="1"/>
  <c r="BE72" i="29"/>
  <c r="BM61" i="29"/>
  <c r="BM107" i="29" s="1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108" i="29" s="1"/>
  <c r="AY73" i="29"/>
  <c r="BG62" i="29"/>
  <c r="BG108" i="29" s="1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AZ109" i="29" s="1"/>
  <c r="BH74" i="29"/>
  <c r="BH63" i="29"/>
  <c r="BH109" i="29" s="1"/>
  <c r="BP74" i="29"/>
  <c r="BP63" i="29"/>
  <c r="BP109" i="29" s="1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Q109" i="29" s="1"/>
  <c r="BF75" i="29"/>
  <c r="BF64" i="29"/>
  <c r="CE76" i="29"/>
  <c r="CE65" i="29"/>
  <c r="DO76" i="29"/>
  <c r="DO65" i="29"/>
  <c r="BB66" i="29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76" i="29"/>
  <c r="CS65" i="29"/>
  <c r="CS76" i="29"/>
  <c r="BP66" i="29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Z20" i="28"/>
  <c r="Q37" i="28"/>
  <c r="I3" i="28"/>
  <c r="I201" i="28" s="1"/>
  <c r="I212" i="28" s="1"/>
  <c r="F4" i="28"/>
  <c r="F2" i="28" s="1"/>
  <c r="N4" i="28"/>
  <c r="V4" i="28"/>
  <c r="V2" i="28" s="1"/>
  <c r="C5" i="28"/>
  <c r="K5" i="28"/>
  <c r="S5" i="28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72" i="29"/>
  <c r="BF61" i="29"/>
  <c r="BF107" i="29" s="1"/>
  <c r="BF72" i="29"/>
  <c r="BN61" i="29"/>
  <c r="BN107" i="29" s="1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108" i="29" s="1"/>
  <c r="AZ73" i="29"/>
  <c r="BH62" i="29"/>
  <c r="BH108" i="29" s="1"/>
  <c r="BH73" i="29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BG75" i="29"/>
  <c r="BG64" i="29"/>
  <c r="BO75" i="29"/>
  <c r="BO64" i="29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79" i="29"/>
  <c r="BK68" i="29"/>
  <c r="BK79" i="29"/>
  <c r="BS68" i="29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DX72" i="29"/>
  <c r="DX61" i="29"/>
  <c r="BI62" i="29"/>
  <c r="BI108" i="29" s="1"/>
  <c r="BI73" i="29"/>
  <c r="CV62" i="29"/>
  <c r="CV73" i="29"/>
  <c r="CF74" i="29"/>
  <c r="CF63" i="29"/>
  <c r="BN75" i="29"/>
  <c r="BN64" i="29"/>
  <c r="BL78" i="29"/>
  <c r="BL67" i="29"/>
  <c r="CY78" i="29"/>
  <c r="CY67" i="29"/>
  <c r="BA79" i="29"/>
  <c r="BA68" i="29"/>
  <c r="CN79" i="29"/>
  <c r="CN68" i="29"/>
  <c r="DX79" i="29"/>
  <c r="DX68" i="29"/>
  <c r="DU68" i="29"/>
  <c r="CM75" i="29"/>
  <c r="DE63" i="29"/>
  <c r="DE74" i="29"/>
  <c r="BL75" i="29"/>
  <c r="BL64" i="29"/>
  <c r="DK75" i="29"/>
  <c r="DK64" i="29"/>
  <c r="BN65" i="29"/>
  <c r="BN76" i="29"/>
  <c r="DM65" i="29"/>
  <c r="DM76" i="29"/>
  <c r="BH66" i="29"/>
  <c r="BH77" i="29"/>
  <c r="DO66" i="29"/>
  <c r="DO77" i="29"/>
  <c r="BR78" i="29"/>
  <c r="BR67" i="29"/>
  <c r="DY78" i="29"/>
  <c r="DY67" i="29"/>
  <c r="CM79" i="29"/>
  <c r="CM68" i="29"/>
  <c r="DH60" i="29"/>
  <c r="DH71" i="29"/>
  <c r="BP76" i="29"/>
  <c r="BP65" i="29"/>
  <c r="CG66" i="29"/>
  <c r="CG77" i="29"/>
  <c r="G3" i="28"/>
  <c r="D4" i="28"/>
  <c r="D2" i="28" s="1"/>
  <c r="C182" i="31"/>
  <c r="D182" i="31" s="1"/>
  <c r="AJ215" i="31" s="1"/>
  <c r="X233" i="30"/>
  <c r="C306" i="31" s="1"/>
  <c r="X271" i="30"/>
  <c r="R20" i="28"/>
  <c r="O4" i="28"/>
  <c r="L5" i="28"/>
  <c r="L201" i="28" s="1"/>
  <c r="L212" i="28" s="1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BG72" i="29"/>
  <c r="BG61" i="29"/>
  <c r="BG107" i="29" s="1"/>
  <c r="BO72" i="29"/>
  <c r="BO61" i="29"/>
  <c r="BO107" i="29" s="1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B109" i="29" s="1"/>
  <c r="BJ74" i="29"/>
  <c r="BJ63" i="29"/>
  <c r="BJ109" i="29" s="1"/>
  <c r="BR74" i="29"/>
  <c r="BR63" i="29"/>
  <c r="BR109" i="29" s="1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75" i="29"/>
  <c r="BH64" i="29"/>
  <c r="BH75" i="29"/>
  <c r="BP64" i="29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J76" i="29"/>
  <c r="BJ65" i="29"/>
  <c r="BR76" i="29"/>
  <c r="BR65" i="29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BD77" i="29"/>
  <c r="BD66" i="29"/>
  <c r="BL77" i="29"/>
  <c r="BL66" i="29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78" i="29"/>
  <c r="BF67" i="29"/>
  <c r="BF78" i="29"/>
  <c r="BN67" i="29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79" i="29"/>
  <c r="BD68" i="29"/>
  <c r="BD79" i="29"/>
  <c r="BL68" i="29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CM76" i="29"/>
  <c r="CM65" i="29"/>
  <c r="DW76" i="29"/>
  <c r="DW65" i="29"/>
  <c r="BJ66" i="29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DS75" i="29"/>
  <c r="DS64" i="29"/>
  <c r="CC65" i="29"/>
  <c r="CC76" i="29"/>
  <c r="DU65" i="29"/>
  <c r="DU76" i="29"/>
  <c r="CM66" i="29"/>
  <c r="CM77" i="29"/>
  <c r="BJ78" i="29"/>
  <c r="BJ67" i="29"/>
  <c r="BH79" i="29"/>
  <c r="BH68" i="29"/>
  <c r="DW79" i="29"/>
  <c r="DW68" i="29"/>
  <c r="DQ80" i="29"/>
  <c r="DQ69" i="29"/>
  <c r="BA74" i="29"/>
  <c r="BA63" i="29"/>
  <c r="BA109" i="29" s="1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BH72" i="29"/>
  <c r="BH61" i="29"/>
  <c r="BH107" i="29" s="1"/>
  <c r="BP72" i="29"/>
  <c r="BP61" i="29"/>
  <c r="BP107" i="29" s="1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BK109" i="29" s="1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75" i="29"/>
  <c r="BI64" i="29"/>
  <c r="BI75" i="29"/>
  <c r="BQ64" i="29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K76" i="29"/>
  <c r="BK65" i="29"/>
  <c r="BS76" i="29"/>
  <c r="BS65" i="29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BE77" i="29"/>
  <c r="BE66" i="29"/>
  <c r="BM77" i="29"/>
  <c r="BM66" i="29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78" i="29"/>
  <c r="BG67" i="29"/>
  <c r="BG78" i="29"/>
  <c r="BO67" i="29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79" i="29"/>
  <c r="BE68" i="29"/>
  <c r="BE79" i="29"/>
  <c r="BM68" i="29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71" i="29"/>
  <c r="BJ60" i="29"/>
  <c r="BJ71" i="29"/>
  <c r="BR60" i="29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108" i="29" s="1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I76" i="29"/>
  <c r="BI65" i="29"/>
  <c r="BQ76" i="29"/>
  <c r="BQ65" i="29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77" i="29"/>
  <c r="BK66" i="29"/>
  <c r="BK77" i="29"/>
  <c r="BS66" i="29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D71" i="29" s="1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BG100" i="29" s="1"/>
  <c r="BG101" i="29" s="1"/>
  <c r="CJ78" i="29"/>
  <c r="BR79" i="29"/>
  <c r="BO99" i="29"/>
  <c r="BO100" i="29" s="1"/>
  <c r="BO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C109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D109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CO79" i="29"/>
  <c r="CD80" i="29"/>
  <c r="BZ110" i="29"/>
  <c r="BZ75" i="29"/>
  <c r="DC68" i="29"/>
  <c r="DC45" i="29"/>
  <c r="DC20" i="29"/>
  <c r="DC53" i="29" s="1"/>
  <c r="AY26" i="29"/>
  <c r="AY60" i="29" s="1"/>
  <c r="BG26" i="29"/>
  <c r="BG60" i="29" s="1"/>
  <c r="BO26" i="29"/>
  <c r="BO60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C108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E109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R99" i="29"/>
  <c r="BR100" i="29" s="1"/>
  <c r="BR101" i="29" s="1"/>
  <c r="DC46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BH26" i="29"/>
  <c r="BH71" i="29" s="1"/>
  <c r="BP26" i="29"/>
  <c r="BP60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AX109" i="29" s="1"/>
  <c r="BF29" i="29"/>
  <c r="BF63" i="29" s="1"/>
  <c r="BF109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BJ100" i="29"/>
  <c r="BJ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N100" i="29"/>
  <c r="BN101" i="29" s="1"/>
  <c r="BK100" i="29"/>
  <c r="BK101" i="29" s="1"/>
  <c r="CT100" i="29"/>
  <c r="CT101" i="29" s="1"/>
  <c r="DW100" i="29"/>
  <c r="DW101" i="29" s="1"/>
  <c r="CL100" i="29"/>
  <c r="CL101" i="29" s="1"/>
  <c r="AX100" i="29"/>
  <c r="AX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I26" i="29"/>
  <c r="BI60" i="29" s="1"/>
  <c r="CE26" i="29"/>
  <c r="CM26" i="29"/>
  <c r="DF26" i="29"/>
  <c r="DN26" i="29"/>
  <c r="BC27" i="29"/>
  <c r="BC72" i="29" s="1"/>
  <c r="BK27" i="29"/>
  <c r="BK61" i="29" s="1"/>
  <c r="BK107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J186" i="30"/>
  <c r="AI186" i="30"/>
  <c r="AG186" i="30"/>
  <c r="AF186" i="30"/>
  <c r="W186" i="30"/>
  <c r="V186" i="30"/>
  <c r="U186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B169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K113" i="30" s="1"/>
  <c r="T136" i="30"/>
  <c r="K114" i="30" s="1"/>
  <c r="T132" i="30"/>
  <c r="K110" i="30" s="1"/>
  <c r="AC167" i="30"/>
  <c r="AA203" i="30"/>
  <c r="AD105" i="30"/>
  <c r="AL105" i="30"/>
  <c r="AT105" i="30"/>
  <c r="BB105" i="30"/>
  <c r="BJ105" i="30"/>
  <c r="BR105" i="30"/>
  <c r="Z135" i="30"/>
  <c r="AA135" i="30" s="1"/>
  <c r="AC165" i="30"/>
  <c r="AF165" i="30" s="1"/>
  <c r="AF166" i="30"/>
  <c r="U166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U168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V168" i="30"/>
  <c r="AF168" i="30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68" i="30"/>
  <c r="AG168" i="30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L114" i="30"/>
  <c r="X132" i="30"/>
  <c r="Y132" i="30" s="1"/>
  <c r="V165" i="30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W165" i="30"/>
  <c r="AJ168" i="30"/>
  <c r="AG177" i="30"/>
  <c r="AE177" i="30"/>
  <c r="W177" i="30"/>
  <c r="V177" i="30"/>
  <c r="U177" i="30"/>
  <c r="U181" i="30"/>
  <c r="AB184" i="30"/>
  <c r="AF185" i="30"/>
  <c r="AA187" i="30"/>
  <c r="AC192" i="30"/>
  <c r="AE192" i="30" s="1"/>
  <c r="AA195" i="30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D175" i="30"/>
  <c r="AB175" i="30"/>
  <c r="AG179" i="30"/>
  <c r="AF184" i="30"/>
  <c r="AG185" i="30"/>
  <c r="AB187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J213" i="30"/>
  <c r="AC219" i="30"/>
  <c r="U226" i="30"/>
  <c r="AF204" i="30"/>
  <c r="AC206" i="30"/>
  <c r="AJ208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U208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A188" i="30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W208" i="30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BZ127" i="31"/>
  <c r="BZ104" i="31"/>
  <c r="BZ81" i="31"/>
  <c r="BZ115" i="31" s="1"/>
  <c r="BZ93" i="31"/>
  <c r="AJ183" i="30"/>
  <c r="U188" i="30"/>
  <c r="AJ191" i="30"/>
  <c r="AA194" i="30"/>
  <c r="U196" i="30"/>
  <c r="AJ199" i="30"/>
  <c r="U204" i="30"/>
  <c r="AJ207" i="30"/>
  <c r="AG208" i="30"/>
  <c r="AA210" i="30"/>
  <c r="U212" i="30"/>
  <c r="AJ215" i="30"/>
  <c r="AG216" i="30"/>
  <c r="AA218" i="30"/>
  <c r="U220" i="30"/>
  <c r="AJ223" i="30"/>
  <c r="AG224" i="30"/>
  <c r="AK231" i="31"/>
  <c r="AO231" i="31" s="1"/>
  <c r="AR231" i="31" s="1"/>
  <c r="AS231" i="31" s="1"/>
  <c r="AN217" i="31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N132" i="31" s="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H129" i="31"/>
  <c r="C119" i="31"/>
  <c r="D119" i="31" s="1"/>
  <c r="C122" i="31"/>
  <c r="D122" i="31" s="1"/>
  <c r="H134" i="31"/>
  <c r="C116" i="31"/>
  <c r="D116" i="31" s="1"/>
  <c r="P138" i="31"/>
  <c r="P141" i="31" s="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R137" i="31" s="1"/>
  <c r="Z138" i="31"/>
  <c r="Z134" i="31"/>
  <c r="Z137" i="31" s="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T137" i="31" s="1"/>
  <c r="AB138" i="31"/>
  <c r="AB141" i="31" s="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R132" i="31" s="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O137" i="31" s="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AF170" i="27"/>
  <c r="W170" i="27"/>
  <c r="AA33" i="27"/>
  <c r="X33" i="27"/>
  <c r="Z33" i="27"/>
  <c r="Y33" i="27"/>
  <c r="W33" i="27"/>
  <c r="AC33" i="27"/>
  <c r="V166" i="27"/>
  <c r="U166" i="27"/>
  <c r="AJ166" i="27"/>
  <c r="AI166" i="27"/>
  <c r="W166" i="27"/>
  <c r="AG166" i="27"/>
  <c r="AF166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Z25" i="27"/>
  <c r="V168" i="27"/>
  <c r="U168" i="27"/>
  <c r="W168" i="27"/>
  <c r="AJ168" i="27"/>
  <c r="AG168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V176" i="27"/>
  <c r="AI176" i="27"/>
  <c r="AG176" i="27"/>
  <c r="AC183" i="27"/>
  <c r="W184" i="27"/>
  <c r="AI185" i="27"/>
  <c r="AF185" i="27"/>
  <c r="AE185" i="27"/>
  <c r="W185" i="27"/>
  <c r="V185" i="27"/>
  <c r="AA186" i="27"/>
  <c r="AB187" i="27"/>
  <c r="AB200" i="27"/>
  <c r="AC200" i="27"/>
  <c r="V202" i="27"/>
  <c r="AJ205" i="27"/>
  <c r="AF205" i="27"/>
  <c r="AG205" i="27"/>
  <c r="U205" i="27"/>
  <c r="AA173" i="27"/>
  <c r="AF203" i="27"/>
  <c r="V203" i="27"/>
  <c r="AJ203" i="27"/>
  <c r="W203" i="27"/>
  <c r="AI203" i="27"/>
  <c r="U203" i="27"/>
  <c r="AB28" i="27"/>
  <c r="AB31" i="27"/>
  <c r="AC28" i="27"/>
  <c r="AC31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B178" i="27"/>
  <c r="AB186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B175" i="27"/>
  <c r="AG180" i="27"/>
  <c r="W180" i="27"/>
  <c r="V180" i="27"/>
  <c r="U180" i="27"/>
  <c r="AE184" i="27"/>
  <c r="AC186" i="27"/>
  <c r="U195" i="27"/>
  <c r="AF202" i="27"/>
  <c r="AC204" i="27"/>
  <c r="AA204" i="27"/>
  <c r="W205" i="27"/>
  <c r="X28" i="27"/>
  <c r="X31" i="27"/>
  <c r="S228" i="27"/>
  <c r="AA169" i="27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B164" i="27"/>
  <c r="AA176" i="27"/>
  <c r="AE181" i="27"/>
  <c r="AB182" i="27"/>
  <c r="AJ184" i="27"/>
  <c r="AG185" i="27"/>
  <c r="AA188" i="27"/>
  <c r="AA190" i="27"/>
  <c r="AA193" i="27"/>
  <c r="AG196" i="27"/>
  <c r="AB204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C197" i="27"/>
  <c r="AA203" i="27"/>
  <c r="AC205" i="27"/>
  <c r="AG188" i="27" l="1"/>
  <c r="AD165" i="27"/>
  <c r="U164" i="30"/>
  <c r="W164" i="30"/>
  <c r="AF189" i="30"/>
  <c r="AE166" i="27"/>
  <c r="AD195" i="27"/>
  <c r="AH195" i="27" s="1"/>
  <c r="AD189" i="30"/>
  <c r="AJ189" i="30" s="1"/>
  <c r="O17" i="28"/>
  <c r="AG169" i="30"/>
  <c r="AD167" i="27"/>
  <c r="AH167" i="27" s="1"/>
  <c r="AD174" i="27"/>
  <c r="AH174" i="27" s="1"/>
  <c r="AE172" i="27"/>
  <c r="AH189" i="30"/>
  <c r="AI169" i="30"/>
  <c r="AE168" i="27"/>
  <c r="AE208" i="30"/>
  <c r="V169" i="30"/>
  <c r="V172" i="27"/>
  <c r="AF171" i="27"/>
  <c r="AG172" i="27"/>
  <c r="AI172" i="27"/>
  <c r="U171" i="27"/>
  <c r="AD172" i="27"/>
  <c r="AH172" i="27" s="1"/>
  <c r="AF174" i="30"/>
  <c r="AF169" i="30"/>
  <c r="AF172" i="27"/>
  <c r="U172" i="27"/>
  <c r="AG189" i="30"/>
  <c r="V164" i="30"/>
  <c r="V174" i="30"/>
  <c r="U174" i="30"/>
  <c r="AE164" i="30"/>
  <c r="AG171" i="27"/>
  <c r="AF164" i="30"/>
  <c r="AJ171" i="27"/>
  <c r="W171" i="27"/>
  <c r="V189" i="30"/>
  <c r="AG164" i="30"/>
  <c r="W189" i="30"/>
  <c r="AE189" i="30"/>
  <c r="W174" i="30"/>
  <c r="W166" i="30"/>
  <c r="W169" i="30"/>
  <c r="AE170" i="27"/>
  <c r="AI170" i="27"/>
  <c r="U170" i="27"/>
  <c r="AD171" i="30"/>
  <c r="AH171" i="30" s="1"/>
  <c r="AD179" i="27"/>
  <c r="AH179" i="27" s="1"/>
  <c r="AD173" i="27"/>
  <c r="AH173" i="27" s="1"/>
  <c r="AA240" i="30"/>
  <c r="C310" i="31"/>
  <c r="AD169" i="27"/>
  <c r="AH169" i="27" s="1"/>
  <c r="AE169" i="30"/>
  <c r="AD168" i="30"/>
  <c r="V166" i="30"/>
  <c r="W164" i="27"/>
  <c r="V164" i="27"/>
  <c r="AF164" i="27"/>
  <c r="AE168" i="30"/>
  <c r="AG164" i="27"/>
  <c r="AI166" i="30"/>
  <c r="AI164" i="27"/>
  <c r="U165" i="30"/>
  <c r="AJ166" i="30"/>
  <c r="AD188" i="30"/>
  <c r="AH188" i="30" s="1"/>
  <c r="AD188" i="27"/>
  <c r="AI188" i="27" s="1"/>
  <c r="AD174" i="30"/>
  <c r="AH174" i="30" s="1"/>
  <c r="AJ174" i="30"/>
  <c r="AD203" i="27"/>
  <c r="AH203" i="27" s="1"/>
  <c r="AI147" i="30"/>
  <c r="W126" i="30" s="1"/>
  <c r="AG174" i="30"/>
  <c r="AF188" i="30"/>
  <c r="O201" i="28"/>
  <c r="O212" i="28" s="1"/>
  <c r="AD201" i="27"/>
  <c r="AH201" i="27" s="1"/>
  <c r="AJ172" i="27"/>
  <c r="AG187" i="27"/>
  <c r="W201" i="28"/>
  <c r="W212" i="28" s="1"/>
  <c r="AI188" i="30"/>
  <c r="W188" i="30"/>
  <c r="AD187" i="27"/>
  <c r="AJ187" i="27" s="1"/>
  <c r="AF187" i="27"/>
  <c r="BG3" i="28"/>
  <c r="AD193" i="27"/>
  <c r="AH193" i="27" s="1"/>
  <c r="BH3" i="28"/>
  <c r="G201" i="28"/>
  <c r="G212" i="28" s="1"/>
  <c r="AD187" i="30"/>
  <c r="AJ187" i="30" s="1"/>
  <c r="BI3" i="28"/>
  <c r="S201" i="28"/>
  <c r="S212" i="28" s="1"/>
  <c r="Y201" i="28"/>
  <c r="Y212" i="28" s="1"/>
  <c r="K201" i="28"/>
  <c r="K212" i="28" s="1"/>
  <c r="Q201" i="28"/>
  <c r="Q212" i="28" s="1"/>
  <c r="C191" i="31"/>
  <c r="D191" i="31" s="1"/>
  <c r="Y17" i="28"/>
  <c r="B109" i="29"/>
  <c r="B112" i="29" s="1"/>
  <c r="K19" i="28"/>
  <c r="T2" i="28"/>
  <c r="AD170" i="30"/>
  <c r="AJ170" i="30" s="1"/>
  <c r="K17" i="28"/>
  <c r="AI101" i="30"/>
  <c r="BZ96" i="30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E60" i="29"/>
  <c r="AD206" i="30"/>
  <c r="AH206" i="30" s="1"/>
  <c r="BN71" i="29"/>
  <c r="C34" i="28"/>
  <c r="AD192" i="30"/>
  <c r="AH192" i="30" s="1"/>
  <c r="AW63" i="29"/>
  <c r="AW109" i="29" s="1"/>
  <c r="AE174" i="30"/>
  <c r="BG71" i="29"/>
  <c r="AW69" i="29"/>
  <c r="BL3" i="28"/>
  <c r="CJ79" i="30"/>
  <c r="AV63" i="29"/>
  <c r="AV109" i="29" s="1"/>
  <c r="AV80" i="29"/>
  <c r="AB101" i="30"/>
  <c r="BZ89" i="30" s="1"/>
  <c r="BC61" i="29"/>
  <c r="AO94" i="30"/>
  <c r="BY102" i="30" s="1"/>
  <c r="D34" i="28"/>
  <c r="D201" i="28"/>
  <c r="D212" i="28" s="1"/>
  <c r="AH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7" i="28"/>
  <c r="T21" i="28"/>
  <c r="Z21" i="28"/>
  <c r="Z7" i="28" s="1"/>
  <c r="BL60" i="29"/>
  <c r="S21" i="28"/>
  <c r="S7" i="28" s="1"/>
  <c r="AY63" i="29"/>
  <c r="AY109" i="29" s="1"/>
  <c r="AW62" i="29"/>
  <c r="AW108" i="29" s="1"/>
  <c r="H21" i="28"/>
  <c r="H7" i="28" s="1"/>
  <c r="AZ71" i="29"/>
  <c r="AZ83" i="29" s="1"/>
  <c r="BG63" i="29"/>
  <c r="BG109" i="29" s="1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N2" i="28"/>
  <c r="N201" i="28"/>
  <c r="N212" i="28" s="1"/>
  <c r="K21" i="28"/>
  <c r="K7" i="28" s="1"/>
  <c r="I15" i="28"/>
  <c r="S19" i="28"/>
  <c r="U201" i="28"/>
  <c r="U212" i="28" s="1"/>
  <c r="J201" i="28"/>
  <c r="J212" i="28" s="1"/>
  <c r="Z201" i="28"/>
  <c r="Z212" i="28" s="1"/>
  <c r="V45" i="30"/>
  <c r="BC73" i="29"/>
  <c r="BC84" i="29" s="1"/>
  <c r="AE190" i="27"/>
  <c r="AF190" i="27"/>
  <c r="AD191" i="27"/>
  <c r="AH191" i="27" s="1"/>
  <c r="AD180" i="27"/>
  <c r="AH180" i="27" s="1"/>
  <c r="AE141" i="31"/>
  <c r="L141" i="31"/>
  <c r="Y137" i="31"/>
  <c r="BS94" i="30"/>
  <c r="BH79" i="30"/>
  <c r="C63" i="28"/>
  <c r="C49" i="28" s="1"/>
  <c r="BI61" i="29"/>
  <c r="BI107" i="29" s="1"/>
  <c r="BF60" i="29"/>
  <c r="R21" i="28"/>
  <c r="R7" i="28" s="1"/>
  <c r="D21" i="28"/>
  <c r="D7" i="28" s="1"/>
  <c r="DZ82" i="29"/>
  <c r="BL69" i="29"/>
  <c r="BD60" i="29"/>
  <c r="C21" i="28"/>
  <c r="C7" i="28" s="1"/>
  <c r="BC69" i="29"/>
  <c r="CX117" i="29"/>
  <c r="AC6" i="29" s="1"/>
  <c r="BK60" i="29"/>
  <c r="BQ80" i="29"/>
  <c r="BQ83" i="29" s="1"/>
  <c r="M201" i="28"/>
  <c r="M212" i="28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Q107" i="29" s="1"/>
  <c r="BS63" i="29"/>
  <c r="BS109" i="29" s="1"/>
  <c r="D39" i="28"/>
  <c r="D43" i="28" s="1"/>
  <c r="BF74" i="29"/>
  <c r="BF83" i="29" s="1"/>
  <c r="BM69" i="29"/>
  <c r="K63" i="28"/>
  <c r="K49" i="28" s="1"/>
  <c r="BB69" i="29"/>
  <c r="E201" i="28"/>
  <c r="E212" i="28" s="1"/>
  <c r="S28" i="28"/>
  <c r="S34" i="28" s="1"/>
  <c r="S42" i="28"/>
  <c r="V201" i="28"/>
  <c r="V212" i="28" s="1"/>
  <c r="E21" i="28"/>
  <c r="E7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BK72" i="29"/>
  <c r="BE74" i="29"/>
  <c r="BE82" i="29" s="1"/>
  <c r="BI71" i="29"/>
  <c r="BP71" i="29"/>
  <c r="C41" i="31"/>
  <c r="D41" i="31" s="1"/>
  <c r="R201" i="28"/>
  <c r="R212" i="28" s="1"/>
  <c r="S17" i="28"/>
  <c r="J113" i="30"/>
  <c r="I19" i="28"/>
  <c r="BO71" i="29"/>
  <c r="BE62" i="29"/>
  <c r="BE108" i="29" s="1"/>
  <c r="S49" i="28"/>
  <c r="S55" i="28" s="1"/>
  <c r="S63" i="28"/>
  <c r="DX117" i="29"/>
  <c r="Z7" i="29" s="1"/>
  <c r="U7" i="28"/>
  <c r="U21" i="28"/>
  <c r="S16" i="28"/>
  <c r="BE69" i="29"/>
  <c r="BM60" i="29"/>
  <c r="P32" i="28"/>
  <c r="T32" i="28"/>
  <c r="AD171" i="27"/>
  <c r="F201" i="28"/>
  <c r="F212" i="28" s="1"/>
  <c r="P21" i="28"/>
  <c r="P7" i="28" s="1"/>
  <c r="BH60" i="29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K40" i="28"/>
  <c r="K27" i="28" s="1"/>
  <c r="AD19" i="28"/>
  <c r="AF19" i="28" s="1"/>
  <c r="AK20" i="28" s="1"/>
  <c r="C11" i="28"/>
  <c r="BD74" i="29"/>
  <c r="BD84" i="29" s="1"/>
  <c r="X21" i="28"/>
  <c r="X7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H166" i="30" s="1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1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D279" i="31"/>
  <c r="D292" i="31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BE83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BK84" i="29"/>
  <c r="BK83" i="29"/>
  <c r="BK82" i="29"/>
  <c r="BK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D125" i="31" s="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AZ84" i="29"/>
  <c r="Q36" i="28"/>
  <c r="Q39" i="28" s="1"/>
  <c r="K16" i="28"/>
  <c r="C134" i="31"/>
  <c r="D134" i="31" s="1"/>
  <c r="D111" i="3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D102" i="31" s="1"/>
  <c r="C106" i="31"/>
  <c r="D106" i="31" s="1"/>
  <c r="C98" i="31"/>
  <c r="D98" i="31" s="1"/>
  <c r="C135" i="31"/>
  <c r="D135" i="31" s="1"/>
  <c r="D112" i="3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V171" i="30"/>
  <c r="AG171" i="30"/>
  <c r="AE171" i="30"/>
  <c r="L110" i="30"/>
  <c r="AE218" i="30"/>
  <c r="AG167" i="30"/>
  <c r="V167" i="30"/>
  <c r="AJ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D272" i="31"/>
  <c r="D288" i="31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J114" i="30" s="1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2" i="29"/>
  <c r="BO81" i="29"/>
  <c r="BO84" i="29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17" i="28"/>
  <c r="G16" i="28"/>
  <c r="G15" i="28"/>
  <c r="CG82" i="29"/>
  <c r="CG81" i="29"/>
  <c r="CG84" i="29"/>
  <c r="CG83" i="29"/>
  <c r="L53" i="28"/>
  <c r="DK117" i="29"/>
  <c r="M7" i="29" s="1"/>
  <c r="C133" i="31"/>
  <c r="D133" i="31" s="1"/>
  <c r="D110" i="31"/>
  <c r="C136" i="31"/>
  <c r="D136" i="31" s="1"/>
  <c r="Q141" i="31"/>
  <c r="DC175" i="31"/>
  <c r="DC140" i="31"/>
  <c r="AD202" i="30"/>
  <c r="AH202" i="30" s="1"/>
  <c r="O141" i="31"/>
  <c r="Z132" i="31"/>
  <c r="AC137" i="31"/>
  <c r="P132" i="31"/>
  <c r="H141" i="31"/>
  <c r="C129" i="31"/>
  <c r="D129" i="31" s="1"/>
  <c r="S137" i="31"/>
  <c r="I132" i="31"/>
  <c r="AT231" i="31"/>
  <c r="AW231" i="31" s="1"/>
  <c r="AF222" i="30"/>
  <c r="AE222" i="30"/>
  <c r="W222" i="30"/>
  <c r="V222" i="30"/>
  <c r="U222" i="30"/>
  <c r="AJ222" i="30"/>
  <c r="AI222" i="30"/>
  <c r="AH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AD197" i="27"/>
  <c r="AH197" i="27" s="1"/>
  <c r="AE191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J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I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H166" i="27" s="1"/>
  <c r="AE173" i="27"/>
  <c r="W173" i="27"/>
  <c r="AI173" i="27"/>
  <c r="AJ173" i="27"/>
  <c r="AG173" i="27"/>
  <c r="V173" i="27"/>
  <c r="AF173" i="27"/>
  <c r="U173" i="27"/>
  <c r="AG167" i="27"/>
  <c r="AF167" i="27"/>
  <c r="AE167" i="27"/>
  <c r="W167" i="27"/>
  <c r="V167" i="27"/>
  <c r="U167" i="27"/>
  <c r="AJ167" i="27"/>
  <c r="AI167" i="27"/>
  <c r="AE164" i="27"/>
  <c r="BD81" i="29" l="1"/>
  <c r="BD82" i="29"/>
  <c r="BD83" i="29"/>
  <c r="AH170" i="30"/>
  <c r="AJ188" i="27"/>
  <c r="E6" i="28"/>
  <c r="E181" i="28"/>
  <c r="E196" i="28" s="1"/>
  <c r="I76" i="29" s="1"/>
  <c r="H6" i="28"/>
  <c r="H10" i="28" s="1"/>
  <c r="H11" i="28" s="1"/>
  <c r="H13" i="28" s="1"/>
  <c r="H181" i="28"/>
  <c r="H196" i="28" s="1"/>
  <c r="L76" i="29" s="1"/>
  <c r="F6" i="28"/>
  <c r="F10" i="28" s="1"/>
  <c r="F11" i="28" s="1"/>
  <c r="F13" i="28" s="1"/>
  <c r="F181" i="28"/>
  <c r="F196" i="28" s="1"/>
  <c r="J76" i="29" s="1"/>
  <c r="D6" i="28"/>
  <c r="D10" i="28" s="1"/>
  <c r="D11" i="28" s="1"/>
  <c r="D13" i="28" s="1"/>
  <c r="D181" i="28"/>
  <c r="D196" i="28" s="1"/>
  <c r="H76" i="29" s="1"/>
  <c r="I6" i="28"/>
  <c r="I10" i="28" s="1"/>
  <c r="I11" i="28" s="1"/>
  <c r="I13" i="28" s="1"/>
  <c r="I181" i="28"/>
  <c r="I196" i="28" s="1"/>
  <c r="M76" i="29" s="1"/>
  <c r="G6" i="28"/>
  <c r="G181" i="28"/>
  <c r="G196" i="28" s="1"/>
  <c r="J6" i="28"/>
  <c r="J10" i="28" s="1"/>
  <c r="J181" i="28"/>
  <c r="J196" i="28" s="1"/>
  <c r="U18" i="28"/>
  <c r="AJ188" i="30"/>
  <c r="J110" i="30"/>
  <c r="AJ189" i="27"/>
  <c r="AB240" i="30"/>
  <c r="AC240" i="30" s="1"/>
  <c r="AF240" i="30" s="1"/>
  <c r="BK31" i="28"/>
  <c r="AQ6" i="28" s="1"/>
  <c r="AH167" i="30"/>
  <c r="AI168" i="30"/>
  <c r="AI228" i="30" s="1"/>
  <c r="C133" i="30" s="1"/>
  <c r="J133" i="30" s="1"/>
  <c r="AH168" i="30"/>
  <c r="BS117" i="29"/>
  <c r="AD5" i="29" s="1"/>
  <c r="BE117" i="29"/>
  <c r="P5" i="29" s="1"/>
  <c r="U22" i="28"/>
  <c r="U180" i="28"/>
  <c r="U195" i="28" s="1"/>
  <c r="Y75" i="29" s="1"/>
  <c r="S6" i="28"/>
  <c r="S10" i="28" s="1"/>
  <c r="S11" i="28" s="1"/>
  <c r="S13" i="28" s="1"/>
  <c r="S181" i="28"/>
  <c r="S196" i="28" s="1"/>
  <c r="W76" i="29" s="1"/>
  <c r="U6" i="28"/>
  <c r="U10" i="28" s="1"/>
  <c r="U11" i="28" s="1"/>
  <c r="U13" i="28" s="1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81" i="28"/>
  <c r="N196" i="28" s="1"/>
  <c r="R76" i="29" s="1"/>
  <c r="O6" i="28"/>
  <c r="O181" i="28"/>
  <c r="O196" i="28" s="1"/>
  <c r="S76" i="29" s="1"/>
  <c r="M6" i="28"/>
  <c r="M10" i="28" s="1"/>
  <c r="M11" i="28" s="1"/>
  <c r="M13" i="28" s="1"/>
  <c r="M181" i="28"/>
  <c r="M196" i="28" s="1"/>
  <c r="Q76" i="29" s="1"/>
  <c r="P6" i="28"/>
  <c r="P181" i="28"/>
  <c r="P196" i="28" s="1"/>
  <c r="T76" i="29" s="1"/>
  <c r="L6" i="28"/>
  <c r="L10" i="28" s="1"/>
  <c r="L181" i="28"/>
  <c r="L196" i="28" s="1"/>
  <c r="P76" i="29" s="1"/>
  <c r="BD117" i="29"/>
  <c r="O5" i="29" s="1"/>
  <c r="K6" i="28"/>
  <c r="K181" i="28"/>
  <c r="K196" i="28" s="1"/>
  <c r="O76" i="29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C275" i="31"/>
  <c r="D275" i="31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C13" i="28"/>
  <c r="BM117" i="29"/>
  <c r="X5" i="29" s="1"/>
  <c r="BR117" i="29"/>
  <c r="AC5" i="29" s="1"/>
  <c r="BL31" i="28"/>
  <c r="BF117" i="29"/>
  <c r="Q5" i="29" s="1"/>
  <c r="F202" i="28"/>
  <c r="F213" i="28" s="1"/>
  <c r="F214" i="28" s="1"/>
  <c r="C201" i="28"/>
  <c r="C212" i="28" s="1"/>
  <c r="C202" i="28"/>
  <c r="C213" i="28" s="1"/>
  <c r="Y18" i="28"/>
  <c r="Y180" i="28" s="1"/>
  <c r="Y195" i="28" s="1"/>
  <c r="AC75" i="29" s="1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I180" i="28" s="1"/>
  <c r="I195" i="28" s="1"/>
  <c r="BP82" i="29"/>
  <c r="H18" i="28"/>
  <c r="D18" i="28"/>
  <c r="D180" i="28" s="1"/>
  <c r="D195" i="28" s="1"/>
  <c r="H75" i="29" s="1"/>
  <c r="BP83" i="29"/>
  <c r="BP84" i="29"/>
  <c r="S18" i="28"/>
  <c r="BC82" i="29"/>
  <c r="BJ85" i="29"/>
  <c r="K55" i="28"/>
  <c r="AC30" i="30"/>
  <c r="J34" i="30" s="1"/>
  <c r="C201" i="31" s="1"/>
  <c r="T34" i="28"/>
  <c r="M63" i="28"/>
  <c r="M49" i="28" s="1"/>
  <c r="J53" i="28"/>
  <c r="CS85" i="29"/>
  <c r="Y3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Y83" i="29"/>
  <c r="J32" i="28"/>
  <c r="BF81" i="29"/>
  <c r="E18" i="28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BO85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G53" i="28"/>
  <c r="AO168" i="30"/>
  <c r="C79" i="31" s="1"/>
  <c r="AH186" i="30"/>
  <c r="F53" i="28"/>
  <c r="DR85" i="29"/>
  <c r="H53" i="28"/>
  <c r="W43" i="28"/>
  <c r="C132" i="31"/>
  <c r="D132" i="31" s="1"/>
  <c r="J43" i="28"/>
  <c r="CY85" i="29"/>
  <c r="EB85" i="29"/>
  <c r="CM85" i="29"/>
  <c r="DE85" i="29"/>
  <c r="DM85" i="29"/>
  <c r="X18" i="28"/>
  <c r="K18" i="28"/>
  <c r="D60" i="28"/>
  <c r="D64" i="28" s="1"/>
  <c r="F7" i="29"/>
  <c r="DL85" i="29"/>
  <c r="DY85" i="29"/>
  <c r="W18" i="28"/>
  <c r="DX85" i="29"/>
  <c r="G18" i="28"/>
  <c r="W60" i="28"/>
  <c r="W64" i="28" s="1"/>
  <c r="F39" i="28"/>
  <c r="CP85" i="29"/>
  <c r="AW85" i="29"/>
  <c r="C101" i="31"/>
  <c r="D101" i="31" s="1"/>
  <c r="C105" i="31"/>
  <c r="D105" i="31" s="1"/>
  <c r="C109" i="31"/>
  <c r="D109" i="31" s="1"/>
  <c r="Q43" i="28"/>
  <c r="L60" i="28"/>
  <c r="L64" i="28" s="1"/>
  <c r="CD85" i="29"/>
  <c r="X39" i="28"/>
  <c r="X43" i="28" s="1"/>
  <c r="Q60" i="28"/>
  <c r="Q64" i="28" s="1"/>
  <c r="DK85" i="29"/>
  <c r="Y22" i="28"/>
  <c r="CU85" i="29"/>
  <c r="Q53" i="28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BS85" i="29"/>
  <c r="U60" i="28"/>
  <c r="U64" i="28" s="1"/>
  <c r="CK85" i="29"/>
  <c r="C95" i="31"/>
  <c r="J39" i="30"/>
  <c r="C204" i="31" s="1"/>
  <c r="BD85" i="29"/>
  <c r="CJ85" i="29"/>
  <c r="G64" i="28"/>
  <c r="C128" i="31"/>
  <c r="D128" i="31" s="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BN85" i="29"/>
  <c r="BR85" i="29"/>
  <c r="BH85" i="29"/>
  <c r="N53" i="28"/>
  <c r="BL85" i="29"/>
  <c r="DS85" i="29"/>
  <c r="BM85" i="29"/>
  <c r="L18" i="28"/>
  <c r="DG85" i="29"/>
  <c r="Z39" i="28"/>
  <c r="Z43" i="28" s="1"/>
  <c r="N18" i="28"/>
  <c r="DT85" i="29"/>
  <c r="C18" i="28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I202" i="28" l="1"/>
  <c r="I213" i="28" s="1"/>
  <c r="I214" i="28" s="1"/>
  <c r="S202" i="28"/>
  <c r="S213" i="28" s="1"/>
  <c r="S214" i="28" s="1"/>
  <c r="H202" i="28"/>
  <c r="H213" i="28" s="1"/>
  <c r="H214" i="28" s="1"/>
  <c r="I22" i="28"/>
  <c r="D22" i="28"/>
  <c r="AJ228" i="27"/>
  <c r="M202" i="28"/>
  <c r="M213" i="28" s="1"/>
  <c r="M214" i="28" s="1"/>
  <c r="U202" i="28"/>
  <c r="U213" i="28" s="1"/>
  <c r="U214" i="28" s="1"/>
  <c r="D202" i="28"/>
  <c r="D213" i="28" s="1"/>
  <c r="D214" i="28" s="1"/>
  <c r="BC85" i="29"/>
  <c r="BC86" i="29" s="1"/>
  <c r="M75" i="29"/>
  <c r="M77" i="29" s="1"/>
  <c r="N76" i="29"/>
  <c r="E22" i="28"/>
  <c r="E180" i="28"/>
  <c r="E195" i="28" s="1"/>
  <c r="I75" i="29" s="1"/>
  <c r="I77" i="29" s="1"/>
  <c r="K76" i="29"/>
  <c r="J22" i="28"/>
  <c r="J180" i="28"/>
  <c r="J195" i="28" s="1"/>
  <c r="N75" i="29" s="1"/>
  <c r="G22" i="28"/>
  <c r="G180" i="28"/>
  <c r="G195" i="28" s="1"/>
  <c r="K75" i="29" s="1"/>
  <c r="F22" i="28"/>
  <c r="F180" i="28"/>
  <c r="F195" i="28" s="1"/>
  <c r="J75" i="29" s="1"/>
  <c r="J77" i="29" s="1"/>
  <c r="H77" i="29"/>
  <c r="G10" i="28"/>
  <c r="G11" i="28" s="1"/>
  <c r="G13" i="28" s="1"/>
  <c r="H22" i="28"/>
  <c r="H180" i="28"/>
  <c r="H195" i="28" s="1"/>
  <c r="L75" i="29" s="1"/>
  <c r="L77" i="29" s="1"/>
  <c r="E10" i="28"/>
  <c r="E11" i="28" s="1"/>
  <c r="E13" i="28" s="1"/>
  <c r="C22" i="28"/>
  <c r="C180" i="28"/>
  <c r="C195" i="28" s="1"/>
  <c r="G75" i="29" s="1"/>
  <c r="G77" i="29" s="1"/>
  <c r="R10" i="28"/>
  <c r="R202" i="28" s="1"/>
  <c r="R213" i="28" s="1"/>
  <c r="R214" i="28" s="1"/>
  <c r="O10" i="28"/>
  <c r="O11" i="28" s="1"/>
  <c r="O13" i="28" s="1"/>
  <c r="Z10" i="28"/>
  <c r="Z11" i="28" s="1"/>
  <c r="Z13" i="28" s="1"/>
  <c r="Q10" i="28"/>
  <c r="Q202" i="28" s="1"/>
  <c r="Q213" i="28" s="1"/>
  <c r="Q214" i="28" s="1"/>
  <c r="N10" i="28"/>
  <c r="N11" i="28" s="1"/>
  <c r="N13" i="28" s="1"/>
  <c r="V10" i="28"/>
  <c r="V11" i="28" s="1"/>
  <c r="V13" i="28" s="1"/>
  <c r="P10" i="28"/>
  <c r="P11" i="28" s="1"/>
  <c r="P13" i="28" s="1"/>
  <c r="X10" i="28"/>
  <c r="X202" i="28" s="1"/>
  <c r="X213" i="28" s="1"/>
  <c r="X214" i="28" s="1"/>
  <c r="K10" i="28"/>
  <c r="K11" i="28" s="1"/>
  <c r="K13" i="28" s="1"/>
  <c r="C304" i="31"/>
  <c r="AQ5" i="28"/>
  <c r="BE86" i="29"/>
  <c r="BE87" i="29"/>
  <c r="BL86" i="29"/>
  <c r="BL87" i="29"/>
  <c r="BD86" i="29"/>
  <c r="BD87" i="29"/>
  <c r="AV86" i="29"/>
  <c r="AV87" i="29"/>
  <c r="BS87" i="29"/>
  <c r="BS86" i="29"/>
  <c r="BI87" i="29"/>
  <c r="BI86" i="29"/>
  <c r="BK87" i="29"/>
  <c r="BK86" i="29"/>
  <c r="BH86" i="29"/>
  <c r="BH87" i="29"/>
  <c r="BO86" i="29"/>
  <c r="BO87" i="29"/>
  <c r="BR87" i="29"/>
  <c r="BR86" i="29"/>
  <c r="BB87" i="29"/>
  <c r="BB86" i="29"/>
  <c r="BN86" i="29"/>
  <c r="BN87" i="29"/>
  <c r="AW86" i="29"/>
  <c r="AW87" i="29"/>
  <c r="BJ86" i="29"/>
  <c r="BJ87" i="29"/>
  <c r="BM86" i="29"/>
  <c r="BM87" i="29"/>
  <c r="BG86" i="29"/>
  <c r="BG87" i="29"/>
  <c r="K253" i="31"/>
  <c r="L253" i="31" s="1"/>
  <c r="C75" i="31"/>
  <c r="AQ3" i="28"/>
  <c r="C305" i="31"/>
  <c r="C71" i="31"/>
  <c r="K48" i="27"/>
  <c r="B154" i="30" s="1"/>
  <c r="B149" i="30" s="1"/>
  <c r="J149" i="30" s="1"/>
  <c r="C222" i="31" s="1"/>
  <c r="D55" i="28"/>
  <c r="F5" i="29"/>
  <c r="C245" i="31" s="1"/>
  <c r="Y77" i="29"/>
  <c r="T22" i="28"/>
  <c r="T180" i="28"/>
  <c r="T195" i="28" s="1"/>
  <c r="V22" i="28"/>
  <c r="V180" i="28"/>
  <c r="V195" i="28" s="1"/>
  <c r="S22" i="28"/>
  <c r="S180" i="28"/>
  <c r="S195" i="28" s="1"/>
  <c r="Q22" i="28"/>
  <c r="Q180" i="28"/>
  <c r="Q195" i="28" s="1"/>
  <c r="AQ4" i="28"/>
  <c r="G55" i="28"/>
  <c r="L22" i="28"/>
  <c r="L180" i="28"/>
  <c r="L195" i="28" s="1"/>
  <c r="P22" i="28"/>
  <c r="P180" i="28"/>
  <c r="P195" i="28" s="1"/>
  <c r="O22" i="28"/>
  <c r="O180" i="28"/>
  <c r="O195" i="28" s="1"/>
  <c r="M22" i="28"/>
  <c r="M180" i="28"/>
  <c r="M195" i="28" s="1"/>
  <c r="N22" i="28"/>
  <c r="N180" i="28"/>
  <c r="N195" i="28" s="1"/>
  <c r="AD30" i="28"/>
  <c r="K22" i="28"/>
  <c r="K180" i="28"/>
  <c r="K195" i="28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C246" i="31"/>
  <c r="BC87" i="29" l="1"/>
  <c r="N202" i="28"/>
  <c r="N213" i="28" s="1"/>
  <c r="N214" i="28" s="1"/>
  <c r="Q11" i="28"/>
  <c r="Q13" i="28" s="1"/>
  <c r="F76" i="29"/>
  <c r="B113" i="29" s="1"/>
  <c r="B125" i="29" s="1"/>
  <c r="N77" i="29"/>
  <c r="E202" i="28"/>
  <c r="E213" i="28" s="1"/>
  <c r="E214" i="28" s="1"/>
  <c r="G202" i="28"/>
  <c r="G213" i="28" s="1"/>
  <c r="G214" i="28" s="1"/>
  <c r="BJ102" i="29"/>
  <c r="U9" i="29" s="1"/>
  <c r="X11" i="28"/>
  <c r="X13" i="28" s="1"/>
  <c r="R11" i="28"/>
  <c r="R13" i="28" s="1"/>
  <c r="K77" i="29"/>
  <c r="V202" i="28"/>
  <c r="V213" i="28" s="1"/>
  <c r="V214" i="28" s="1"/>
  <c r="O202" i="28"/>
  <c r="O213" i="28" s="1"/>
  <c r="O214" i="28" s="1"/>
  <c r="D262" i="31"/>
  <c r="T75" i="29"/>
  <c r="T77" i="29" s="1"/>
  <c r="AB75" i="29"/>
  <c r="AB77" i="29" s="1"/>
  <c r="K202" i="28"/>
  <c r="K213" i="28" s="1"/>
  <c r="K214" i="28" s="1"/>
  <c r="V75" i="29"/>
  <c r="V77" i="29" s="1"/>
  <c r="W75" i="29"/>
  <c r="W77" i="29" s="1"/>
  <c r="C278" i="31"/>
  <c r="C291" i="31" s="1"/>
  <c r="Q75" i="29"/>
  <c r="Q77" i="29" s="1"/>
  <c r="AD75" i="29"/>
  <c r="AD77" i="29" s="1"/>
  <c r="S75" i="29"/>
  <c r="S77" i="29" s="1"/>
  <c r="Z75" i="29"/>
  <c r="Z77" i="29" s="1"/>
  <c r="P202" i="28"/>
  <c r="P213" i="28" s="1"/>
  <c r="P214" i="28" s="1"/>
  <c r="Z202" i="28"/>
  <c r="Z213" i="28" s="1"/>
  <c r="Z214" i="28" s="1"/>
  <c r="O75" i="29"/>
  <c r="X75" i="29"/>
  <c r="X77" i="29" s="1"/>
  <c r="AA75" i="29"/>
  <c r="AA77" i="29" s="1"/>
  <c r="AD31" i="28"/>
  <c r="T236" i="30" s="1"/>
  <c r="T235" i="30"/>
  <c r="U75" i="29"/>
  <c r="U77" i="29" s="1"/>
  <c r="R75" i="29"/>
  <c r="R77" i="29" s="1"/>
  <c r="P75" i="29"/>
  <c r="P77" i="29" s="1"/>
  <c r="BP86" i="29"/>
  <c r="BP87" i="29"/>
  <c r="AX86" i="29"/>
  <c r="AX87" i="29"/>
  <c r="BF86" i="29"/>
  <c r="BF87" i="29"/>
  <c r="AZ87" i="29"/>
  <c r="AZ86" i="29"/>
  <c r="BQ86" i="29"/>
  <c r="BQ87" i="29"/>
  <c r="BA87" i="29"/>
  <c r="BA86" i="29"/>
  <c r="AY87" i="29"/>
  <c r="AY86" i="29"/>
  <c r="C74" i="31"/>
  <c r="C81" i="31" s="1"/>
  <c r="J154" i="30"/>
  <c r="C227" i="31" s="1"/>
  <c r="B155" i="30"/>
  <c r="I155" i="30" s="1"/>
  <c r="B58" i="29"/>
  <c r="C58" i="29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DE102" i="29"/>
  <c r="G11" i="29" s="1"/>
  <c r="CS102" i="29"/>
  <c r="X10" i="29" s="1"/>
  <c r="CC102" i="29"/>
  <c r="H10" i="29" s="1"/>
  <c r="BC102" i="29"/>
  <c r="N9" i="29" s="1"/>
  <c r="BO102" i="29"/>
  <c r="Z9" i="29" s="1"/>
  <c r="BD102" i="29"/>
  <c r="O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O253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D246" i="31"/>
  <c r="DL102" i="29"/>
  <c r="N11" i="29" s="1"/>
  <c r="CY102" i="29"/>
  <c r="AD10" i="29" s="1"/>
  <c r="CD102" i="29"/>
  <c r="I10" i="29" s="1"/>
  <c r="CM102" i="29"/>
  <c r="R10" i="29" s="1"/>
  <c r="D247" i="31"/>
  <c r="CV102" i="29"/>
  <c r="AA10" i="29" s="1"/>
  <c r="DQ102" i="29"/>
  <c r="S11" i="29" s="1"/>
  <c r="CH102" i="29"/>
  <c r="M10" i="29" s="1"/>
  <c r="BE102" i="29"/>
  <c r="P9" i="29" s="1"/>
  <c r="DT102" i="29"/>
  <c r="V11" i="29" s="1"/>
  <c r="D245" i="31"/>
  <c r="CP102" i="29"/>
  <c r="U10" i="29" s="1"/>
  <c r="DN102" i="29"/>
  <c r="P11" i="29" s="1"/>
  <c r="DK102" i="29"/>
  <c r="M11" i="29" s="1"/>
  <c r="CB102" i="29"/>
  <c r="G10" i="29" s="1"/>
  <c r="AZ102" i="29" l="1"/>
  <c r="K9" i="29" s="1"/>
  <c r="K13" i="29" s="1"/>
  <c r="BF102" i="29"/>
  <c r="Q9" i="29" s="1"/>
  <c r="AJ8" i="28"/>
  <c r="B81" i="29" s="1"/>
  <c r="F81" i="29" s="1"/>
  <c r="BQ102" i="29"/>
  <c r="AB9" i="29" s="1"/>
  <c r="BP102" i="29"/>
  <c r="AA9" i="29" s="1"/>
  <c r="AA13" i="29" s="1"/>
  <c r="AY102" i="29"/>
  <c r="J9" i="29" s="1"/>
  <c r="J13" i="29" s="1"/>
  <c r="BA102" i="29"/>
  <c r="L9" i="29" s="1"/>
  <c r="L13" i="29" s="1"/>
  <c r="F75" i="29"/>
  <c r="O77" i="29"/>
  <c r="F77" i="29" s="1"/>
  <c r="B129" i="29" s="1"/>
  <c r="T274" i="30"/>
  <c r="X274" i="30" s="1"/>
  <c r="C187" i="31"/>
  <c r="D187" i="31" s="1"/>
  <c r="X235" i="30"/>
  <c r="C308" i="31" s="1"/>
  <c r="C188" i="31"/>
  <c r="D188" i="31" s="1"/>
  <c r="X236" i="30"/>
  <c r="C309" i="31" s="1"/>
  <c r="T275" i="30"/>
  <c r="X275" i="30" s="1"/>
  <c r="X13" i="29"/>
  <c r="F58" i="29"/>
  <c r="C270" i="31" s="1"/>
  <c r="W13" i="29"/>
  <c r="AB13" i="29"/>
  <c r="AB40" i="30"/>
  <c r="AD40" i="30" s="1"/>
  <c r="U13" i="29"/>
  <c r="O13" i="29"/>
  <c r="B43" i="30"/>
  <c r="J43" i="30" s="1"/>
  <c r="C207" i="31" s="1"/>
  <c r="B44" i="30"/>
  <c r="J44" i="30" s="1"/>
  <c r="C208" i="31" s="1"/>
  <c r="R13" i="29"/>
  <c r="N13" i="29"/>
  <c r="AB38" i="30"/>
  <c r="Q13" i="29"/>
  <c r="Y13" i="29"/>
  <c r="M13" i="29"/>
  <c r="AD13" i="29"/>
  <c r="AC13" i="29"/>
  <c r="T13" i="29"/>
  <c r="C232" i="31"/>
  <c r="C267" i="3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F9" i="29" l="1"/>
  <c r="B91" i="29" s="1"/>
  <c r="D91" i="29" s="1"/>
  <c r="C277" i="31"/>
  <c r="D277" i="31" s="1"/>
  <c r="B114" i="29"/>
  <c r="C193" i="31"/>
  <c r="D193" i="31" s="1"/>
  <c r="T245" i="30"/>
  <c r="C189" i="31" s="1"/>
  <c r="D189" i="31" s="1"/>
  <c r="AK189" i="31" s="1"/>
  <c r="AO189" i="31" s="1"/>
  <c r="AO192" i="31" s="1"/>
  <c r="B108" i="29"/>
  <c r="B123" i="29" s="1"/>
  <c r="AJ219" i="31"/>
  <c r="AN219" i="31" s="1"/>
  <c r="AK227" i="31"/>
  <c r="AO227" i="31" s="1"/>
  <c r="AJ218" i="31"/>
  <c r="AN218" i="31" s="1"/>
  <c r="AK226" i="31"/>
  <c r="AO226" i="31" s="1"/>
  <c r="D81" i="31"/>
  <c r="J205" i="31" s="1"/>
  <c r="L205" i="31" s="1"/>
  <c r="C289" i="31"/>
  <c r="I13" i="29"/>
  <c r="F13" i="29" s="1"/>
  <c r="D97" i="31"/>
  <c r="B93" i="29"/>
  <c r="D93" i="29" s="1"/>
  <c r="D208" i="31"/>
  <c r="D228" i="31"/>
  <c r="D213" i="31"/>
  <c r="D196" i="31"/>
  <c r="D166" i="31"/>
  <c r="D229" i="31"/>
  <c r="D167" i="31"/>
  <c r="D150" i="31"/>
  <c r="D165" i="31"/>
  <c r="D143" i="31"/>
  <c r="D92" i="31"/>
  <c r="D91" i="31"/>
  <c r="D90" i="31"/>
  <c r="K254" i="31" s="1"/>
  <c r="L254" i="31" s="1"/>
  <c r="D89" i="31"/>
  <c r="K262" i="31" s="1"/>
  <c r="D88" i="31"/>
  <c r="K261" i="31" s="1"/>
  <c r="L261" i="31" s="1"/>
  <c r="D96" i="31"/>
  <c r="D66" i="31"/>
  <c r="G63" i="31"/>
  <c r="D63" i="31"/>
  <c r="D65" i="31"/>
  <c r="J193" i="31" s="1"/>
  <c r="J194" i="31" s="1"/>
  <c r="D64" i="31"/>
  <c r="Q193" i="31" s="1"/>
  <c r="Q194" i="31" s="1"/>
  <c r="D80" i="31"/>
  <c r="J206" i="31" s="1"/>
  <c r="L206" i="31" s="1"/>
  <c r="L209" i="31" s="1"/>
  <c r="D147" i="31"/>
  <c r="D168" i="31"/>
  <c r="D200" i="31"/>
  <c r="D145" i="31"/>
  <c r="D214" i="31"/>
  <c r="J216" i="31"/>
  <c r="L223" i="31"/>
  <c r="AJ198" i="31" s="1"/>
  <c r="L225" i="31"/>
  <c r="D69" i="31"/>
  <c r="D146" i="31"/>
  <c r="D164" i="31"/>
  <c r="L224" i="31"/>
  <c r="J217" i="31"/>
  <c r="J218" i="31"/>
  <c r="D226" i="31"/>
  <c r="D71" i="31"/>
  <c r="D94" i="31"/>
  <c r="D141" i="31"/>
  <c r="D198" i="31"/>
  <c r="D144" i="31"/>
  <c r="D199" i="31"/>
  <c r="D205" i="31"/>
  <c r="D68" i="31"/>
  <c r="D93" i="31"/>
  <c r="D140" i="31"/>
  <c r="D227" i="31"/>
  <c r="D139" i="31"/>
  <c r="D163" i="31"/>
  <c r="D142" i="31"/>
  <c r="D215" i="31"/>
  <c r="D76" i="31"/>
  <c r="D77" i="31"/>
  <c r="D222" i="31"/>
  <c r="D73" i="31"/>
  <c r="K255" i="31" s="1"/>
  <c r="L255" i="31" s="1"/>
  <c r="D72" i="31"/>
  <c r="D232" i="31"/>
  <c r="D78" i="31"/>
  <c r="D87" i="31"/>
  <c r="K260" i="31" s="1"/>
  <c r="L260" i="31" s="1"/>
  <c r="D79" i="31"/>
  <c r="D95" i="31"/>
  <c r="D74" i="31"/>
  <c r="D231" i="31"/>
  <c r="D204" i="31"/>
  <c r="D85" i="31"/>
  <c r="D86" i="31"/>
  <c r="K259" i="31" s="1"/>
  <c r="L259" i="31" s="1"/>
  <c r="D75" i="31"/>
  <c r="D233" i="31"/>
  <c r="D206" i="31"/>
  <c r="D230" i="31"/>
  <c r="C249" i="31"/>
  <c r="B92" i="29"/>
  <c r="D92" i="29" s="1"/>
  <c r="C248" i="31"/>
  <c r="X245" i="30" l="1"/>
  <c r="J141" i="30" s="1"/>
  <c r="C219" i="31" s="1"/>
  <c r="D219" i="31" s="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L258" i="31" s="1"/>
  <c r="J220" i="31"/>
  <c r="J221" i="31" s="1"/>
  <c r="DX73" i="3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X65" i="3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DJ81" i="31" s="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O72" i="31"/>
  <c r="CO84" i="31" s="1"/>
  <c r="CG72" i="31"/>
  <c r="CG84" i="31" s="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BP66" i="31"/>
  <c r="BH66" i="31"/>
  <c r="AZ66" i="31"/>
  <c r="BP65" i="31"/>
  <c r="BH65" i="31"/>
  <c r="BH152" i="31" s="1"/>
  <c r="AZ65" i="31"/>
  <c r="AZ152" i="31" s="1"/>
  <c r="BP64" i="31"/>
  <c r="BP151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AY67" i="31"/>
  <c r="BO66" i="31"/>
  <c r="BG66" i="31"/>
  <c r="AY66" i="31"/>
  <c r="BO65" i="31"/>
  <c r="BG65" i="31"/>
  <c r="BG152" i="31" s="1"/>
  <c r="AY65" i="31"/>
  <c r="AY152" i="31" s="1"/>
  <c r="BO64" i="31"/>
  <c r="BO151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AW67" i="31"/>
  <c r="BM66" i="31"/>
  <c r="BE66" i="31"/>
  <c r="AW66" i="31"/>
  <c r="BM65" i="31"/>
  <c r="BE65" i="31"/>
  <c r="BE152" i="31" s="1"/>
  <c r="AW65" i="31"/>
  <c r="AW152" i="31" s="1"/>
  <c r="BM64" i="31"/>
  <c r="BM151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K67" i="31"/>
  <c r="BK78" i="31" s="1"/>
  <c r="BC67" i="31"/>
  <c r="BS66" i="31"/>
  <c r="BK66" i="31"/>
  <c r="BC66" i="31"/>
  <c r="BS65" i="31"/>
  <c r="BK65" i="31"/>
  <c r="BC65" i="31"/>
  <c r="BC152" i="31" s="1"/>
  <c r="BS64" i="31"/>
  <c r="BS151" i="31" s="1"/>
  <c r="BK64" i="31"/>
  <c r="BK151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A67" i="31"/>
  <c r="BI66" i="31"/>
  <c r="BQ65" i="3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BF66" i="31"/>
  <c r="BN65" i="3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B66" i="31"/>
  <c r="BJ65" i="31"/>
  <c r="BR64" i="31"/>
  <c r="BR151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A66" i="31"/>
  <c r="BI65" i="31"/>
  <c r="BI152" i="31" s="1"/>
  <c r="BQ64" i="31"/>
  <c r="BQ151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N66" i="31"/>
  <c r="AX66" i="31"/>
  <c r="BF65" i="31"/>
  <c r="BF152" i="31" s="1"/>
  <c r="BN64" i="31"/>
  <c r="BN151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L66" i="31"/>
  <c r="AV66" i="31"/>
  <c r="BD65" i="31"/>
  <c r="BD152" i="31" s="1"/>
  <c r="BL64" i="31"/>
  <c r="BL151" i="31" s="1"/>
  <c r="AV64" i="31"/>
  <c r="AV151" i="31" s="1"/>
  <c r="BL71" i="31"/>
  <c r="BL82" i="31" s="1"/>
  <c r="AV69" i="31"/>
  <c r="AV80" i="31" s="1"/>
  <c r="BD66" i="31"/>
  <c r="CR70" i="31"/>
  <c r="CR81" i="31" s="1"/>
  <c r="BR73" i="31"/>
  <c r="BR85" i="31" s="1"/>
  <c r="BB71" i="31"/>
  <c r="BB82" i="31" s="1"/>
  <c r="BJ68" i="31"/>
  <c r="BJ79" i="31" s="1"/>
  <c r="BR65" i="31"/>
  <c r="BL73" i="31"/>
  <c r="BL85" i="31" s="1"/>
  <c r="AV71" i="31"/>
  <c r="AV82" i="31" s="1"/>
  <c r="BD68" i="31"/>
  <c r="BD79" i="31" s="1"/>
  <c r="BL65" i="31"/>
  <c r="BB73" i="31"/>
  <c r="BB85" i="31" s="1"/>
  <c r="BJ70" i="31"/>
  <c r="BJ81" i="31" s="1"/>
  <c r="BR67" i="3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BD64" i="31"/>
  <c r="BD151" i="31" s="1"/>
  <c r="BR71" i="31"/>
  <c r="BR82" i="31" s="1"/>
  <c r="BR69" i="31"/>
  <c r="BR80" i="31" s="1"/>
  <c r="BB69" i="31"/>
  <c r="BB80" i="31" s="1"/>
  <c r="BB67" i="31"/>
  <c r="BJ66" i="31"/>
  <c r="BJ64" i="31"/>
  <c r="BJ151" i="31" s="1"/>
  <c r="BJ72" i="31"/>
  <c r="BJ84" i="31" s="1"/>
  <c r="L210" i="31"/>
  <c r="L211" i="31" s="1"/>
  <c r="L212" i="31" s="1"/>
  <c r="D207" i="31" s="1"/>
  <c r="DX84" i="31"/>
  <c r="CD77" i="31"/>
  <c r="DG84" i="31"/>
  <c r="DX85" i="31"/>
  <c r="DR82" i="31"/>
  <c r="DS77" i="31"/>
  <c r="DX76" i="31"/>
  <c r="CO82" i="31"/>
  <c r="DU78" i="31"/>
  <c r="DM85" i="31"/>
  <c r="DG77" i="31"/>
  <c r="CW84" i="31"/>
  <c r="DV82" i="31"/>
  <c r="CW75" i="31"/>
  <c r="O255" i="31"/>
  <c r="O260" i="31"/>
  <c r="D269" i="31"/>
  <c r="D268" i="31"/>
  <c r="O259" i="31"/>
  <c r="O261" i="31"/>
  <c r="D271" i="31"/>
  <c r="O262" i="31"/>
  <c r="B94" i="29"/>
  <c r="K257" i="31"/>
  <c r="L257" i="31" s="1"/>
  <c r="K256" i="31"/>
  <c r="L256" i="31" s="1"/>
  <c r="P198" i="31"/>
  <c r="Q198" i="31" s="1"/>
  <c r="P199" i="31"/>
  <c r="Q199" i="31" s="1"/>
  <c r="O254" i="31"/>
  <c r="D263" i="31"/>
  <c r="I199" i="31"/>
  <c r="J199" i="31" s="1"/>
  <c r="I200" i="31"/>
  <c r="J200" i="31" s="1"/>
  <c r="I198" i="31"/>
  <c r="J198" i="31" s="1"/>
  <c r="X248" i="30" l="1"/>
  <c r="V265" i="30" s="1"/>
  <c r="BB78" i="31"/>
  <c r="BB124" i="31" s="1"/>
  <c r="BB170" i="31" s="1"/>
  <c r="BB154" i="31"/>
  <c r="BQ78" i="31"/>
  <c r="BQ135" i="31" s="1"/>
  <c r="BQ154" i="31"/>
  <c r="BC78" i="31"/>
  <c r="BC135" i="31" s="1"/>
  <c r="BC154" i="31"/>
  <c r="BE78" i="31"/>
  <c r="BE135" i="31" s="1"/>
  <c r="BE154" i="31"/>
  <c r="BD78" i="31"/>
  <c r="BD135" i="31" s="1"/>
  <c r="BD154" i="31"/>
  <c r="BS78" i="31"/>
  <c r="BS124" i="31" s="1"/>
  <c r="BS170" i="31" s="1"/>
  <c r="BS154" i="31"/>
  <c r="BA78" i="31"/>
  <c r="BA135" i="31" s="1"/>
  <c r="BA154" i="31"/>
  <c r="BF78" i="31"/>
  <c r="BF124" i="31" s="1"/>
  <c r="BF170" i="31" s="1"/>
  <c r="BF154" i="31"/>
  <c r="AZ78" i="31"/>
  <c r="AZ135" i="31" s="1"/>
  <c r="AZ154" i="31"/>
  <c r="AV78" i="31"/>
  <c r="AV124" i="31" s="1"/>
  <c r="AV170" i="31" s="1"/>
  <c r="AV154" i="31"/>
  <c r="AY78" i="31"/>
  <c r="AY135" i="31" s="1"/>
  <c r="AY154" i="31"/>
  <c r="BR78" i="31"/>
  <c r="BR135" i="31" s="1"/>
  <c r="BR154" i="31"/>
  <c r="BG78" i="31"/>
  <c r="BG135" i="31" s="1"/>
  <c r="BG154" i="31"/>
  <c r="AX78" i="31"/>
  <c r="AX124" i="31" s="1"/>
  <c r="AX170" i="31" s="1"/>
  <c r="AX154" i="31"/>
  <c r="AW78" i="31"/>
  <c r="AW124" i="31" s="1"/>
  <c r="AW170" i="31" s="1"/>
  <c r="AW154" i="31"/>
  <c r="BS77" i="31"/>
  <c r="BS134" i="31" s="1"/>
  <c r="BS153" i="31"/>
  <c r="BL77" i="31"/>
  <c r="BL134" i="31" s="1"/>
  <c r="BL153" i="31"/>
  <c r="AZ77" i="31"/>
  <c r="AZ134" i="31" s="1"/>
  <c r="AZ153" i="31"/>
  <c r="AZ160" i="31" s="1"/>
  <c r="AZ161" i="31" s="1"/>
  <c r="AZ162" i="31" s="1"/>
  <c r="BD77" i="31"/>
  <c r="BD134" i="31" s="1"/>
  <c r="BD153" i="31"/>
  <c r="BD160" i="31" s="1"/>
  <c r="BD161" i="31" s="1"/>
  <c r="BD162" i="31" s="1"/>
  <c r="AX77" i="31"/>
  <c r="AX134" i="31" s="1"/>
  <c r="AX153" i="31"/>
  <c r="AY77" i="31"/>
  <c r="AY134" i="31" s="1"/>
  <c r="AY153" i="31"/>
  <c r="BH77" i="31"/>
  <c r="BH134" i="31" s="1"/>
  <c r="BH153" i="31"/>
  <c r="BH160" i="31" s="1"/>
  <c r="BH161" i="31" s="1"/>
  <c r="BH162" i="31" s="1"/>
  <c r="BN77" i="31"/>
  <c r="BN123" i="31" s="1"/>
  <c r="BN169" i="31" s="1"/>
  <c r="BN153" i="31"/>
  <c r="BG77" i="31"/>
  <c r="BG134" i="31" s="1"/>
  <c r="BG153" i="31"/>
  <c r="BG160" i="31" s="1"/>
  <c r="BG161" i="31" s="1"/>
  <c r="BG162" i="31" s="1"/>
  <c r="BP77" i="31"/>
  <c r="BP123" i="31" s="1"/>
  <c r="BP169" i="31" s="1"/>
  <c r="BP153" i="31"/>
  <c r="AV77" i="31"/>
  <c r="AV134" i="31" s="1"/>
  <c r="AV153" i="31"/>
  <c r="AV160" i="31" s="1"/>
  <c r="AV161" i="31" s="1"/>
  <c r="AV162" i="31" s="1"/>
  <c r="BA77" i="31"/>
  <c r="BA134" i="31" s="1"/>
  <c r="BA153" i="31"/>
  <c r="AW77" i="31"/>
  <c r="AW134" i="31" s="1"/>
  <c r="AW153" i="31"/>
  <c r="BO77" i="31"/>
  <c r="BO134" i="31" s="1"/>
  <c r="BO153" i="31"/>
  <c r="BQ77" i="31"/>
  <c r="BQ134" i="31" s="1"/>
  <c r="BQ153" i="31"/>
  <c r="BB77" i="31"/>
  <c r="BB123" i="31" s="1"/>
  <c r="BB169" i="31" s="1"/>
  <c r="BB153" i="31"/>
  <c r="BB160" i="31" s="1"/>
  <c r="BB161" i="31" s="1"/>
  <c r="BB162" i="31" s="1"/>
  <c r="BE77" i="31"/>
  <c r="BE134" i="31" s="1"/>
  <c r="BE153" i="31"/>
  <c r="BE160" i="31" s="1"/>
  <c r="BE161" i="31" s="1"/>
  <c r="BE162" i="31" s="1"/>
  <c r="BR77" i="31"/>
  <c r="BR134" i="31" s="1"/>
  <c r="BR153" i="31"/>
  <c r="BC77" i="31"/>
  <c r="BC153" i="31"/>
  <c r="BM77" i="31"/>
  <c r="BM123" i="31" s="1"/>
  <c r="BM169" i="31" s="1"/>
  <c r="BM153" i="31"/>
  <c r="BJ77" i="31"/>
  <c r="BJ134" i="31" s="1"/>
  <c r="BJ153" i="31"/>
  <c r="BF77" i="31"/>
  <c r="BF134" i="31" s="1"/>
  <c r="BF153" i="31"/>
  <c r="BI77" i="31"/>
  <c r="BI134" i="31" s="1"/>
  <c r="BI153" i="31"/>
  <c r="BI160" i="31" s="1"/>
  <c r="BI161" i="31" s="1"/>
  <c r="BI162" i="31" s="1"/>
  <c r="BK77" i="31"/>
  <c r="BK134" i="31" s="1"/>
  <c r="BK153" i="31"/>
  <c r="V264" i="30"/>
  <c r="BM76" i="31"/>
  <c r="BM122" i="31" s="1"/>
  <c r="BM168" i="31" s="1"/>
  <c r="BM152" i="31"/>
  <c r="BN76" i="31"/>
  <c r="BN152" i="31"/>
  <c r="BQ76" i="31"/>
  <c r="BQ133" i="31" s="1"/>
  <c r="BQ152" i="31"/>
  <c r="BP76" i="31"/>
  <c r="BP133" i="31" s="1"/>
  <c r="BP152" i="31"/>
  <c r="BL76" i="31"/>
  <c r="BL152" i="31"/>
  <c r="BL160" i="31" s="1"/>
  <c r="BL161" i="31" s="1"/>
  <c r="BL162" i="31" s="1"/>
  <c r="BO76" i="31"/>
  <c r="BO152" i="31"/>
  <c r="BJ76" i="31"/>
  <c r="BJ122" i="31" s="1"/>
  <c r="BJ168" i="31" s="1"/>
  <c r="BJ152" i="31"/>
  <c r="BK76" i="31"/>
  <c r="BK133" i="31" s="1"/>
  <c r="BK152" i="31"/>
  <c r="BR76" i="31"/>
  <c r="BR133" i="31" s="1"/>
  <c r="BR152" i="31"/>
  <c r="BS76" i="31"/>
  <c r="BS152" i="31"/>
  <c r="AZ75" i="31"/>
  <c r="AZ132" i="31" s="1"/>
  <c r="BP75" i="31"/>
  <c r="BP132" i="31" s="1"/>
  <c r="V198" i="31"/>
  <c r="W198" i="31" s="1"/>
  <c r="W200" i="31" s="1"/>
  <c r="D203" i="31" s="1"/>
  <c r="BH78" i="31"/>
  <c r="BH135" i="31" s="1"/>
  <c r="BG75" i="31"/>
  <c r="BG121" i="31" s="1"/>
  <c r="BG167" i="31" s="1"/>
  <c r="BA76" i="31"/>
  <c r="BA133" i="31" s="1"/>
  <c r="AL208" i="3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BE75" i="31"/>
  <c r="BE132" i="31" s="1"/>
  <c r="AX75" i="31"/>
  <c r="AX132" i="31" s="1"/>
  <c r="BD76" i="31"/>
  <c r="BD122" i="31" s="1"/>
  <c r="BD168" i="31" s="1"/>
  <c r="AY76" i="31"/>
  <c r="AY133" i="31" s="1"/>
  <c r="BH76" i="31"/>
  <c r="BH122" i="31" s="1"/>
  <c r="BH168" i="31" s="1"/>
  <c r="AZ76" i="31"/>
  <c r="AZ133" i="31" s="1"/>
  <c r="BO75" i="31"/>
  <c r="BO121" i="31" s="1"/>
  <c r="BO167" i="31" s="1"/>
  <c r="D267" i="31"/>
  <c r="O258" i="31"/>
  <c r="J201" i="31"/>
  <c r="D201" i="31" s="1"/>
  <c r="BE76" i="31"/>
  <c r="BE133" i="31" s="1"/>
  <c r="BS75" i="31"/>
  <c r="BS13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T208" i="31"/>
  <c r="X208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D270" i="31"/>
  <c r="D264" i="3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AV123" i="31"/>
  <c r="AV169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B140" i="31"/>
  <c r="BB129" i="31"/>
  <c r="BB175" i="31" s="1"/>
  <c r="DY133" i="31"/>
  <c r="DY122" i="31"/>
  <c r="DY168" i="31" s="1"/>
  <c r="DQ140" i="31"/>
  <c r="DQ129" i="31"/>
  <c r="DQ175" i="31" s="1"/>
  <c r="DY140" i="31"/>
  <c r="DY129" i="31"/>
  <c r="DY175" i="31" s="1"/>
  <c r="CS136" i="31"/>
  <c r="CS125" i="31"/>
  <c r="CS171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BK122" i="31"/>
  <c r="BK168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D265" i="31"/>
  <c r="CH135" i="31"/>
  <c r="CH124" i="31"/>
  <c r="CH170" i="31" s="1"/>
  <c r="DI133" i="31"/>
  <c r="DI122" i="31"/>
  <c r="DI168" i="31" s="1"/>
  <c r="DV139" i="31"/>
  <c r="DV128" i="31"/>
  <c r="DV174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CJ141" i="31"/>
  <c r="CJ130" i="31"/>
  <c r="CJ176" i="31" s="1"/>
  <c r="BS135" i="31"/>
  <c r="CR141" i="31"/>
  <c r="CR130" i="31"/>
  <c r="CR176" i="31" s="1"/>
  <c r="BI137" i="31"/>
  <c r="BI126" i="31"/>
  <c r="BI172" i="31" s="1"/>
  <c r="CH132" i="31"/>
  <c r="CH121" i="31"/>
  <c r="CH167" i="31" s="1"/>
  <c r="BN133" i="31"/>
  <c r="BN122" i="31"/>
  <c r="BN168" i="31" s="1"/>
  <c r="AV135" i="3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BS133" i="31"/>
  <c r="BS122" i="31"/>
  <c r="BS168" i="31" s="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CW136" i="31"/>
  <c r="CW125" i="31"/>
  <c r="CW171" i="31" s="1"/>
  <c r="DE139" i="31"/>
  <c r="DE128" i="31"/>
  <c r="DE174" i="31" s="1"/>
  <c r="D266" i="31"/>
  <c r="O257" i="31"/>
  <c r="BR122" i="31"/>
  <c r="BR168" i="31" s="1"/>
  <c r="BQ137" i="31"/>
  <c r="BQ126" i="31"/>
  <c r="BQ172" i="31" s="1"/>
  <c r="CO140" i="31"/>
  <c r="CO129" i="31"/>
  <c r="CO175" i="31" s="1"/>
  <c r="CJ134" i="31"/>
  <c r="CJ123" i="31"/>
  <c r="CJ169" i="31" s="1"/>
  <c r="BM141" i="31"/>
  <c r="BM130" i="31"/>
  <c r="BM176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BQ123" i="31"/>
  <c r="BQ169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O133" i="31"/>
  <c r="BO122" i="31"/>
  <c r="BO168" i="31" s="1"/>
  <c r="AW135" i="3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Q124" i="31"/>
  <c r="BQ170" i="31" s="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L133" i="31"/>
  <c r="BL122" i="31"/>
  <c r="BL168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BC134" i="31"/>
  <c r="BC123" i="31"/>
  <c r="BC169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BA160" i="31" l="1"/>
  <c r="BA161" i="31" s="1"/>
  <c r="BA162" i="31" s="1"/>
  <c r="BN134" i="31"/>
  <c r="BB134" i="31"/>
  <c r="AY160" i="31"/>
  <c r="AY161" i="31" s="1"/>
  <c r="AY162" i="31" s="1"/>
  <c r="BM134" i="31"/>
  <c r="BC124" i="31"/>
  <c r="BC170" i="31" s="1"/>
  <c r="BA123" i="31"/>
  <c r="BA169" i="31" s="1"/>
  <c r="BA124" i="31"/>
  <c r="BA170" i="31" s="1"/>
  <c r="AY124" i="31"/>
  <c r="AY170" i="31" s="1"/>
  <c r="BM133" i="31"/>
  <c r="BB135" i="31"/>
  <c r="BO123" i="31"/>
  <c r="BO169" i="31" s="1"/>
  <c r="AY123" i="31"/>
  <c r="AY169" i="31" s="1"/>
  <c r="BD124" i="31"/>
  <c r="BD170" i="31" s="1"/>
  <c r="BR123" i="31"/>
  <c r="BR169" i="31" s="1"/>
  <c r="BR178" i="31" s="1"/>
  <c r="BF123" i="31"/>
  <c r="BF169" i="31" s="1"/>
  <c r="BF178" i="31" s="1"/>
  <c r="AZ124" i="31"/>
  <c r="AZ170" i="31" s="1"/>
  <c r="BR124" i="31"/>
  <c r="BR170" i="31" s="1"/>
  <c r="BG123" i="31"/>
  <c r="BG169" i="31" s="1"/>
  <c r="BE124" i="31"/>
  <c r="BE170" i="31" s="1"/>
  <c r="BH123" i="31"/>
  <c r="BH169" i="31" s="1"/>
  <c r="AW123" i="31"/>
  <c r="AW169" i="31" s="1"/>
  <c r="BC160" i="31"/>
  <c r="BC161" i="31" s="1"/>
  <c r="BC162" i="31" s="1"/>
  <c r="BP122" i="31"/>
  <c r="BP168" i="31" s="1"/>
  <c r="BI123" i="31"/>
  <c r="BI169" i="31" s="1"/>
  <c r="BE123" i="31"/>
  <c r="BE169" i="31" s="1"/>
  <c r="BJ123" i="31"/>
  <c r="BJ169" i="31" s="1"/>
  <c r="BJ178" i="31" s="1"/>
  <c r="AX135" i="31"/>
  <c r="AX144" i="31" s="1"/>
  <c r="AZ123" i="31"/>
  <c r="AZ169" i="31" s="1"/>
  <c r="AW160" i="31"/>
  <c r="AW161" i="31" s="1"/>
  <c r="AW162" i="31" s="1"/>
  <c r="BF135" i="31"/>
  <c r="AX160" i="31"/>
  <c r="AX161" i="31" s="1"/>
  <c r="AX162" i="31" s="1"/>
  <c r="BG124" i="31"/>
  <c r="BG170" i="31" s="1"/>
  <c r="BL123" i="31"/>
  <c r="BL169" i="31" s="1"/>
  <c r="BJ160" i="31"/>
  <c r="BJ161" i="31" s="1"/>
  <c r="BJ162" i="31" s="1"/>
  <c r="BS160" i="31"/>
  <c r="BS161" i="31" s="1"/>
  <c r="BS162" i="31" s="1"/>
  <c r="BR160" i="31"/>
  <c r="BR161" i="31" s="1"/>
  <c r="BR162" i="31" s="1"/>
  <c r="BF160" i="31"/>
  <c r="BF161" i="31" s="1"/>
  <c r="BF162" i="31" s="1"/>
  <c r="BP160" i="31"/>
  <c r="BP161" i="31" s="1"/>
  <c r="BP162" i="31" s="1"/>
  <c r="BP134" i="31"/>
  <c r="BP145" i="31" s="1"/>
  <c r="BO160" i="31"/>
  <c r="BO161" i="31" s="1"/>
  <c r="BO162" i="31" s="1"/>
  <c r="BS123" i="31"/>
  <c r="BS169" i="31" s="1"/>
  <c r="AX123" i="31"/>
  <c r="AX169" i="31" s="1"/>
  <c r="BK123" i="31"/>
  <c r="BK169" i="31" s="1"/>
  <c r="BD123" i="31"/>
  <c r="BD169" i="31" s="1"/>
  <c r="BQ122" i="31"/>
  <c r="BQ168" i="31" s="1"/>
  <c r="BJ133" i="31"/>
  <c r="BQ160" i="31"/>
  <c r="BQ161" i="31" s="1"/>
  <c r="BQ162" i="31" s="1"/>
  <c r="BN160" i="31"/>
  <c r="BN161" i="31" s="1"/>
  <c r="BN162" i="31" s="1"/>
  <c r="BM160" i="31"/>
  <c r="BM161" i="31" s="1"/>
  <c r="BM162" i="31" s="1"/>
  <c r="BK160" i="31"/>
  <c r="BK161" i="31" s="1"/>
  <c r="BK162" i="31" s="1"/>
  <c r="V263" i="30"/>
  <c r="J46" i="30" s="1"/>
  <c r="C210" i="31" s="1"/>
  <c r="BH124" i="31"/>
  <c r="BH170" i="31" s="1"/>
  <c r="BG132" i="31"/>
  <c r="BG144" i="31" s="1"/>
  <c r="BJ132" i="31"/>
  <c r="BH132" i="31"/>
  <c r="AZ121" i="31"/>
  <c r="AZ167" i="31" s="1"/>
  <c r="BA122" i="31"/>
  <c r="BA168" i="31" s="1"/>
  <c r="BP121" i="31"/>
  <c r="BR132" i="31"/>
  <c r="BR143" i="31" s="1"/>
  <c r="BM132" i="31"/>
  <c r="AV121" i="31"/>
  <c r="AV167" i="31" s="1"/>
  <c r="BC122" i="31"/>
  <c r="BC168" i="31" s="1"/>
  <c r="AL209" i="31"/>
  <c r="AL207" i="31" s="1"/>
  <c r="D210" i="31" s="1"/>
  <c r="BG122" i="31"/>
  <c r="BG168" i="31" s="1"/>
  <c r="BB133" i="31"/>
  <c r="BB145" i="31" s="1"/>
  <c r="BI122" i="31"/>
  <c r="BI168" i="31" s="1"/>
  <c r="AY132" i="31"/>
  <c r="AY145" i="31" s="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X207" i="31"/>
  <c r="X209" i="31"/>
  <c r="Z209" i="31" s="1"/>
  <c r="BD133" i="31"/>
  <c r="BD144" i="31" s="1"/>
  <c r="AX121" i="31"/>
  <c r="AX167" i="31" s="1"/>
  <c r="BE122" i="31"/>
  <c r="BE168" i="31" s="1"/>
  <c r="D289" i="3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BM178" i="31"/>
  <c r="DM178" i="31"/>
  <c r="CT178" i="31"/>
  <c r="EB178" i="31"/>
  <c r="CE178" i="31"/>
  <c r="CC178" i="31"/>
  <c r="DG178" i="31"/>
  <c r="DX178" i="31"/>
  <c r="DW178" i="31"/>
  <c r="CU178" i="31"/>
  <c r="DE178" i="31"/>
  <c r="CH178" i="31"/>
  <c r="CD178" i="31"/>
  <c r="DP178" i="31"/>
  <c r="BH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BO178" i="31"/>
  <c r="DS178" i="31"/>
  <c r="CQ178" i="31"/>
  <c r="CV178" i="31"/>
  <c r="DL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BQ145" i="31"/>
  <c r="BQ144" i="31"/>
  <c r="BQ143" i="31"/>
  <c r="BQ142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AX143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AZ145" i="31"/>
  <c r="AZ144" i="31"/>
  <c r="AZ143" i="31"/>
  <c r="AZ142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EB145" i="31"/>
  <c r="EB144" i="31"/>
  <c r="EB143" i="31"/>
  <c r="EB142" i="31"/>
  <c r="BL145" i="31"/>
  <c r="BL143" i="31"/>
  <c r="BL142" i="31"/>
  <c r="BL144" i="31"/>
  <c r="DL145" i="31"/>
  <c r="DL144" i="31"/>
  <c r="DL143" i="31"/>
  <c r="DL142" i="31"/>
  <c r="AV145" i="31"/>
  <c r="AV143" i="31"/>
  <c r="AV142" i="31"/>
  <c r="AV144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BJ145" i="31" l="1"/>
  <c r="BP142" i="31"/>
  <c r="BP143" i="31"/>
  <c r="BM143" i="31"/>
  <c r="AX142" i="31"/>
  <c r="BP144" i="31"/>
  <c r="BP146" i="31" s="1"/>
  <c r="AX145" i="31"/>
  <c r="BG145" i="31"/>
  <c r="BJ144" i="31"/>
  <c r="BJ142" i="31"/>
  <c r="BJ143" i="31"/>
  <c r="BG142" i="31"/>
  <c r="BG143" i="31"/>
  <c r="BQ167" i="31"/>
  <c r="BQ178" i="31" s="1"/>
  <c r="BB167" i="31"/>
  <c r="BB178" i="31" s="1"/>
  <c r="BN167" i="31"/>
  <c r="BN178" i="31" s="1"/>
  <c r="BS167" i="31"/>
  <c r="BS178" i="31" s="1"/>
  <c r="BD167" i="31"/>
  <c r="BD178" i="31" s="1"/>
  <c r="BP167" i="31"/>
  <c r="BP178" i="31" s="1"/>
  <c r="BL167" i="31"/>
  <c r="BL178" i="31" s="1"/>
  <c r="BK167" i="31"/>
  <c r="BK178" i="31" s="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BL146" i="31"/>
  <c r="DW146" i="31"/>
  <c r="DP146" i="31"/>
  <c r="CC146" i="31"/>
  <c r="DX146" i="31"/>
  <c r="CB146" i="31"/>
  <c r="AV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CO146" i="31"/>
  <c r="CF146" i="31"/>
  <c r="CH146" i="31"/>
  <c r="DN146" i="31"/>
  <c r="DJ146" i="31"/>
  <c r="CU146" i="31"/>
  <c r="CT146" i="31"/>
  <c r="AX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AZ146" i="31"/>
  <c r="DY146" i="31"/>
  <c r="BS146" i="31"/>
  <c r="BA146" i="31"/>
  <c r="BQ146" i="31"/>
  <c r="DT146" i="31"/>
  <c r="CQ146" i="31"/>
  <c r="DI146" i="31"/>
  <c r="CG146" i="31"/>
  <c r="CX146" i="31"/>
  <c r="BI146" i="31"/>
  <c r="DV146" i="31"/>
  <c r="CN146" i="31"/>
  <c r="DK146" i="31"/>
  <c r="CW146" i="31"/>
  <c r="BJ146" i="31" l="1"/>
  <c r="BJ147" i="31" s="1"/>
  <c r="BG146" i="31"/>
  <c r="BG148" i="31" s="1"/>
  <c r="DG148" i="31"/>
  <c r="DG147" i="31"/>
  <c r="DI148" i="31"/>
  <c r="DI147" i="31"/>
  <c r="CS148" i="31"/>
  <c r="CS147" i="31"/>
  <c r="CE148" i="31"/>
  <c r="CE147" i="31"/>
  <c r="CO148" i="31"/>
  <c r="CO147" i="31"/>
  <c r="DU148" i="31"/>
  <c r="DU147" i="31"/>
  <c r="DX148" i="31"/>
  <c r="DX147" i="31"/>
  <c r="CY148" i="31"/>
  <c r="CY147" i="31"/>
  <c r="BK148" i="31"/>
  <c r="BK147" i="31"/>
  <c r="CM148" i="31"/>
  <c r="CM147" i="31"/>
  <c r="CT148" i="31"/>
  <c r="CT147" i="31"/>
  <c r="CJ148" i="31"/>
  <c r="CJ163" i="31" s="1"/>
  <c r="CJ147" i="31"/>
  <c r="EB148" i="31"/>
  <c r="EB147" i="31"/>
  <c r="DP148" i="31"/>
  <c r="DP147" i="31"/>
  <c r="CG147" i="31"/>
  <c r="CG148" i="31"/>
  <c r="EA148" i="31"/>
  <c r="EA163" i="31" s="1"/>
  <c r="EA147" i="31"/>
  <c r="CQ148" i="31"/>
  <c r="CQ147" i="31"/>
  <c r="BP148" i="31"/>
  <c r="BP147" i="31"/>
  <c r="BQ147" i="31"/>
  <c r="BQ148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AZ148" i="31"/>
  <c r="AZ147" i="31"/>
  <c r="CB148" i="31"/>
  <c r="CB147" i="31"/>
  <c r="DO148" i="31"/>
  <c r="DO147" i="31"/>
  <c r="CC148" i="31"/>
  <c r="CC147" i="3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48" i="31"/>
  <c r="CV148" i="31"/>
  <c r="CV147" i="31"/>
  <c r="DS148" i="31"/>
  <c r="DS147" i="31"/>
  <c r="BL148" i="31"/>
  <c r="BL147" i="31"/>
  <c r="CF148" i="31"/>
  <c r="CF147" i="31"/>
  <c r="CW147" i="31"/>
  <c r="CW148" i="31"/>
  <c r="AX148" i="31"/>
  <c r="AX147" i="31"/>
  <c r="DK148" i="31"/>
  <c r="DK147" i="3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H148" i="31"/>
  <c r="DH147" i="31"/>
  <c r="DR148" i="31"/>
  <c r="DR147" i="31"/>
  <c r="DM148" i="31"/>
  <c r="DM147" i="31"/>
  <c r="DT148" i="31"/>
  <c r="DT147" i="31"/>
  <c r="CX148" i="31"/>
  <c r="CX147" i="31"/>
  <c r="DY148" i="31"/>
  <c r="DY147" i="31"/>
  <c r="CL148" i="31"/>
  <c r="CL147" i="31"/>
  <c r="BC148" i="31"/>
  <c r="BC147" i="31"/>
  <c r="CH148" i="31"/>
  <c r="CH147" i="31"/>
  <c r="CP148" i="31"/>
  <c r="CP147" i="31"/>
  <c r="AV148" i="31"/>
  <c r="AV147" i="31"/>
  <c r="DE148" i="31"/>
  <c r="DE147" i="31"/>
  <c r="BM146" i="31"/>
  <c r="BR146" i="31"/>
  <c r="AY146" i="31"/>
  <c r="BF146" i="31"/>
  <c r="BB146" i="31"/>
  <c r="BO146" i="31"/>
  <c r="BH146" i="31"/>
  <c r="BD146" i="31"/>
  <c r="AW146" i="31"/>
  <c r="CY163" i="31"/>
  <c r="BJ148" i="31" l="1"/>
  <c r="BJ163" i="31" s="1"/>
  <c r="CP163" i="31"/>
  <c r="CI163" i="31"/>
  <c r="CV163" i="31"/>
  <c r="DL163" i="31"/>
  <c r="BG147" i="31"/>
  <c r="BG163" i="31" s="1"/>
  <c r="DZ163" i="31"/>
  <c r="DW163" i="31"/>
  <c r="CO163" i="31"/>
  <c r="EB163" i="31"/>
  <c r="DS163" i="31"/>
  <c r="CC163" i="31"/>
  <c r="DH163" i="31"/>
  <c r="BL163" i="31"/>
  <c r="AV163" i="31"/>
  <c r="DN163" i="31"/>
  <c r="CF163" i="31"/>
  <c r="DJ163" i="31"/>
  <c r="CB163" i="31"/>
  <c r="DQ163" i="31"/>
  <c r="BP163" i="31"/>
  <c r="DP163" i="31"/>
  <c r="DU163" i="31"/>
  <c r="DX163" i="31"/>
  <c r="DE163" i="31"/>
  <c r="CH163" i="31"/>
  <c r="BD148" i="31"/>
  <c r="BD147" i="31"/>
  <c r="BR148" i="31"/>
  <c r="BR147" i="31"/>
  <c r="BM148" i="31"/>
  <c r="BM147" i="31"/>
  <c r="AW148" i="31"/>
  <c r="AW147" i="31"/>
  <c r="BH148" i="31"/>
  <c r="BH147" i="31"/>
  <c r="BO148" i="31"/>
  <c r="BO147" i="31"/>
  <c r="BB148" i="31"/>
  <c r="BB147" i="31"/>
  <c r="BF148" i="31"/>
  <c r="BF147" i="31"/>
  <c r="AY148" i="31"/>
  <c r="AY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AX163" i="31"/>
  <c r="CK163" i="31"/>
  <c r="CL163" i="31"/>
  <c r="BN163" i="31"/>
  <c r="CW163" i="31"/>
  <c r="DM163" i="31"/>
  <c r="CR163" i="31"/>
  <c r="DR163" i="31"/>
  <c r="DF163" i="31"/>
  <c r="DG163" i="31"/>
  <c r="CN163" i="31"/>
  <c r="BO163" i="31" l="1"/>
  <c r="BR163" i="31"/>
  <c r="AY163" i="31"/>
  <c r="BH163" i="31"/>
  <c r="BD163" i="31"/>
  <c r="BF163" i="31"/>
  <c r="BB163" i="31"/>
  <c r="BM163" i="31"/>
  <c r="AW163" i="31"/>
  <c r="D249" i="31"/>
  <c r="D250" i="31"/>
  <c r="D248" i="31" l="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AC10" i="30" l="1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T18" i="7"/>
  <c r="T17" i="7"/>
  <c r="T16" i="7"/>
  <c r="T15" i="7"/>
  <c r="T10" i="7"/>
  <c r="T9" i="7"/>
  <c r="T8" i="7"/>
  <c r="D122" i="30" l="1"/>
  <c r="J122" i="30" s="1"/>
  <c r="D124" i="30"/>
  <c r="J124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N11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R18" i="30" l="1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K72" i="23"/>
  <c r="C171" i="3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0" l="1"/>
  <c r="C159" i="31"/>
  <c r="D153" i="31"/>
  <c r="D171" i="31"/>
  <c r="D16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67" i="3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D70" i="31"/>
  <c r="D84" i="31" s="1"/>
  <c r="C257" i="31"/>
  <c r="AG144" i="30"/>
  <c r="AG146" i="30" s="1"/>
  <c r="C16" i="30"/>
  <c r="L16" i="30" s="1"/>
  <c r="L15" i="30"/>
  <c r="B35" i="15"/>
  <c r="C35" i="29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D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0" l="1"/>
  <c r="T125" i="30"/>
  <c r="T6" i="30"/>
  <c r="B5" i="30" s="1"/>
  <c r="C148" i="31" s="1"/>
  <c r="D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D257" i="31"/>
  <c r="AF141" i="30"/>
  <c r="AF143" i="30" s="1"/>
  <c r="Y82" i="30"/>
  <c r="K14" i="30"/>
  <c r="K16" i="30"/>
  <c r="J16" i="30"/>
  <c r="F35" i="29"/>
  <c r="D260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D39" i="15"/>
  <c r="D10" i="30" s="1"/>
  <c r="D43" i="15"/>
  <c r="D9" i="30" s="1"/>
  <c r="B32" i="15"/>
  <c r="B60" i="15"/>
  <c r="B29" i="15"/>
  <c r="B45" i="15"/>
  <c r="C137" i="31" l="1"/>
  <c r="D137" i="31" s="1"/>
  <c r="AH126" i="30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D149" i="31" s="1"/>
  <c r="K5" i="30"/>
  <c r="J5" i="30"/>
  <c r="C260" i="31"/>
  <c r="B99" i="29"/>
  <c r="C283" i="31"/>
  <c r="D259" i="31"/>
  <c r="D283" i="31" s="1"/>
  <c r="AK54" i="26"/>
  <c r="B42" i="15"/>
  <c r="B12" i="30" s="1"/>
  <c r="B61" i="15"/>
  <c r="B46" i="15"/>
  <c r="B11" i="30" s="1"/>
  <c r="B58" i="15"/>
  <c r="AH147" i="30" l="1"/>
  <c r="V126" i="30" s="1"/>
  <c r="AF132" i="30"/>
  <c r="AF134" i="30" s="1"/>
  <c r="K11" i="30"/>
  <c r="B103" i="29"/>
  <c r="C261" i="31"/>
  <c r="D261" i="31" s="1"/>
  <c r="D281" i="31" s="1"/>
  <c r="D99" i="29"/>
  <c r="AF135" i="30"/>
  <c r="AF137" i="30" s="1"/>
  <c r="K12" i="30"/>
  <c r="K6" i="30"/>
  <c r="J6" i="30"/>
  <c r="C195" i="31" s="1"/>
  <c r="D195" i="31" s="1"/>
  <c r="T134" i="30"/>
  <c r="K112" i="30" s="1"/>
  <c r="B49" i="15"/>
  <c r="Y49" i="30" s="1"/>
  <c r="AC49" i="30" s="1"/>
  <c r="Y53" i="30" s="1"/>
  <c r="Z36" i="30" s="1"/>
  <c r="AJ39" i="30" l="1"/>
  <c r="AJ40" i="30" s="1"/>
  <c r="AE40" i="30" s="1"/>
  <c r="AC36" i="30"/>
  <c r="AF147" i="30"/>
  <c r="T126" i="30" s="1"/>
  <c r="C197" i="31"/>
  <c r="D197" i="31" s="1"/>
  <c r="D103" i="29"/>
  <c r="B106" i="29"/>
  <c r="D284" i="31"/>
  <c r="J112" i="30"/>
  <c r="C281" i="31"/>
  <c r="B118" i="29"/>
  <c r="U10" i="7"/>
  <c r="U12" i="7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Y205" i="31" l="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K33" i="7"/>
  <c r="L33" i="7" s="1"/>
  <c r="N33" i="7"/>
  <c r="C211" i="31" l="1"/>
  <c r="Z210" i="31"/>
  <c r="D209" i="31" s="1"/>
  <c r="D211" i="31" s="1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T21" i="7"/>
  <c r="T20" i="7"/>
  <c r="BB21" i="28" s="1"/>
  <c r="BH21" i="28" s="1"/>
  <c r="T14" i="7"/>
  <c r="T13" i="7"/>
  <c r="V10" i="7"/>
  <c r="T7" i="7"/>
  <c r="T6" i="7"/>
  <c r="T5" i="7"/>
  <c r="V9" i="7" l="1"/>
  <c r="U9" i="7"/>
  <c r="V21" i="7"/>
  <c r="U21" i="7"/>
  <c r="V20" i="7"/>
  <c r="U20" i="7"/>
  <c r="BC21" i="28" s="1"/>
  <c r="V13" i="7"/>
  <c r="U13" i="7"/>
  <c r="V14" i="7"/>
  <c r="U14" i="7"/>
  <c r="V8" i="7"/>
  <c r="U8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T23" i="7" s="1"/>
  <c r="T4" i="7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M26" i="7"/>
  <c r="V6" i="7"/>
  <c r="T11" i="7"/>
  <c r="M37" i="7"/>
  <c r="L2" i="7"/>
  <c r="BH31" i="28" l="1"/>
  <c r="BI31" i="28"/>
  <c r="AP5" i="28" s="1"/>
  <c r="L64" i="7"/>
  <c r="M2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V24" i="7"/>
  <c r="T24" i="7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V11" i="7"/>
  <c r="U11" i="7"/>
  <c r="V18" i="7"/>
  <c r="U18" i="7"/>
  <c r="V19" i="7"/>
  <c r="U19" i="7"/>
  <c r="V22" i="7"/>
  <c r="U22" i="7"/>
  <c r="V23" i="7"/>
  <c r="U23" i="7"/>
  <c r="V16" i="7"/>
  <c r="U16" i="7"/>
  <c r="V4" i="7"/>
  <c r="U4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T2" i="7"/>
  <c r="BB3" i="28" s="1"/>
  <c r="AP6" i="28" l="1"/>
  <c r="AD22" i="28" s="1"/>
  <c r="AF22" i="28" s="1"/>
  <c r="AP4" i="28"/>
  <c r="AD20" i="28" s="1"/>
  <c r="AF20" i="28" s="1"/>
  <c r="AK21" i="28" s="1"/>
  <c r="AK25" i="28" s="1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B83" i="29" l="1"/>
  <c r="C183" i="31"/>
  <c r="T234" i="30"/>
  <c r="AK26" i="28"/>
  <c r="C184" i="31" s="1"/>
  <c r="U64" i="7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C185" i="31" l="1"/>
  <c r="D185" i="31" s="1"/>
  <c r="D184" i="31"/>
  <c r="T272" i="30"/>
  <c r="X272" i="30" s="1"/>
  <c r="J142" i="30" s="1"/>
  <c r="C220" i="31" s="1"/>
  <c r="X234" i="30"/>
  <c r="F84" i="29"/>
  <c r="F83" i="29"/>
  <c r="Q14" i="22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B167" i="30" l="1"/>
  <c r="J167" i="30" s="1"/>
  <c r="B115" i="29"/>
  <c r="B126" i="29" s="1"/>
  <c r="C192" i="31"/>
  <c r="C276" i="31" s="1"/>
  <c r="X237" i="30"/>
  <c r="C307" i="31"/>
  <c r="D183" i="31"/>
  <c r="Q163" i="18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AU31" i="23" s="1"/>
  <c r="X165" i="18"/>
  <c r="X178" i="18"/>
  <c r="Y165" i="18"/>
  <c r="Y178" i="18"/>
  <c r="S163" i="18"/>
  <c r="S176" i="18"/>
  <c r="L165" i="18"/>
  <c r="L178" i="18"/>
  <c r="F165" i="18"/>
  <c r="F178" i="18"/>
  <c r="F185" i="18" s="1"/>
  <c r="F216" i="18" s="1"/>
  <c r="K6" i="22" s="1"/>
  <c r="AW16" i="23" s="1"/>
  <c r="AW31" i="23" s="1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D258" i="31"/>
  <c r="D282" i="31" s="1"/>
  <c r="D287" i="31" s="1"/>
  <c r="C282" i="31"/>
  <c r="C287" i="31" s="1"/>
  <c r="BR36" i="23"/>
  <c r="E93" i="23" s="1"/>
  <c r="E95" i="23" s="1"/>
  <c r="BR35" i="23"/>
  <c r="D93" i="23" s="1"/>
  <c r="D95" i="23" s="1"/>
  <c r="BR39" i="23"/>
  <c r="H93" i="23" s="1"/>
  <c r="H95" i="23" s="1"/>
  <c r="BR37" i="23"/>
  <c r="F93" i="23" s="1"/>
  <c r="F95" i="23" s="1"/>
  <c r="E165" i="18"/>
  <c r="E178" i="18"/>
  <c r="E185" i="18" s="1"/>
  <c r="E216" i="18" s="1"/>
  <c r="J6" i="22" s="1"/>
  <c r="AV16" i="23" s="1"/>
  <c r="AV31" i="23" s="1"/>
  <c r="P163" i="18"/>
  <c r="P176" i="18"/>
  <c r="P185" i="18" s="1"/>
  <c r="P216" i="18" s="1"/>
  <c r="U6" i="22" s="1"/>
  <c r="BG16" i="23" s="1"/>
  <c r="BG28" i="23" s="1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L185" i="18" s="1"/>
  <c r="L216" i="18" s="1"/>
  <c r="Q6" i="22" s="1"/>
  <c r="BC16" i="23" s="1"/>
  <c r="BC27" i="23" s="1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AT30" i="23" s="1"/>
  <c r="G165" i="18"/>
  <c r="G178" i="18"/>
  <c r="G185" i="18" s="1"/>
  <c r="G216" i="18" s="1"/>
  <c r="L6" i="22" s="1"/>
  <c r="AX16" i="23" s="1"/>
  <c r="AX31" i="23" s="1"/>
  <c r="V163" i="18"/>
  <c r="V176" i="18"/>
  <c r="H163" i="18"/>
  <c r="H176" i="18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H185" i="18" l="1"/>
  <c r="H216" i="18" s="1"/>
  <c r="M6" i="22" s="1"/>
  <c r="AY16" i="23" s="1"/>
  <c r="AY27" i="23" s="1"/>
  <c r="D172" i="18"/>
  <c r="D215" i="18" s="1"/>
  <c r="D192" i="31"/>
  <c r="AJ216" i="31"/>
  <c r="AN216" i="31" s="1"/>
  <c r="D220" i="31" s="1"/>
  <c r="AK225" i="31"/>
  <c r="AO225" i="31" s="1"/>
  <c r="AO228" i="31" s="1"/>
  <c r="AQ228" i="31" s="1"/>
  <c r="AR228" i="31" s="1"/>
  <c r="AS228" i="31" s="1"/>
  <c r="AT228" i="31" s="1"/>
  <c r="AW228" i="31" s="1"/>
  <c r="D240" i="31" s="1"/>
  <c r="C243" i="31"/>
  <c r="D243" i="31" s="1"/>
  <c r="Z237" i="30"/>
  <c r="AA237" i="30" s="1"/>
  <c r="C293" i="31"/>
  <c r="C290" i="31"/>
  <c r="C292" i="31" s="1"/>
  <c r="C235" i="31"/>
  <c r="C236" i="31" s="1"/>
  <c r="J170" i="30"/>
  <c r="Y172" i="18"/>
  <c r="Y215" i="18" s="1"/>
  <c r="AD5" i="22" s="1"/>
  <c r="BP15" i="23" s="1"/>
  <c r="BP22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BR31" i="23"/>
  <c r="H83" i="23" s="1"/>
  <c r="H85" i="23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4" i="31" l="1"/>
  <c r="AB237" i="30"/>
  <c r="AC237" i="30" s="1"/>
  <c r="AF237" i="30" s="1"/>
  <c r="B178" i="30" s="1"/>
  <c r="C240" i="31" s="1"/>
  <c r="C244" i="31"/>
  <c r="D244" i="31" s="1"/>
  <c r="D235" i="31"/>
  <c r="D236" i="31" s="1"/>
  <c r="D276" i="31"/>
  <c r="D290" i="31" s="1"/>
  <c r="D291" i="31" s="1"/>
  <c r="D293" i="31" s="1"/>
  <c r="D119" i="29"/>
  <c r="B122" i="29"/>
  <c r="B128" i="29" s="1"/>
  <c r="B130" i="29" s="1"/>
  <c r="B165" i="18"/>
  <c r="B172" i="18" s="1"/>
  <c r="B215" i="18" s="1"/>
  <c r="B178" i="18"/>
  <c r="B185" i="18" s="1"/>
  <c r="B216" i="18" s="1"/>
  <c r="G6" i="22" s="1"/>
  <c r="AS16" i="23" s="1"/>
  <c r="AS30" i="23" s="1"/>
  <c r="BR27" i="23"/>
  <c r="D83" i="23" s="1"/>
  <c r="D85" i="23" s="1"/>
  <c r="BR29" i="23"/>
  <c r="F83" i="23" s="1"/>
  <c r="F85" i="23" s="1"/>
  <c r="T8" i="22"/>
  <c r="BF5" i="23" s="1"/>
  <c r="BF8" i="23" s="1"/>
  <c r="BF15" i="23"/>
  <c r="BF20" i="23" s="1"/>
  <c r="L8" i="22"/>
  <c r="AX5" i="23" s="1"/>
  <c r="AX11" i="23" s="1"/>
  <c r="AX15" i="23"/>
  <c r="AX23" i="23" s="1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I8" i="22"/>
  <c r="AU5" i="23" s="1"/>
  <c r="AU11" i="23" s="1"/>
  <c r="AU15" i="23"/>
  <c r="AU23" i="23" s="1"/>
  <c r="S8" i="22"/>
  <c r="BE5" i="23" s="1"/>
  <c r="BE8" i="23" s="1"/>
  <c r="BE15" i="23"/>
  <c r="BE20" i="23" s="1"/>
  <c r="H8" i="22"/>
  <c r="AT5" i="23" s="1"/>
  <c r="AT10" i="23" s="1"/>
  <c r="AT15" i="23"/>
  <c r="AT22" i="23" s="1"/>
  <c r="J8" i="22"/>
  <c r="AV5" i="23" s="1"/>
  <c r="AV11" i="23" s="1"/>
  <c r="AV15" i="23"/>
  <c r="AV23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AT9" i="23"/>
  <c r="AU9" i="23"/>
  <c r="AV9" i="23"/>
  <c r="AX9" i="23"/>
  <c r="BP9" i="23"/>
  <c r="AW9" i="23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AF9" i="22"/>
  <c r="AA221" i="18"/>
  <c r="C299" i="31" s="1"/>
  <c r="AA159" i="18"/>
  <c r="C161" i="31" s="1"/>
  <c r="D161" i="31" s="1"/>
  <c r="T215" i="18"/>
  <c r="Y5" i="22" s="1"/>
  <c r="AA185" i="18" l="1"/>
  <c r="BR30" i="23"/>
  <c r="G83" i="23" s="1"/>
  <c r="G85" i="23" s="1"/>
  <c r="C4" i="22"/>
  <c r="C7" i="22" s="1"/>
  <c r="K25" i="23" s="1"/>
  <c r="C172" i="31" s="1"/>
  <c r="C162" i="31"/>
  <c r="D162" i="31" s="1"/>
  <c r="AD19" i="30"/>
  <c r="R17" i="30"/>
  <c r="K82" i="30"/>
  <c r="BR23" i="23"/>
  <c r="H73" i="23" s="1"/>
  <c r="H75" i="23" s="1"/>
  <c r="Y8" i="22"/>
  <c r="BK15" i="23"/>
  <c r="BK21" i="23" s="1"/>
  <c r="BR21" i="23" s="1"/>
  <c r="F73" i="23" s="1"/>
  <c r="F75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AG132" i="30" l="1"/>
  <c r="AG134" i="30" s="1"/>
  <c r="L11" i="30"/>
  <c r="J11" i="30"/>
  <c r="D172" i="31"/>
  <c r="C175" i="3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15" i="23"/>
  <c r="AS22" i="23" s="1"/>
  <c r="BR22" i="23" s="1"/>
  <c r="G73" i="23" s="1"/>
  <c r="G75" i="23" s="1"/>
  <c r="K27" i="23"/>
  <c r="K73" i="23"/>
  <c r="AS9" i="23"/>
  <c r="AS10" i="23"/>
  <c r="BR10" i="23" s="1"/>
  <c r="G25" i="23" s="1"/>
  <c r="G27" i="23" s="1"/>
  <c r="C49" i="15"/>
  <c r="AK54" i="24"/>
  <c r="CD89" i="30" s="1"/>
  <c r="E82" i="30" s="1"/>
  <c r="BK5" i="23"/>
  <c r="BK9" i="23" s="1"/>
  <c r="AF8" i="22"/>
  <c r="AF5" i="22" s="1"/>
  <c r="D155" i="31" l="1"/>
  <c r="D175" i="31"/>
  <c r="C216" i="31"/>
  <c r="D216" i="31" s="1"/>
  <c r="D212" i="31"/>
  <c r="C152" i="31"/>
  <c r="J20" i="30"/>
  <c r="K75" i="23"/>
  <c r="C30" i="30"/>
  <c r="B118" i="30"/>
  <c r="L82" i="30"/>
  <c r="C179" i="31"/>
  <c r="D179" i="31" s="1"/>
  <c r="AG147" i="30"/>
  <c r="U126" i="30" s="1"/>
  <c r="BR9" i="23"/>
  <c r="F25" i="23" s="1"/>
  <c r="G14" i="22"/>
  <c r="C11" i="22" s="1"/>
  <c r="F13" i="23" s="1"/>
  <c r="K13" i="23" s="1"/>
  <c r="T111" i="30" l="1"/>
  <c r="L116" i="30"/>
  <c r="J82" i="30"/>
  <c r="J30" i="30"/>
  <c r="C177" i="31"/>
  <c r="C160" i="31"/>
  <c r="AD18" i="30"/>
  <c r="R16" i="30"/>
  <c r="F27" i="23"/>
  <c r="C170" i="31"/>
  <c r="J118" i="30"/>
  <c r="C218" i="31" s="1"/>
  <c r="C176" i="31"/>
  <c r="C158" i="31"/>
  <c r="D152" i="31"/>
  <c r="D158" i="31" l="1"/>
  <c r="D160" i="31"/>
  <c r="D176" i="31"/>
  <c r="D177" i="31"/>
  <c r="S16" i="30"/>
  <c r="T16" i="30"/>
  <c r="AE18" i="30"/>
  <c r="C19" i="30" s="1"/>
  <c r="AF18" i="30"/>
  <c r="D19" i="30" s="1"/>
  <c r="D218" i="31"/>
  <c r="D221" i="31" s="1"/>
  <c r="C221" i="31"/>
  <c r="J145" i="30"/>
  <c r="C178" i="31"/>
  <c r="D170" i="31"/>
  <c r="D178" i="31" s="1"/>
  <c r="C173" i="31"/>
  <c r="C180" i="31" l="1"/>
  <c r="C154" i="31"/>
  <c r="C174" i="31"/>
  <c r="D173" i="31"/>
  <c r="C151" i="31"/>
  <c r="J19" i="30"/>
  <c r="D154" i="31" l="1"/>
  <c r="D174" i="31"/>
  <c r="C194" i="31"/>
  <c r="J48" i="30"/>
  <c r="B174" i="30" s="1"/>
  <c r="C157" i="31"/>
  <c r="D151" i="31"/>
  <c r="C181" i="31"/>
  <c r="D180" i="31"/>
  <c r="D181" i="31" s="1"/>
  <c r="D157" i="31" l="1"/>
  <c r="B175" i="30"/>
  <c r="B180" i="30"/>
  <c r="B181" i="30" s="1"/>
  <c r="D194" i="31"/>
  <c r="D237" i="31" s="1"/>
  <c r="C237" i="31"/>
  <c r="C238" i="31" l="1"/>
  <c r="C241" i="31"/>
  <c r="D238" i="31"/>
  <c r="D241" i="31"/>
  <c r="D242" i="31" s="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129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<sst xmlns="http://schemas.openxmlformats.org/spreadsheetml/2006/main" count="3006" uniqueCount="1450">
  <si>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</si>
  <si>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</si>
  <si>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</si>
  <si>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</si>
  <si>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</si>
  <si>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</si>
  <si>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</si>
  <si>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</si>
  <si>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</si>
  <si>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</si>
  <si>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</si>
  <si>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</si>
  <si>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</si>
  <si>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</si>
  <si>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</si>
  <si>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</si>
  <si>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</si>
  <si>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</si>
  <si>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</si>
  <si>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</si>
  <si>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</si>
  <si>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</si>
  <si>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</si>
  <si>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</si>
  <si>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</si>
  <si>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</si>
  <si>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</si>
  <si>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</si>
  <si>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</si>
  <si>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</si>
  <si>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</si>
  <si>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</si>
  <si>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</si>
  <si>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</si>
  <si>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</si>
  <si>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</si>
  <si>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</si>
  <si>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</si>
  <si>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</si>
  <si>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</si>
  <si>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</si>
  <si>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</si>
  <si>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</si>
  <si>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</si>
  <si>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</si>
  <si>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</si>
  <si>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</si>
  <si>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</si>
  <si>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</si>
  <si>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</si>
  <si>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</si>
  <si>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</si>
  <si>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</si>
  <si>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</si>
  <si>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</si>
  <si>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</si>
  <si>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</si>
  <si>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</si>
  <si>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</si>
  <si>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</si>
  <si>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</si>
  <si>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</si>
  <si>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</si>
  <si>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</si>
  <si>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</si>
  <si>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</si>
  <si>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</si>
  <si>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</si>
  <si>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</si>
  <si>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</si>
  <si>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</si>
  <si>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</si>
  <si>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</si>
  <si>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</si>
  <si>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</si>
  <si>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</si>
  <si>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</si>
  <si>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</si>
  <si>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</si>
  <si>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</si>
  <si>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</si>
  <si>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</si>
  <si>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</si>
  <si>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</si>
  <si>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</si>
  <si>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</si>
  <si>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</si>
  <si>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</si>
  <si>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</si>
  <si>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</si>
  <si>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</si>
  <si>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</si>
  <si>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</si>
  <si>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</si>
  <si>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</si>
  <si>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</si>
  <si>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</si>
  <si>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</si>
  <si>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</si>
  <si>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</si>
  <si>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</si>
  <si>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</si>
  <si>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</si>
  <si>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</si>
  <si>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</si>
  <si>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</si>
  <si>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</si>
  <si>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</si>
  <si>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</si>
  <si>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</si>
  <si>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</si>
  <si>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</si>
  <si>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</si>
  <si>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</si>
  <si>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</si>
  <si>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</si>
  <si>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</si>
  <si>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</si>
  <si>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</si>
  <si>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</si>
  <si>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</si>
  <si>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</si>
  <si>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</si>
  <si>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</si>
  <si>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</si>
  <si>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</si>
  <si>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</si>
  <si>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</si>
  <si>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</si>
  <si>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</si>
  <si>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</si>
  <si>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</si>
  <si>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</si>
  <si>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</si>
  <si>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</si>
  <si>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</si>
  <si>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</si>
  <si>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</si>
  <si>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</si>
  <si>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</si>
  <si>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</si>
  <si>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</si>
  <si>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</si>
  <si>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</si>
  <si>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</si>
  <si>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</si>
  <si>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</si>
  <si>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</si>
  <si>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</si>
  <si>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</si>
  <si>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</si>
  <si>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</si>
  <si>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</si>
  <si>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</si>
  <si>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</si>
  <si>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</si>
  <si>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</si>
  <si>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</si>
  <si>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</si>
  <si>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</si>
  <si>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</si>
  <si>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</si>
  <si>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</si>
  <si>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</si>
  <si>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</si>
  <si>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</si>
  <si>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</si>
  <si>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</si>
  <si>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</si>
  <si>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</si>
  <si>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</si>
  <si>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</si>
  <si>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</si>
  <si>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</si>
  <si>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</si>
  <si>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</si>
  <si>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</si>
  <si>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</si>
  <si>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</si>
  <si>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</si>
  <si>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</si>
  <si>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</si>
  <si>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</si>
  <si>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</si>
  <si>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</si>
  <si>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</si>
  <si>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</si>
  <si>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</si>
  <si>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</si>
  <si>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</si>
  <si>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</si>
  <si>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</si>
  <si>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</si>
  <si>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</si>
  <si>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</si>
  <si>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</si>
  <si>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</si>
  <si>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</si>
  <si>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</si>
  <si>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</si>
  <si>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</si>
  <si>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</si>
  <si>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</si>
  <si>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</si>
  <si>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</si>
  <si>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</si>
  <si>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</si>
  <si>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</si>
  <si>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</si>
  <si>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</si>
  <si>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</si>
  <si>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</si>
  <si>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</si>
  <si>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</si>
  <si>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</si>
  <si>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</si>
  <si>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</si>
  <si>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</si>
  <si>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</si>
  <si>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</si>
  <si>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</si>
  <si>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</si>
  <si>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</si>
  <si>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</si>
  <si>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</si>
  <si>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</si>
  <si>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</si>
  <si>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</si>
  <si>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</si>
  <si>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</si>
  <si>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</si>
  <si>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</si>
  <si>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</si>
  <si>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</si>
  <si>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</si>
  <si>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</si>
  <si>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</si>
  <si>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</si>
  <si>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</si>
  <si>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</si>
  <si>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</si>
  <si>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</si>
  <si>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</si>
  <si>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</si>
  <si>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</si>
  <si>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</si>
  <si>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</si>
  <si>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</si>
  <si>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</si>
  <si>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</si>
  <si>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</si>
  <si>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</si>
  <si>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</si>
  <si>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</si>
  <si>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</si>
  <si>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</si>
  <si>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</si>
  <si>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</si>
  <si>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</si>
  <si>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</si>
  <si>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</si>
  <si>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</si>
  <si>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</si>
  <si>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</si>
  <si>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</si>
  <si>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</si>
  <si>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</si>
  <si>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</si>
  <si>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</si>
  <si>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</si>
  <si>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</si>
  <si>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</si>
  <si>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</si>
  <si>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</si>
  <si>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</si>
  <si>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</si>
  <si>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</si>
  <si>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</si>
  <si>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</si>
  <si>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</si>
  <si>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</si>
  <si>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</si>
  <si>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</si>
  <si>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</si>
  <si>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</si>
  <si>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</si>
  <si>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</si>
  <si>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</si>
  <si>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</si>
  <si>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</si>
  <si>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</si>
  <si>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</si>
  <si>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</si>
  <si>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</si>
  <si>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</si>
  <si>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</si>
  <si>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</si>
  <si>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</si>
  <si>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</si>
  <si>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</si>
  <si>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</si>
  <si>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</si>
  <si>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</si>
  <si>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</si>
  <si>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</si>
  <si>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</si>
  <si>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</si>
  <si>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</si>
  <si>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</si>
  <si>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</si>
  <si>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</si>
  <si>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</si>
  <si>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</si>
  <si>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</si>
  <si>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</si>
  <si>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</si>
  <si>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</si>
  <si>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</si>
  <si>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</si>
  <si>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</si>
  <si>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</si>
  <si>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</si>
  <si>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</si>
  <si>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</si>
  <si>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</si>
  <si>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</si>
  <si>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</si>
  <si>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</si>
  <si>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</si>
  <si>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</si>
  <si>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</si>
  <si>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</si>
  <si>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</si>
  <si>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</si>
  <si>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</si>
  <si>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</si>
  <si>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</si>
  <si>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</si>
  <si>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</si>
  <si>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</si>
  <si>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</si>
  <si>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</si>
  <si>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</si>
  <si>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</si>
  <si>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</si>
  <si>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</si>
  <si>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</si>
  <si>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</si>
  <si>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</si>
  <si>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</si>
  <si>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</si>
  <si>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</si>
  <si>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</si>
  <si>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</si>
  <si>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</si>
  <si>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</si>
  <si>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</si>
  <si>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</si>
  <si>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</si>
  <si>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</si>
  <si>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</si>
  <si>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</si>
  <si>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</si>
  <si>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</si>
  <si>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</si>
  <si>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</si>
  <si>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</si>
  <si>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</si>
  <si>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</si>
  <si>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</si>
  <si>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</si>
  <si>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</si>
  <si>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</si>
  <si>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</si>
  <si>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</si>
  <si>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</si>
  <si>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</si>
  <si>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</si>
  <si>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</si>
  <si>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</si>
  <si>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</si>
  <si>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</si>
  <si>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</si>
  <si>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</si>
  <si>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</si>
  <si>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</si>
  <si>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</si>
  <si>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</si>
  <si>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</si>
  <si>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</si>
  <si>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</si>
  <si>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</si>
  <si>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</si>
  <si>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</si>
  <si>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</si>
  <si>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</si>
  <si>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</si>
  <si>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</si>
  <si>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</si>
  <si>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</si>
  <si>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</si>
  <si>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</si>
  <si>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</si>
  <si>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</si>
  <si>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</si>
  <si>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</si>
  <si>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</si>
  <si>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</si>
  <si>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</si>
  <si>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</si>
  <si>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</si>
  <si>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</si>
  <si>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</si>
  <si>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</si>
  <si>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</si>
  <si>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</si>
  <si>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</si>
  <si>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</si>
  <si>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</si>
  <si>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</si>
  <si>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</si>
  <si>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</si>
  <si>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</si>
  <si>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</si>
  <si>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</si>
  <si>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</si>
  <si>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</si>
  <si>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</si>
  <si>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</si>
  <si>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</si>
  <si>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</si>
  <si>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</si>
  <si>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</si>
  <si>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</si>
  <si>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</si>
  <si>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</si>
  <si>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</si>
  <si>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</si>
  <si>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</si>
  <si>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</si>
  <si>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</si>
  <si>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</si>
  <si>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</si>
  <si>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</si>
  <si>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</si>
  <si>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</si>
  <si>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</si>
  <si>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</si>
  <si>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</si>
  <si>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</si>
  <si>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</si>
  <si>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</si>
  <si>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</si>
  <si>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</si>
  <si>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</si>
  <si>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</si>
  <si>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</si>
  <si>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</si>
  <si>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</si>
  <si>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</si>
  <si>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</si>
  <si>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</si>
  <si>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</si>
  <si>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</si>
  <si>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</si>
  <si>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</si>
  <si>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</si>
  <si>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</si>
  <si>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</si>
  <si>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</si>
  <si>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</si>
  <si>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</si>
  <si>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</si>
  <si>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</si>
  <si>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</si>
  <si>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</si>
  <si>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</si>
  <si>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</si>
  <si>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</si>
  <si>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</si>
  <si>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</si>
  <si>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</si>
  <si>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</si>
  <si>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</si>
  <si>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</si>
  <si>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</si>
  <si>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</si>
  <si>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</si>
  <si>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</si>
  <si>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</si>
  <si>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</si>
  <si>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</si>
  <si>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</si>
  <si>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</si>
  <si>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</si>
  <si>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</si>
  <si>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</si>
  <si>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</si>
  <si>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</si>
  <si>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</si>
  <si>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</si>
  <si>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</si>
  <si>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</si>
  <si>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</si>
  <si>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</si>
  <si>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</si>
  <si>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</si>
  <si>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</si>
  <si>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</si>
  <si>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</si>
  <si>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</si>
  <si>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</si>
  <si>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</si>
  <si>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</si>
  <si>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</si>
  <si>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</si>
  <si>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</si>
  <si>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</si>
  <si>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</si>
  <si>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</si>
  <si>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</si>
  <si>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</si>
  <si>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</si>
  <si>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</si>
  <si>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</si>
  <si>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</si>
  <si>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</si>
  <si>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</si>
  <si>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</si>
  <si>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</si>
  <si>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</si>
  <si>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</si>
  <si>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</si>
  <si>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</si>
  <si>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</si>
  <si>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</si>
  <si>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</si>
  <si>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</si>
  <si>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</si>
  <si>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</si>
  <si>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</si>
  <si>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</si>
  <si>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</si>
  <si>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</si>
  <si>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</si>
  <si>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</si>
  <si>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</si>
  <si>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</si>
  <si>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</si>
  <si>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</si>
  <si>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</si>
  <si>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</si>
  <si>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</si>
  <si>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</si>
  <si>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</si>
  <si>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</si>
  <si>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</si>
  <si>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</si>
  <si>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</si>
  <si>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</si>
  <si>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</si>
  <si>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</si>
  <si>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</si>
  <si>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</si>
  <si>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</si>
  <si>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</si>
  <si>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</si>
  <si>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</si>
  <si>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</si>
  <si>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</si>
  <si>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</si>
  <si>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</si>
  <si>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</si>
  <si>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</si>
  <si>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</si>
  <si>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</si>
  <si>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</si>
  <si>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</si>
  <si>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</si>
  <si>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</si>
  <si>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</si>
  <si>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</si>
  <si>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</si>
  <si>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</si>
  <si>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</si>
  <si>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</si>
  <si>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</si>
  <si>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</si>
  <si>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</si>
  <si>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</si>
  <si>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</si>
  <si>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</si>
  <si>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</si>
  <si>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</si>
  <si>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</si>
  <si>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</si>
  <si>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</si>
  <si>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</si>
  <si>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</si>
  <si>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</si>
  <si>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</si>
  <si>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</si>
  <si>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</si>
  <si>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</si>
  <si>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</si>
  <si>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</si>
  <si>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</si>
  <si>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</si>
  <si>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</si>
  <si>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</si>
  <si>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</si>
  <si>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</si>
  <si>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</si>
  <si>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</si>
  <si>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</si>
  <si>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</si>
  <si>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</si>
  <si>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</si>
  <si>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</si>
  <si>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</si>
  <si>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</si>
  <si>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</si>
  <si>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</si>
  <si>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</si>
  <si>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</si>
  <si>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</si>
  <si>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</si>
  <si>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</si>
  <si>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</si>
  <si>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</si>
  <si>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</si>
  <si>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</si>
  <si>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</si>
  <si>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</si>
  <si>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</si>
  <si>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</si>
  <si>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</si>
  <si>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</si>
  <si>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</si>
  <si>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</si>
  <si>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</si>
  <si>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</si>
  <si>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</si>
  <si>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</si>
  <si>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</si>
  <si>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</si>
  <si>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</si>
  <si>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</si>
  <si>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</si>
  <si>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</si>
  <si>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</si>
  <si>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</si>
  <si>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</si>
  <si>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</si>
  <si>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</si>
  <si>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</si>
  <si>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</si>
  <si>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</si>
  <si>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</si>
  <si>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</si>
  <si>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</si>
  <si>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</si>
  <si>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</si>
  <si>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</si>
  <si>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</si>
  <si>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</si>
  <si>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</si>
  <si>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</si>
  <si>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</si>
  <si>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</si>
  <si>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</si>
  <si>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</si>
  <si>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</si>
  <si>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</si>
  <si>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</si>
  <si>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</si>
  <si>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</si>
  <si>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</si>
  <si>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</si>
  <si>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</si>
  <si>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</si>
  <si>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</si>
  <si>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</si>
  <si>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</si>
  <si>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</si>
  <si>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</si>
  <si>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</si>
  <si>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</si>
  <si>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</si>
  <si>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</si>
  <si>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</si>
  <si>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</si>
  <si>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</si>
  <si>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</si>
  <si>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</si>
  <si>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</si>
  <si>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</si>
  <si>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</si>
  <si>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</si>
  <si>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</si>
  <si>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</si>
  <si>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</si>
  <si>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</si>
  <si>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</si>
  <si>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</si>
  <si>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</si>
  <si>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</si>
  <si>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</si>
  <si>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</si>
  <si>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</si>
  <si>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</si>
  <si>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</si>
  <si>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</si>
  <si>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</si>
  <si>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</si>
  <si>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</si>
  <si>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</si>
  <si>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</si>
  <si>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</si>
  <si>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</si>
  <si>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</si>
  <si>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</si>
  <si>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</si>
  <si>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</si>
  <si>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</si>
  <si>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</si>
  <si>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</si>
  <si>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</si>
  <si>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</si>
  <si>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</si>
  <si>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</si>
  <si>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</si>
  <si>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</si>
  <si>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</si>
  <si>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</si>
  <si>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</si>
  <si>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</si>
  <si>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</si>
  <si>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</si>
  <si>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</si>
  <si>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</si>
  <si>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</si>
  <si>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</si>
  <si>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</si>
  <si>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</si>
  <si>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</si>
  <si>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</si>
  <si>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</si>
  <si>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</si>
  <si>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</si>
  <si>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</si>
  <si>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</si>
  <si>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</si>
  <si>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</si>
  <si>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</si>
  <si>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</si>
  <si>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</si>
  <si>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</si>
  <si>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</si>
  <si>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</si>
  <si>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</si>
  <si>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</si>
  <si>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</si>
  <si>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</si>
  <si>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</si>
  <si>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</si>
  <si>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</si>
  <si>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</si>
  <si>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</si>
  <si>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</si>
  <si>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</si>
  <si>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</si>
  <si>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</si>
  <si>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</si>
  <si>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</si>
  <si>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</si>
  <si>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</si>
  <si>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</si>
  <si>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</si>
  <si>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</si>
  <si>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</si>
  <si>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</si>
  <si>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</si>
  <si>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</si>
  <si>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</si>
  <si>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</si>
  <si>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</si>
  <si>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</si>
  <si>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</si>
  <si>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</si>
  <si>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</si>
  <si>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</si>
  <si>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</si>
  <si>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</si>
  <si>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</si>
  <si>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</si>
  <si>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</si>
  <si>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</si>
  <si>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</si>
  <si>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</si>
  <si>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</si>
  <si>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</si>
  <si>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</si>
  <si>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</si>
  <si>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</si>
  <si>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</si>
  <si>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</si>
  <si>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</si>
  <si>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</si>
  <si>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</si>
  <si>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</si>
  <si>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</si>
  <si>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</si>
  <si>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</si>
  <si>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</si>
  <si>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</si>
  <si>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</si>
  <si>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</si>
  <si>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</si>
  <si>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</si>
  <si>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</si>
  <si>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</si>
  <si>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</si>
  <si>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</si>
  <si>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</si>
  <si>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</si>
  <si>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</si>
  <si>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</si>
  <si>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</si>
  <si>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</si>
  <si>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</si>
  <si>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</si>
  <si>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</si>
  <si>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</si>
  <si>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</si>
  <si>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</si>
  <si>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</si>
  <si>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</si>
  <si>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</si>
  <si>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</si>
  <si>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</si>
  <si>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</si>
  <si>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</si>
  <si>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</si>
  <si>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</si>
  <si>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</si>
  <si>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</si>
  <si>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</si>
  <si>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</si>
  <si>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</si>
  <si>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</si>
  <si>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</si>
  <si>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</si>
  <si>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</si>
  <si>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</si>
  <si>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</si>
  <si>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</si>
  <si>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</si>
  <si>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</si>
  <si>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</si>
  <si>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</si>
  <si>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</si>
  <si>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</si>
  <si>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</si>
  <si>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</si>
  <si>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</si>
  <si>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</si>
  <si>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</si>
  <si>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</si>
  <si>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</si>
  <si>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</si>
  <si>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</si>
  <si>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</si>
  <si>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</si>
  <si>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</si>
  <si>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</si>
  <si>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</si>
  <si>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</si>
  <si>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</si>
  <si>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</si>
  <si>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</si>
  <si>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</si>
  <si>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</si>
  <si>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</si>
  <si>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</si>
  <si>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</si>
  <si>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</si>
  <si>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</si>
  <si>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</si>
  <si>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</si>
  <si>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</si>
  <si>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</si>
  <si>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</si>
  <si>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</si>
  <si>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</si>
  <si>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</si>
  <si>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</si>
  <si>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</si>
  <si>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</si>
  <si>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</si>
  <si>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</si>
  <si>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</si>
  <si>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</si>
  <si>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</si>
  <si>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</si>
  <si>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</si>
  <si>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</si>
  <si>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</si>
  <si>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</si>
  <si>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</si>
  <si>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</si>
  <si>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</si>
  <si>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</si>
  <si>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</si>
  <si>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</si>
  <si>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</si>
  <si>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</si>
  <si>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</si>
  <si>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</si>
  <si>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</si>
  <si>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</si>
  <si>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</si>
  <si>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</si>
  <si>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</si>
  <si>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</si>
  <si>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</si>
  <si>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</si>
  <si>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</si>
  <si>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</si>
  <si>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</si>
  <si>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</si>
  <si>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</si>
  <si>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</si>
  <si>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</si>
  <si>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</si>
  <si>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</si>
  <si>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</si>
  <si>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</si>
  <si>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</si>
  <si>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</si>
  <si>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</si>
  <si>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</si>
  <si>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</si>
  <si>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</si>
  <si>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</si>
  <si>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</si>
  <si>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</si>
  <si>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</si>
  <si>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</si>
  <si>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</si>
  <si>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</si>
  <si>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</si>
  <si>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</si>
  <si>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</si>
  <si>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</si>
  <si>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</si>
  <si>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</si>
  <si>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</si>
  <si>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</si>
  <si>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</si>
  <si>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</si>
  <si>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</si>
  <si>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</si>
  <si>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</si>
  <si>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</si>
  <si>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</si>
  <si>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</si>
  <si>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</si>
  <si>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</si>
  <si>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</si>
  <si>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</si>
  <si>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</si>
  <si>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</si>
  <si>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</si>
  <si>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</si>
  <si>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</si>
  <si>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</si>
  <si>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</si>
  <si>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</si>
  <si>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</si>
  <si>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</si>
  <si>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</si>
  <si>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</si>
  <si>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</si>
  <si>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</si>
  <si>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</si>
  <si>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</si>
  <si>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</si>
  <si>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</si>
  <si>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</si>
  <si>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</si>
  <si>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</si>
  <si>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</si>
  <si>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</si>
  <si>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</si>
  <si>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</si>
  <si>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</si>
  <si>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</si>
  <si>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</si>
  <si>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</si>
  <si>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</si>
  <si>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</si>
  <si>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</si>
  <si>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</si>
  <si>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</si>
  <si>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</si>
  <si>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</si>
  <si>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</si>
  <si>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</si>
  <si>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</si>
  <si>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</si>
  <si>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</si>
  <si>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</si>
  <si>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</si>
  <si>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</si>
  <si>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</si>
  <si>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</si>
  <si>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</si>
  <si>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</si>
  <si>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</si>
  <si>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</si>
  <si>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</si>
  <si>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</si>
  <si>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</si>
  <si>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</si>
  <si>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</si>
  <si>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</si>
  <si>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</si>
  <si>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</si>
  <si>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</si>
  <si>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</si>
  <si>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</si>
  <si>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</si>
  <si>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</si>
  <si>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</si>
  <si>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</si>
  <si>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</si>
  <si>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</si>
  <si>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</si>
  <si>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</si>
  <si>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</si>
  <si>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</si>
  <si>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</si>
  <si>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</si>
  <si>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</si>
  <si>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</si>
  <si>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</si>
  <si>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</si>
  <si>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</si>
  <si>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</si>
  <si>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</si>
  <si>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</si>
  <si>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</si>
  <si>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</si>
  <si>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</si>
  <si>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</si>
  <si>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</si>
  <si>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</si>
  <si>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</si>
  <si>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</si>
  <si>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</si>
  <si>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</si>
  <si>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</si>
  <si>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</si>
  <si>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</si>
  <si>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</si>
  <si>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</si>
  <si>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</si>
  <si>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</si>
  <si>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</si>
  <si>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</si>
  <si>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</si>
  <si>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</si>
  <si>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</si>
  <si>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</si>
  <si>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</si>
  <si>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</si>
  <si>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</si>
  <si>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</si>
  <si>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</si>
  <si>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</si>
  <si>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</si>
  <si>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</si>
  <si>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</si>
  <si>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</si>
  <si>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</si>
  <si>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</si>
  <si>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</si>
  <si>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</si>
  <si>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</si>
  <si>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</si>
  <si>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</si>
  <si>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</si>
  <si>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</si>
  <si>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</si>
  <si>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</si>
  <si>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</si>
  <si>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</si>
  <si>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</si>
  <si>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</si>
  <si>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</si>
  <si>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</si>
  <si>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</si>
  <si>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</si>
  <si>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</si>
  <si>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</si>
  <si>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</si>
  <si>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</si>
  <si>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</si>
  <si>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</si>
  <si>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</si>
  <si>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</si>
  <si>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</si>
  <si>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</si>
  <si>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</si>
  <si>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</si>
  <si>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</si>
  <si>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</si>
  <si>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</si>
  <si>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</si>
  <si>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</si>
  <si>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</si>
  <si>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</si>
  <si>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</si>
  <si>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</si>
  <si>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</si>
  <si>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</si>
  <si>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</si>
  <si>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</si>
  <si>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</si>
  <si>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</si>
  <si>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</si>
  <si>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</si>
  <si>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</si>
  <si>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</si>
  <si>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</si>
  <si>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</si>
  <si>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</si>
  <si>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</si>
  <si>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</si>
  <si>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</si>
  <si>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</si>
  <si>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</si>
  <si>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</si>
  <si>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</si>
  <si>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</si>
  <si>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</si>
  <si>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</si>
  <si>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</si>
  <si>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</si>
  <si>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</si>
  <si>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</si>
  <si>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</si>
  <si>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</si>
  <si>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</si>
  <si>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</si>
  <si>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</si>
  <si>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</si>
  <si>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</si>
  <si>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</si>
  <si>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</si>
  <si>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</si>
  <si>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</si>
  <si>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</si>
  <si>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</si>
  <si>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</si>
  <si>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</si>
  <si>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</si>
  <si>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</si>
  <si>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</si>
  <si>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</si>
  <si>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</si>
  <si>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</si>
  <si>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</si>
  <si>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</si>
  <si>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</si>
  <si>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</si>
  <si>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</si>
  <si>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</si>
  <si>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</si>
  <si>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</si>
  <si>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</si>
  <si>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</si>
  <si>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</si>
  <si>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</si>
  <si>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</si>
  <si>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</si>
  <si>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</si>
  <si>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</si>
  <si>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</si>
  <si>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</si>
  <si>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</si>
  <si>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</si>
  <si>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</si>
  <si>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</si>
  <si>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</si>
  <si>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</si>
  <si>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</si>
  <si>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</si>
  <si>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</si>
  <si>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</si>
  <si>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</si>
  <si>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</si>
  <si>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</si>
  <si>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</si>
  <si>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</si>
  <si>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</si>
  <si>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</si>
  <si>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</si>
  <si>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</si>
  <si>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</si>
  <si>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</si>
  <si>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</si>
  <si>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</si>
  <si>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</si>
  <si>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</si>
  <si>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</si>
  <si>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</si>
  <si>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</si>
  <si>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</si>
  <si>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</si>
  <si>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</si>
  <si>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</si>
  <si>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</si>
  <si>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</si>
  <si>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</si>
  <si>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</si>
  <si>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</si>
  <si>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</si>
  <si>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</si>
  <si>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</si>
  <si>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</si>
  <si>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</si>
  <si>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</si>
  <si>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</si>
  <si>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</si>
  <si>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</si>
  <si>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</si>
  <si>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</si>
  <si>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</si>
  <si>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</si>
  <si>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</si>
  <si>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</si>
  <si>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</si>
  <si>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</si>
  <si>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</si>
  <si>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</si>
  <si>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</si>
  <si>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</si>
  <si>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</si>
  <si>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</si>
  <si>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</si>
  <si>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</si>
  <si>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</si>
  <si>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</si>
  <si>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</si>
  <si>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</si>
  <si>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</si>
  <si>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</si>
  <si>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</si>
  <si>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</si>
  <si>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</si>
  <si>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</si>
  <si>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</si>
  <si>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</si>
  <si>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</si>
  <si>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</si>
  <si>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</si>
  <si>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</si>
  <si>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</si>
  <si>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</si>
  <si>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</si>
  <si>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</si>
  <si>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</si>
  <si>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</si>
  <si>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</si>
  <si>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</si>
  <si>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</si>
  <si>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</si>
  <si>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</si>
  <si>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</si>
  <si>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</si>
  <si>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</si>
  <si>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</si>
  <si>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</si>
  <si>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</si>
  <si>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</si>
  <si>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</si>
  <si>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</si>
  <si>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</si>
  <si>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</si>
  <si>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</si>
  <si>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</si>
  <si>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</si>
  <si>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</si>
  <si>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</si>
  <si>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</si>
  <si>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</si>
  <si>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</si>
  <si>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</si>
  <si>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</si>
  <si>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</si>
  <si>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</si>
  <si>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</si>
  <si>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</si>
  <si>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</si>
  <si>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</si>
  <si>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</si>
  <si>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</si>
  <si>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</si>
  <si>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</si>
  <si>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</si>
  <si>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</si>
  <si>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</si>
  <si>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</si>
  <si>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</si>
  <si>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</si>
  <si>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</si>
  <si>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</si>
  <si>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</si>
  <si>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</si>
  <si>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</si>
  <si>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</si>
  <si>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</si>
  <si>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</si>
  <si>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</si>
  <si>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</si>
  <si>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</si>
  <si>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</si>
  <si>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</si>
  <si>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</si>
  <si>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</si>
  <si>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</si>
  <si>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</si>
  <si>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</si>
  <si>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</si>
  <si>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</si>
  <si>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</si>
  <si>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</si>
  <si>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</si>
  <si>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</si>
  <si>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</si>
  <si>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</si>
  <si>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</si>
  <si>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</si>
  <si>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</si>
  <si>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</si>
  <si>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</si>
  <si>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</si>
  <si>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</si>
  <si>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</si>
  <si>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</si>
  <si>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</si>
  <si>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</si>
  <si>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</si>
  <si>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</si>
  <si>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</si>
  <si>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</si>
  <si>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</si>
  <si>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</si>
  <si>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</si>
  <si>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</si>
  <si>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</si>
  <si>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</si>
  <si>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</si>
  <si>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</si>
  <si>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</si>
  <si>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</si>
  <si>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</si>
  <si>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</si>
  <si>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</si>
  <si>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</si>
  <si>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</si>
  <si>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</si>
  <si>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</si>
  <si>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</si>
  <si>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</si>
  <si>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</si>
  <si>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</si>
  <si>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</si>
  <si>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</si>
  <si>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</si>
  <si>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</si>
  <si>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</si>
  <si>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</si>
  <si>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</si>
  <si>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</si>
  <si>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</si>
  <si>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</si>
  <si>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</si>
  <si>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</si>
  <si>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</si>
  <si>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</si>
  <si>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</si>
  <si>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</si>
  <si>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</si>
  <si>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</si>
  <si>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</si>
  <si>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</si>
  <si>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</si>
  <si>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</si>
  <si>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</si>
  <si>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</si>
  <si>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</si>
  <si>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</si>
  <si>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</si>
  <si>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</si>
  <si>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</si>
  <si>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</si>
  <si>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</si>
  <si>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</si>
  <si>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</si>
  <si>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</si>
  <si>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</si>
  <si>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</si>
  <si>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</si>
  <si>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</si>
  <si>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</si>
  <si>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</si>
  <si>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</si>
  <si>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</si>
  <si>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</si>
  <si>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</si>
  <si>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</si>
  <si>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</si>
  <si>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</si>
  <si>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</si>
  <si>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</si>
  <si>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</si>
  <si>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</si>
  <si>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surface2</t>
  </si>
  <si>
    <t>Travail Protection Ferme</t>
  </si>
  <si>
    <t>Travail Protection UP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</si>
  <si>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</si>
  <si>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</si>
  <si>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</si>
  <si>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</si>
  <si>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</si>
  <si>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</si>
  <si>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</si>
  <si>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</si>
  <si>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</si>
  <si>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</si>
  <si>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</si>
  <si>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</si>
  <si>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</si>
  <si>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</si>
  <si>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</si>
  <si>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</si>
  <si>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Z1_OL_B_s1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</si>
</sst>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15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2.48646030092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94" maxValue="269" count="8">
        <m/>
        <n v="269"/>
        <n v="194"/>
        <n v="265"/>
        <n v="266"/>
        <n v="264"/>
        <n v="241" u="1"/>
        <n v="267" u="1"/>
      </sharedItems>
    </cacheField>
    <cacheField name="surface" numFmtId="0">
      <sharedItems containsString="0" containsBlank="1" containsNumber="1" minValue="0.5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8"/>
    <n v="3"/>
    <n v="0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3"/>
    <n v="2"/>
    <n v="0"/>
  </r>
  <r>
    <n v="1"/>
    <n v="2"/>
    <x v="1"/>
    <s v="PP"/>
    <x v="3"/>
    <n v="1.4"/>
    <n v="2"/>
    <n v="1"/>
  </r>
  <r>
    <m/>
    <m/>
    <x v="0"/>
    <m/>
    <x v="0"/>
    <m/>
    <m/>
    <m/>
  </r>
  <r>
    <n v="1"/>
    <n v="2"/>
    <x v="1"/>
    <s v="PP"/>
    <x v="4"/>
    <n v="1"/>
    <n v="3"/>
    <n v="0"/>
  </r>
  <r>
    <n v="2"/>
    <n v="0"/>
    <x v="1"/>
    <s v="Landes"/>
    <x v="0"/>
    <n v="3.8"/>
    <n v="3"/>
    <n v="1"/>
  </r>
  <r>
    <m/>
    <m/>
    <x v="0"/>
    <m/>
    <x v="0"/>
    <m/>
    <m/>
    <m/>
  </r>
  <r>
    <n v="1"/>
    <n v="2"/>
    <x v="2"/>
    <s v="PP"/>
    <x v="4"/>
    <n v="5"/>
    <n v="3"/>
    <n v="1"/>
  </r>
  <r>
    <n v="1"/>
    <n v="2"/>
    <x v="2"/>
    <s v="PP"/>
    <x v="3"/>
    <n v="1.5"/>
    <n v="3"/>
    <n v="1"/>
  </r>
  <r>
    <n v="1"/>
    <n v="2"/>
    <x v="2"/>
    <s v="PP"/>
    <x v="5"/>
    <n v="1.5"/>
    <n v="3"/>
    <n v="0"/>
  </r>
  <r>
    <n v="1"/>
    <n v="2"/>
    <x v="2"/>
    <s v="PP"/>
    <x v="3"/>
    <n v="1.4"/>
    <n v="3"/>
    <n v="1"/>
  </r>
  <r>
    <n v="1"/>
    <n v="2"/>
    <x v="2"/>
    <s v="PP"/>
    <x v="3"/>
    <n v="1.1000000000000001"/>
    <n v="2"/>
    <n v="1"/>
  </r>
  <r>
    <n v="1"/>
    <m/>
    <x v="2"/>
    <s v="PP"/>
    <x v="5"/>
    <n v="1"/>
    <n v="3"/>
    <n v="1"/>
  </r>
  <r>
    <n v="1"/>
    <n v="2"/>
    <x v="2"/>
    <s v="PP"/>
    <x v="3"/>
    <n v="0.9"/>
    <n v="2"/>
    <n v="0.5"/>
  </r>
  <r>
    <n v="1"/>
    <n v="2"/>
    <x v="2"/>
    <s v="PP"/>
    <x v="4"/>
    <n v="0.5"/>
    <n v="1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2" cacheId="3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5" cacheId="3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27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9">
        <item m="1" x="6"/>
        <item x="3"/>
        <item x="4"/>
        <item x="0"/>
        <item x="1"/>
        <item x="2"/>
        <item x="5"/>
        <item m="1" x="7"/>
        <item t="default"/>
      </items>
    </pivotField>
    <pivotField dataField="1" showAll="0"/>
    <pivotField showAll="0"/>
    <pivotField showAll="0"/>
  </pivotFields>
  <rowFields count="1">
    <field x="4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36.396000000000001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102.61620804623999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1.2246167807999999</v>
      </c>
      <c r="K5" s="143">
        <f>CdTrp1!F215+CdTrp2!F215+CdTrp3!F215+CdTrp4!F215</f>
        <v>2.6777558001600008</v>
      </c>
      <c r="L5" s="143">
        <f>CdTrp1!G215+CdTrp2!G215+CdTrp3!G215+CdTrp4!G215</f>
        <v>3.5552763366400013</v>
      </c>
      <c r="M5" s="143">
        <f>CdTrp1!H215+CdTrp2!H215+CdTrp3!H215+CdTrp4!H215</f>
        <v>3.8542626359999996</v>
      </c>
      <c r="N5" s="143">
        <f>CdTrp1!I215+CdTrp2!I215+CdTrp3!I215+CdTrp4!I215</f>
        <v>5.1171486912000006</v>
      </c>
      <c r="O5" s="143">
        <f>CdTrp1!J215+CdTrp2!J215+CdTrp3!J215+CdTrp4!J215</f>
        <v>4.9035696931200015</v>
      </c>
      <c r="P5" s="143">
        <f>CdTrp1!K215+CdTrp2!K215+CdTrp3!K215+CdTrp4!K215</f>
        <v>4.8809725977600014</v>
      </c>
      <c r="Q5" s="143">
        <f>CdTrp1!L215+CdTrp2!L215+CdTrp3!L215+CdTrp4!L215</f>
        <v>5.4852626640000004</v>
      </c>
      <c r="R5" s="143">
        <f>CdTrp1!M215+CdTrp2!M215+CdTrp3!M215+CdTrp4!M215</f>
        <v>5.4342369648000002</v>
      </c>
      <c r="S5" s="143">
        <f>CdTrp1!N215+CdTrp2!N215+CdTrp3!N215+CdTrp4!N215</f>
        <v>5.5626516411200004</v>
      </c>
      <c r="T5" s="143">
        <f>CdTrp1!O215+CdTrp2!O215+CdTrp3!O215+CdTrp4!O215</f>
        <v>5.5099250852800008</v>
      </c>
      <c r="U5" s="143">
        <f>CdTrp1!P215+CdTrp2!P215+CdTrp3!P215+CdTrp4!P215</f>
        <v>3.4599074753600005</v>
      </c>
      <c r="V5" s="143">
        <f>CdTrp1!Q215+CdTrp2!Q215+CdTrp3!Q215+CdTrp4!Q215</f>
        <v>3.4599074753600005</v>
      </c>
      <c r="W5" s="143">
        <f>CdTrp1!R215+CdTrp2!R215+CdTrp3!R215+CdTrp4!R215</f>
        <v>2.3916411120000003</v>
      </c>
      <c r="X5" s="143">
        <f>CdTrp1!S215+CdTrp2!S215+CdTrp3!S215+CdTrp4!S215</f>
        <v>2.2102844400000006</v>
      </c>
      <c r="Y5" s="143">
        <f>CdTrp1!T215+CdTrp2!T215+CdTrp3!T215+CdTrp4!T215</f>
        <v>2.2839605880000002</v>
      </c>
      <c r="Z5" s="143">
        <f>CdTrp1!U215+CdTrp2!U215+CdTrp3!U215+CdTrp4!U215</f>
        <v>2.2839605880000002</v>
      </c>
      <c r="AA5" s="143">
        <f>CdTrp1!V215+CdTrp2!V215+CdTrp3!V215+CdTrp4!V215</f>
        <v>3.9662204400000007</v>
      </c>
      <c r="AB5" s="143">
        <f>CdTrp1!W215+CdTrp2!W215+CdTrp3!W215+CdTrp4!W215</f>
        <v>3.9095464800000004</v>
      </c>
      <c r="AC5" s="143">
        <f>CdTrp1!X215+CdTrp2!X215+CdTrp3!X215+CdTrp4!X215</f>
        <v>4.0398646960000004</v>
      </c>
      <c r="AD5" s="143">
        <f>CdTrp1!Y215+CdTrp2!Y215+CdTrp3!Y215+CdTrp4!Y215</f>
        <v>1.8144671999999999</v>
      </c>
      <c r="AE5" s="153"/>
      <c r="AF5" s="144">
        <f>AF8+AF9</f>
        <v>97.042226265600007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0.45361680000000004</v>
      </c>
      <c r="H6" s="143">
        <f>CdTrp1!C216+CdTrp2!C216+CdTrp3!C216+CdTrp4!C216</f>
        <v>0.45361680000000004</v>
      </c>
      <c r="I6" s="143">
        <f>CdTrp1!D216+CdTrp2!D216+CdTrp3!D216+CdTrp4!D216</f>
        <v>0.40971840000000004</v>
      </c>
      <c r="J6" s="143">
        <f>CdTrp1!E216+CdTrp2!E216+CdTrp3!E216+CdTrp4!E216</f>
        <v>0.40971840000000004</v>
      </c>
      <c r="K6" s="143">
        <f>CdTrp1!F216+CdTrp2!F216+CdTrp3!F216+CdTrp4!F216</f>
        <v>0.54434016000000007</v>
      </c>
      <c r="L6" s="143">
        <f>CdTrp1!G216+CdTrp2!G216+CdTrp3!G216+CdTrp4!G216</f>
        <v>0.54434016000000007</v>
      </c>
      <c r="M6" s="143">
        <f>CdTrp1!H216+CdTrp2!H216+CdTrp3!H216+CdTrp4!H216</f>
        <v>0.73749312</v>
      </c>
      <c r="N6" s="143">
        <f>CdTrp1!I216+CdTrp2!I216+CdTrp3!I216+CdTrp4!I216</f>
        <v>0.73749312</v>
      </c>
      <c r="O6" s="143">
        <f>CdTrp1!J216+CdTrp2!J216+CdTrp3!J216+CdTrp4!J216</f>
        <v>0.90723359999999997</v>
      </c>
      <c r="P6" s="143">
        <f>CdTrp1!K216+CdTrp2!K216+CdTrp3!K216+CdTrp4!K216</f>
        <v>0.90723359999999997</v>
      </c>
      <c r="Q6" s="143">
        <f>CdTrp1!L216+CdTrp2!L216+CdTrp3!L216+CdTrp4!L216</f>
        <v>1.4047488000000001</v>
      </c>
      <c r="R6" s="143">
        <f>CdTrp1!M216+CdTrp2!M216+CdTrp3!M216+CdTrp4!M216</f>
        <v>1.4047488000000001</v>
      </c>
      <c r="S6" s="143">
        <f>CdTrp1!N216+CdTrp2!N216+CdTrp3!N216+CdTrp4!N216</f>
        <v>1.3003681600000001</v>
      </c>
      <c r="T6" s="143">
        <f>CdTrp1!O216+CdTrp2!O216+CdTrp3!O216+CdTrp4!O216</f>
        <v>1.3003681600000001</v>
      </c>
      <c r="U6" s="143">
        <f>CdTrp1!P216+CdTrp2!P216+CdTrp3!P216+CdTrp4!P216</f>
        <v>0.90723359999999997</v>
      </c>
      <c r="V6" s="143">
        <f>CdTrp1!Q216+CdTrp2!Q216+CdTrp3!Q216+CdTrp4!Q216</f>
        <v>0.90723359999999997</v>
      </c>
      <c r="W6" s="143">
        <f>CdTrp1!R216+CdTrp2!R216+CdTrp3!R216+CdTrp4!R216</f>
        <v>0.87796800000000008</v>
      </c>
      <c r="X6" s="143">
        <f>CdTrp1!S216+CdTrp2!S216+CdTrp3!S216+CdTrp4!S216</f>
        <v>0.87796800000000008</v>
      </c>
      <c r="Y6" s="143">
        <f>CdTrp1!T216+CdTrp2!T216+CdTrp3!T216+CdTrp4!T216</f>
        <v>1.8144671999999999</v>
      </c>
      <c r="Z6" s="143">
        <f>CdTrp1!U216+CdTrp2!U216+CdTrp3!U216+CdTrp4!U216</f>
        <v>1.8144671999999999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0.15120560000000002</v>
      </c>
      <c r="AD6" s="143">
        <f>CdTrp1!Y216+CdTrp2!Y216+CdTrp3!Y216+CdTrp4!Y216</f>
        <v>0.15120560000000002</v>
      </c>
      <c r="AE6" s="153"/>
      <c r="AF6" s="154"/>
    </row>
    <row r="7" spans="1:53" x14ac:dyDescent="0.25">
      <c r="B7" s="14" t="s">
        <v>296</v>
      </c>
      <c r="C7" s="144">
        <f>ROUNDUP(C4-C6-0.9*C5,1)</f>
        <v>102.69999999999999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0.45361680000000004</v>
      </c>
      <c r="H8" s="143">
        <f t="shared" ref="H8:AD8" si="0">SUM(H5:H7)</f>
        <v>0.45361680000000004</v>
      </c>
      <c r="I8" s="143">
        <f t="shared" si="0"/>
        <v>0.40971840000000004</v>
      </c>
      <c r="J8" s="143">
        <f t="shared" si="0"/>
        <v>1.6343351808</v>
      </c>
      <c r="K8" s="143">
        <f t="shared" si="0"/>
        <v>3.2220959601600008</v>
      </c>
      <c r="L8" s="143">
        <f t="shared" si="0"/>
        <v>4.0996164966400013</v>
      </c>
      <c r="M8" s="143">
        <f t="shared" si="0"/>
        <v>4.5917557559999995</v>
      </c>
      <c r="N8" s="143">
        <f t="shared" si="0"/>
        <v>5.8546418112000005</v>
      </c>
      <c r="O8" s="143">
        <f t="shared" si="0"/>
        <v>5.8108032931200011</v>
      </c>
      <c r="P8" s="143">
        <f t="shared" si="0"/>
        <v>5.788206197760001</v>
      </c>
      <c r="Q8" s="143">
        <f t="shared" si="0"/>
        <v>6.8900114640000005</v>
      </c>
      <c r="R8" s="143">
        <f t="shared" si="0"/>
        <v>6.8389857648000003</v>
      </c>
      <c r="S8" s="143">
        <f t="shared" si="0"/>
        <v>6.8630198011200001</v>
      </c>
      <c r="T8" s="143">
        <f t="shared" si="0"/>
        <v>6.8102932452800005</v>
      </c>
      <c r="U8" s="143">
        <f t="shared" si="0"/>
        <v>4.3671410753600002</v>
      </c>
      <c r="V8" s="143">
        <f t="shared" si="0"/>
        <v>4.3671410753600002</v>
      </c>
      <c r="W8" s="143">
        <f t="shared" si="0"/>
        <v>3.2696091120000004</v>
      </c>
      <c r="X8" s="143">
        <f t="shared" si="0"/>
        <v>3.0882524400000007</v>
      </c>
      <c r="Y8" s="143">
        <f t="shared" si="0"/>
        <v>4.0984277880000004</v>
      </c>
      <c r="Z8" s="143">
        <f t="shared" si="0"/>
        <v>4.0984277880000004</v>
      </c>
      <c r="AA8" s="143">
        <f t="shared" si="0"/>
        <v>3.9662204400000007</v>
      </c>
      <c r="AB8" s="143">
        <f t="shared" si="0"/>
        <v>3.9095464800000004</v>
      </c>
      <c r="AC8" s="143">
        <f t="shared" si="0"/>
        <v>4.1910702960000004</v>
      </c>
      <c r="AD8" s="143">
        <f t="shared" si="0"/>
        <v>1.9656727999999999</v>
      </c>
      <c r="AE8" s="153"/>
      <c r="AF8" s="144">
        <f>SUM(G8:AD8)</f>
        <v>97.042226265600007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36.400000000000006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8.1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36.400000000000006</v>
      </c>
      <c r="H14" s="145">
        <f>CdTrp1!AL54+CdTrp2!AL54+CdTrp3!AL54+CdTrp4!AL54</f>
        <v>8.1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5.8</v>
      </c>
      <c r="R14" s="145">
        <f>CdTrp1!AV54+CdTrp2!AV54+CdTrp3!AV54+CdTrp4!AV54</f>
        <v>0</v>
      </c>
      <c r="S14" s="145">
        <f>CdTrp1!AW54+CdTrp2!AW54+CdTrp3!AW54+CdTrp4!AW54</f>
        <v>5</v>
      </c>
      <c r="T14" s="145">
        <f>CdTrp1!AX54+CdTrp2!AX54+CdTrp3!AX54+CdTrp4!AX54</f>
        <v>8.5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8.5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G1" zoomScaleNormal="100" workbookViewId="0">
      <selection activeCell="O52" sqref="O5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4" t="s">
        <v>252</v>
      </c>
      <c r="AT2" s="284"/>
      <c r="AU2" s="283" t="s">
        <v>253</v>
      </c>
      <c r="AV2" s="283"/>
      <c r="AW2" s="283" t="s">
        <v>254</v>
      </c>
      <c r="AX2" s="283"/>
      <c r="AY2" s="283" t="s">
        <v>255</v>
      </c>
      <c r="AZ2" s="283"/>
      <c r="BA2" s="283" t="s">
        <v>256</v>
      </c>
      <c r="BB2" s="283"/>
      <c r="BC2" s="283" t="s">
        <v>257</v>
      </c>
      <c r="BD2" s="283"/>
      <c r="BE2" s="283" t="s">
        <v>258</v>
      </c>
      <c r="BF2" s="283"/>
      <c r="BG2" s="283" t="s">
        <v>259</v>
      </c>
      <c r="BH2" s="283"/>
      <c r="BI2" s="283" t="s">
        <v>260</v>
      </c>
      <c r="BJ2" s="283"/>
      <c r="BK2" s="283" t="s">
        <v>261</v>
      </c>
      <c r="BL2" s="283"/>
      <c r="BM2" s="283" t="s">
        <v>262</v>
      </c>
      <c r="BN2" s="283"/>
      <c r="BO2" s="283" t="s">
        <v>263</v>
      </c>
      <c r="BP2" s="283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0.45361680000000004</v>
      </c>
      <c r="AT5" s="13">
        <f>'Conduite Trp'!H8</f>
        <v>0.45361680000000004</v>
      </c>
      <c r="AU5" s="13">
        <f>'Conduite Trp'!I8</f>
        <v>0.40971840000000004</v>
      </c>
      <c r="AV5" s="13">
        <f>'Conduite Trp'!J8</f>
        <v>1.6343351808</v>
      </c>
      <c r="AW5" s="13">
        <f>'Conduite Trp'!K8</f>
        <v>3.2220959601600008</v>
      </c>
      <c r="AX5" s="13">
        <f>'Conduite Trp'!L8</f>
        <v>4.0996164966400013</v>
      </c>
      <c r="AY5" s="13">
        <f>'Conduite Trp'!M8</f>
        <v>4.5917557559999995</v>
      </c>
      <c r="AZ5" s="13">
        <f>'Conduite Trp'!N8</f>
        <v>5.8546418112000005</v>
      </c>
      <c r="BA5" s="13">
        <f>'Conduite Trp'!O8</f>
        <v>5.8108032931200011</v>
      </c>
      <c r="BB5" s="13">
        <f>'Conduite Trp'!P8</f>
        <v>5.788206197760001</v>
      </c>
      <c r="BC5" s="13">
        <f>'Conduite Trp'!Q8</f>
        <v>6.8900114640000005</v>
      </c>
      <c r="BD5" s="13">
        <f>'Conduite Trp'!R8</f>
        <v>6.8389857648000003</v>
      </c>
      <c r="BE5" s="13">
        <f>'Conduite Trp'!S8</f>
        <v>6.8630198011200001</v>
      </c>
      <c r="BF5" s="13">
        <f>'Conduite Trp'!T8</f>
        <v>6.8102932452800005</v>
      </c>
      <c r="BG5" s="13">
        <f>'Conduite Trp'!U8</f>
        <v>4.3671410753600002</v>
      </c>
      <c r="BH5" s="13">
        <f>'Conduite Trp'!V8</f>
        <v>4.3671410753600002</v>
      </c>
      <c r="BI5" s="13">
        <f>'Conduite Trp'!W8</f>
        <v>3.2696091120000004</v>
      </c>
      <c r="BJ5" s="13">
        <f>'Conduite Trp'!X8</f>
        <v>3.0882524400000007</v>
      </c>
      <c r="BK5" s="13">
        <f>'Conduite Trp'!Y8</f>
        <v>4.0984277880000004</v>
      </c>
      <c r="BL5" s="13">
        <f>'Conduite Trp'!Z8</f>
        <v>4.0984277880000004</v>
      </c>
      <c r="BM5" s="13">
        <f>'Conduite Trp'!AA8</f>
        <v>3.9662204400000007</v>
      </c>
      <c r="BN5" s="13">
        <f>'Conduite Trp'!AB8</f>
        <v>3.9095464800000004</v>
      </c>
      <c r="BO5" s="13">
        <f>'Conduite Trp'!AC8</f>
        <v>4.1910702960000004</v>
      </c>
      <c r="BP5" s="13">
        <f>'Conduite Trp'!AD8</f>
        <v>1.9656727999999999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12.9</v>
      </c>
      <c r="P7">
        <v>1</v>
      </c>
      <c r="Q7" s="158">
        <v>265</v>
      </c>
      <c r="R7" s="158">
        <v>4.9000000000000004</v>
      </c>
      <c r="S7" s="280" t="str">
        <f>VLOOKUP($Q7,[1]MEP!$A$5:$D$300,3)</f>
        <v>PP EXCELLENTE 2 COUPES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6.3</v>
      </c>
      <c r="AE7" s="61">
        <f t="shared" ref="AE7:AE26" si="0">$R7*V7</f>
        <v>7.3500000000000005</v>
      </c>
      <c r="AF7" s="61">
        <f t="shared" ref="AF7:AF26" si="1">$R7*W7</f>
        <v>0</v>
      </c>
      <c r="AG7" s="61">
        <f t="shared" ref="AG7:AG26" si="2">$R7*X7</f>
        <v>3.9200000000000004</v>
      </c>
      <c r="AH7" s="61">
        <f t="shared" ref="AH7:AH26" si="3">$R7*Y7</f>
        <v>2.4500000000000002</v>
      </c>
      <c r="AI7" s="61">
        <f t="shared" ref="AI7:AI26" si="4">$R7*Z7</f>
        <v>3.43</v>
      </c>
      <c r="AJ7" s="61">
        <f t="shared" ref="AJ7:AJ26" si="5">$R7*AA7</f>
        <v>0</v>
      </c>
      <c r="AK7" s="141"/>
      <c r="AL7" s="61">
        <f t="shared" ref="AL7:AL26" si="6">R7*AC7</f>
        <v>30.87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4.5917557559999995</v>
      </c>
      <c r="AZ7" s="61">
        <f t="shared" si="7"/>
        <v>5.8546418112000005</v>
      </c>
      <c r="BA7" s="61">
        <f t="shared" si="7"/>
        <v>5.8108032931200011</v>
      </c>
      <c r="BB7" s="61">
        <f t="shared" si="7"/>
        <v>5.788206197760001</v>
      </c>
      <c r="BC7" s="61">
        <f t="shared" si="7"/>
        <v>6.8900114640000005</v>
      </c>
      <c r="BD7" s="61">
        <f t="shared" si="7"/>
        <v>6.8389857648000003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35.774404286879999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36.396000000000001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12.9</v>
      </c>
      <c r="P8">
        <v>2</v>
      </c>
      <c r="Q8" s="39">
        <v>264</v>
      </c>
      <c r="R8" s="39">
        <v>2.5</v>
      </c>
      <c r="S8" s="280" t="str">
        <f>VLOOKUP($Q8,[1]MEP!$A$5:$D$300,3)</f>
        <v>PP EXCELLENTE 1  COUPE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1.8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3.8</v>
      </c>
      <c r="AE8" s="61">
        <f t="shared" si="0"/>
        <v>4.5</v>
      </c>
      <c r="AF8" s="61">
        <f t="shared" si="1"/>
        <v>3</v>
      </c>
      <c r="AG8" s="61">
        <f t="shared" si="2"/>
        <v>4.5</v>
      </c>
      <c r="AH8" s="61">
        <f t="shared" si="3"/>
        <v>1.25</v>
      </c>
      <c r="AI8" s="61">
        <f t="shared" si="4"/>
        <v>1.75</v>
      </c>
      <c r="AJ8" s="61">
        <f t="shared" si="5"/>
        <v>0</v>
      </c>
      <c r="AK8" s="141"/>
      <c r="AL8" s="61">
        <f t="shared" si="6"/>
        <v>9.5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6.8630198011200001</v>
      </c>
      <c r="BF8" s="61">
        <f t="shared" si="8"/>
        <v>6.8102932452800005</v>
      </c>
      <c r="BG8" s="61">
        <f t="shared" si="8"/>
        <v>4.3671410753600002</v>
      </c>
      <c r="BH8" s="61">
        <f t="shared" si="8"/>
        <v>4.3671410753600002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22.407595197119999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36.396000000000001</v>
      </c>
      <c r="G9" s="81"/>
      <c r="H9" s="61">
        <f>SUM(L34:L43)</f>
        <v>30</v>
      </c>
      <c r="I9" s="81"/>
      <c r="J9" s="81"/>
      <c r="K9" s="93">
        <f>H9-F9</f>
        <v>-6.3960000000000008</v>
      </c>
      <c r="L9" s="81"/>
      <c r="M9" s="100"/>
      <c r="P9">
        <v>3</v>
      </c>
      <c r="Q9" s="39">
        <v>266</v>
      </c>
      <c r="R9" s="39">
        <v>5.5</v>
      </c>
      <c r="S9" s="280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ref="AE9:AJ16" si="10">$R9*V9</f>
        <v>18.149999999999999</v>
      </c>
      <c r="AF9" s="61">
        <f t="shared" si="10"/>
        <v>16.5</v>
      </c>
      <c r="AG9" s="61">
        <f t="shared" si="10"/>
        <v>12.649999999999999</v>
      </c>
      <c r="AH9" s="61">
        <f t="shared" si="10"/>
        <v>2.75</v>
      </c>
      <c r="AI9" s="61">
        <f t="shared" si="10"/>
        <v>3.8499999999999996</v>
      </c>
      <c r="AJ9" s="61">
        <f t="shared" si="10"/>
        <v>0</v>
      </c>
      <c r="AK9" s="141"/>
      <c r="AL9" s="61">
        <f t="shared" ref="AL9:AL16" si="11">R9*AC9</f>
        <v>0</v>
      </c>
      <c r="AQ9" s="32"/>
      <c r="AR9" s="69">
        <v>3</v>
      </c>
      <c r="AS9" s="61">
        <f>IF(AS$4=3,AS$5,0)</f>
        <v>0</v>
      </c>
      <c r="AT9" s="61">
        <f t="shared" ref="AT9:BP9" si="12">IF(AT$4=3,AT$5,0)</f>
        <v>0</v>
      </c>
      <c r="AU9" s="61">
        <f t="shared" si="12"/>
        <v>0</v>
      </c>
      <c r="AV9" s="61">
        <f t="shared" si="12"/>
        <v>0</v>
      </c>
      <c r="AW9" s="61">
        <f t="shared" si="12"/>
        <v>0</v>
      </c>
      <c r="AX9" s="61">
        <f t="shared" si="12"/>
        <v>0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3.2696091120000004</v>
      </c>
      <c r="BJ9" s="61">
        <f t="shared" si="12"/>
        <v>3.0882524400000007</v>
      </c>
      <c r="BK9" s="61">
        <f t="shared" si="12"/>
        <v>4.0984277880000004</v>
      </c>
      <c r="BL9" s="61">
        <f t="shared" si="12"/>
        <v>4.0984277880000004</v>
      </c>
      <c r="BM9" s="61">
        <f t="shared" si="12"/>
        <v>3.9662204400000007</v>
      </c>
      <c r="BN9" s="61">
        <f t="shared" si="12"/>
        <v>3.9095464800000004</v>
      </c>
      <c r="BO9" s="61">
        <f t="shared" si="12"/>
        <v>0</v>
      </c>
      <c r="BP9" s="61">
        <f t="shared" si="12"/>
        <v>0</v>
      </c>
      <c r="BR9" s="61">
        <f t="shared" si="9"/>
        <v>22.430484048</v>
      </c>
      <c r="BS9" s="61">
        <f>COUNTIF($AS$4:$BP$4,3)/2</f>
        <v>3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/>
      <c r="R10" s="39"/>
      <c r="S10" s="280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10"/>
        <v>0</v>
      </c>
      <c r="AF10" s="61">
        <f t="shared" si="10"/>
        <v>0</v>
      </c>
      <c r="AG10" s="61">
        <f t="shared" si="10"/>
        <v>0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0</v>
      </c>
      <c r="AQ10" s="32"/>
      <c r="AR10" s="70">
        <v>4</v>
      </c>
      <c r="AS10" s="61">
        <f>IF(AS$4=4,AS$5,0)</f>
        <v>0.45361680000000004</v>
      </c>
      <c r="AT10" s="61">
        <f t="shared" ref="AT10:BP10" si="13">IF(AT$4=4,AT$5,0)</f>
        <v>0.45361680000000004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4.1910702960000004</v>
      </c>
      <c r="BP10" s="61">
        <f t="shared" si="13"/>
        <v>1.9656727999999999</v>
      </c>
      <c r="BR10" s="61">
        <f t="shared" si="9"/>
        <v>7.063976696000001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N11">
        <f>O8+O30</f>
        <v>18.399999999999999</v>
      </c>
      <c r="P11">
        <v>5</v>
      </c>
      <c r="Q11" s="158"/>
      <c r="R11" s="158"/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0.40971840000000004</v>
      </c>
      <c r="AV11" s="61">
        <f t="shared" si="14"/>
        <v>1.6343351808</v>
      </c>
      <c r="AW11" s="61">
        <f t="shared" si="14"/>
        <v>3.2220959601600008</v>
      </c>
      <c r="AX11" s="61">
        <f t="shared" si="14"/>
        <v>4.0996164966400013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9.365766037600002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/>
      <c r="R12" s="158"/>
      <c r="S12" s="280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0</v>
      </c>
      <c r="AF12" s="61">
        <f t="shared" si="10"/>
        <v>0</v>
      </c>
      <c r="AG12" s="61">
        <f t="shared" si="10"/>
        <v>0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36.400000000000006</v>
      </c>
      <c r="G13" s="81"/>
      <c r="H13" s="61">
        <f>F61</f>
        <v>0</v>
      </c>
      <c r="I13" s="81"/>
      <c r="J13" s="81"/>
      <c r="K13" s="93">
        <f>H13-F13</f>
        <v>-36.400000000000006</v>
      </c>
      <c r="L13" s="81"/>
      <c r="M13" s="100"/>
      <c r="P13">
        <v>7</v>
      </c>
      <c r="Q13" s="158"/>
      <c r="R13" s="158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10"/>
        <v>0</v>
      </c>
      <c r="AF13" s="61">
        <f t="shared" si="10"/>
        <v>0</v>
      </c>
      <c r="AG13" s="61">
        <f t="shared" si="10"/>
        <v>0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8.1</v>
      </c>
      <c r="G14" s="81"/>
      <c r="H14" s="61">
        <f>G61</f>
        <v>0</v>
      </c>
      <c r="I14" s="81"/>
      <c r="J14" s="81"/>
      <c r="K14" s="93">
        <f t="shared" ref="K14:K17" si="16">H14-F14</f>
        <v>-8.1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1.2246167807999999</v>
      </c>
      <c r="AW15" s="13">
        <f>'Conduite Trp'!K5</f>
        <v>2.6777558001600008</v>
      </c>
      <c r="AX15" s="13">
        <f>'Conduite Trp'!L5</f>
        <v>3.5552763366400013</v>
      </c>
      <c r="AY15" s="13">
        <f>'Conduite Trp'!M5</f>
        <v>3.8542626359999996</v>
      </c>
      <c r="AZ15" s="13">
        <f>'Conduite Trp'!N5</f>
        <v>5.1171486912000006</v>
      </c>
      <c r="BA15" s="13">
        <f>'Conduite Trp'!O5</f>
        <v>4.9035696931200015</v>
      </c>
      <c r="BB15" s="13">
        <f>'Conduite Trp'!P5</f>
        <v>4.8809725977600014</v>
      </c>
      <c r="BC15" s="13">
        <f>'Conduite Trp'!Q5</f>
        <v>5.4852626640000004</v>
      </c>
      <c r="BD15" s="13">
        <f>'Conduite Trp'!R5</f>
        <v>5.4342369648000002</v>
      </c>
      <c r="BE15" s="13">
        <f>'Conduite Trp'!S5</f>
        <v>5.5626516411200004</v>
      </c>
      <c r="BF15" s="13">
        <f>'Conduite Trp'!T5</f>
        <v>5.5099250852800008</v>
      </c>
      <c r="BG15" s="13">
        <f>'Conduite Trp'!U5</f>
        <v>3.4599074753600005</v>
      </c>
      <c r="BH15" s="13">
        <f>'Conduite Trp'!V5</f>
        <v>3.4599074753600005</v>
      </c>
      <c r="BI15" s="13">
        <f>'Conduite Trp'!W5</f>
        <v>2.3916411120000003</v>
      </c>
      <c r="BJ15" s="13">
        <f>'Conduite Trp'!X5</f>
        <v>2.2102844400000006</v>
      </c>
      <c r="BK15" s="13">
        <f>'Conduite Trp'!Y5</f>
        <v>2.2839605880000002</v>
      </c>
      <c r="BL15" s="13">
        <f>'Conduite Trp'!Z5</f>
        <v>2.2839605880000002</v>
      </c>
      <c r="BM15" s="13">
        <f>'Conduite Trp'!AA5</f>
        <v>3.9662204400000007</v>
      </c>
      <c r="BN15" s="13">
        <f>'Conduite Trp'!AB5</f>
        <v>3.9095464800000004</v>
      </c>
      <c r="BO15" s="13">
        <f>'Conduite Trp'!AC5</f>
        <v>4.0398646960000004</v>
      </c>
      <c r="BP15" s="13">
        <f>'Conduite Trp'!AD5</f>
        <v>1.8144671999999999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0.45361680000000004</v>
      </c>
      <c r="AT16" s="13">
        <f>'Conduite Trp'!H6</f>
        <v>0.45361680000000004</v>
      </c>
      <c r="AU16" s="13">
        <f>'Conduite Trp'!I6</f>
        <v>0.40971840000000004</v>
      </c>
      <c r="AV16" s="13">
        <f>'Conduite Trp'!J6</f>
        <v>0.40971840000000004</v>
      </c>
      <c r="AW16" s="13">
        <f>'Conduite Trp'!K6</f>
        <v>0.54434016000000007</v>
      </c>
      <c r="AX16" s="13">
        <f>'Conduite Trp'!L6</f>
        <v>0.54434016000000007</v>
      </c>
      <c r="AY16" s="13">
        <f>'Conduite Trp'!M6</f>
        <v>0.73749312</v>
      </c>
      <c r="AZ16" s="13">
        <f>'Conduite Trp'!N6</f>
        <v>0.73749312</v>
      </c>
      <c r="BA16" s="13">
        <f>'Conduite Trp'!O6</f>
        <v>0.90723359999999997</v>
      </c>
      <c r="BB16" s="13">
        <f>'Conduite Trp'!P6</f>
        <v>0.90723359999999997</v>
      </c>
      <c r="BC16" s="13">
        <f>'Conduite Trp'!Q6</f>
        <v>1.4047488000000001</v>
      </c>
      <c r="BD16" s="13">
        <f>'Conduite Trp'!R6</f>
        <v>1.4047488000000001</v>
      </c>
      <c r="BE16" s="13">
        <f>'Conduite Trp'!S6</f>
        <v>1.3003681600000001</v>
      </c>
      <c r="BF16" s="13">
        <f>'Conduite Trp'!T6</f>
        <v>1.3003681600000001</v>
      </c>
      <c r="BG16" s="13">
        <f>'Conduite Trp'!U6</f>
        <v>0.90723359999999997</v>
      </c>
      <c r="BH16" s="13">
        <f>'Conduite Trp'!V6</f>
        <v>0.90723359999999997</v>
      </c>
      <c r="BI16" s="13">
        <f>'Conduite Trp'!W6</f>
        <v>0.87796800000000008</v>
      </c>
      <c r="BJ16" s="13">
        <f>'Conduite Trp'!X6</f>
        <v>0.87796800000000008</v>
      </c>
      <c r="BK16" s="13">
        <f>'Conduite Trp'!Y6</f>
        <v>1.8144671999999999</v>
      </c>
      <c r="BL16" s="13">
        <f>'Conduite Trp'!Z6</f>
        <v>1.8144671999999999</v>
      </c>
      <c r="BM16" s="13">
        <f>'Conduite Trp'!AA6</f>
        <v>0</v>
      </c>
      <c r="BN16" s="13">
        <f>'Conduite Trp'!AB6</f>
        <v>0</v>
      </c>
      <c r="BO16" s="13">
        <f>'Conduite Trp'!AC6</f>
        <v>0.15120560000000002</v>
      </c>
      <c r="BP16" s="13">
        <f>'Conduite Trp'!AD6</f>
        <v>0.15120560000000002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3.8542626359999996</v>
      </c>
      <c r="AZ19" s="61">
        <f t="shared" si="17"/>
        <v>5.1171486912000006</v>
      </c>
      <c r="BA19" s="61">
        <f t="shared" si="17"/>
        <v>4.9035696931200015</v>
      </c>
      <c r="BB19" s="61">
        <f t="shared" si="17"/>
        <v>4.8809725977600014</v>
      </c>
      <c r="BC19" s="61">
        <f t="shared" si="17"/>
        <v>5.4852626640000004</v>
      </c>
      <c r="BD19" s="61">
        <f t="shared" si="17"/>
        <v>5.4342369648000002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29.675453246880004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5.5626516411200004</v>
      </c>
      <c r="BF20" s="61">
        <f t="shared" si="18"/>
        <v>5.5099250852800008</v>
      </c>
      <c r="BG20" s="61">
        <f t="shared" si="18"/>
        <v>3.4599074753600005</v>
      </c>
      <c r="BH20" s="61">
        <f t="shared" si="18"/>
        <v>3.4599074753600005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17.992391677120004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0</v>
      </c>
      <c r="AW21" s="61">
        <f t="shared" si="20"/>
        <v>0</v>
      </c>
      <c r="AX21" s="61">
        <f t="shared" si="20"/>
        <v>0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2.3916411120000003</v>
      </c>
      <c r="BJ21" s="61">
        <f t="shared" si="20"/>
        <v>2.2102844400000006</v>
      </c>
      <c r="BK21" s="61">
        <f t="shared" si="20"/>
        <v>2.2839605880000002</v>
      </c>
      <c r="BL21" s="61">
        <f t="shared" si="20"/>
        <v>2.2839605880000002</v>
      </c>
      <c r="BM21" s="61">
        <f t="shared" si="20"/>
        <v>3.9662204400000007</v>
      </c>
      <c r="BN21" s="61">
        <f t="shared" si="20"/>
        <v>3.9095464800000004</v>
      </c>
      <c r="BO21" s="61">
        <f t="shared" si="20"/>
        <v>0</v>
      </c>
      <c r="BP21" s="61">
        <f t="shared" si="20"/>
        <v>0</v>
      </c>
      <c r="BR21" s="61">
        <f t="shared" si="19"/>
        <v>17.045613648000003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4.0398646960000004</v>
      </c>
      <c r="BP22" s="61">
        <f t="shared" si="21"/>
        <v>1.8144671999999999</v>
      </c>
      <c r="BR22" s="61">
        <f t="shared" si="19"/>
        <v>5.8543318960000006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1.2246167807999999</v>
      </c>
      <c r="AW23" s="61">
        <f t="shared" si="22"/>
        <v>2.6777558001600008</v>
      </c>
      <c r="AX23" s="61">
        <f t="shared" si="22"/>
        <v>3.5552763366400013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7.457648917600002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36.543999999999997</v>
      </c>
      <c r="E24" s="61">
        <f t="shared" si="23"/>
        <v>24.3</v>
      </c>
      <c r="F24" s="61">
        <f t="shared" si="23"/>
        <v>27.366399999999999</v>
      </c>
      <c r="G24" s="61">
        <f t="shared" si="23"/>
        <v>8.8190999999999988</v>
      </c>
      <c r="H24" s="61">
        <f t="shared" si="23"/>
        <v>13.3155</v>
      </c>
      <c r="I24" s="61">
        <f t="shared" si="23"/>
        <v>0</v>
      </c>
      <c r="J24" s="63"/>
      <c r="K24" s="61">
        <f>AL27+AL49+AL71</f>
        <v>69.305000000000007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35.774404286879999</v>
      </c>
      <c r="E25" s="61">
        <f>BR8</f>
        <v>22.407595197119999</v>
      </c>
      <c r="F25" s="61">
        <f>BR9</f>
        <v>22.430484048</v>
      </c>
      <c r="G25" s="61">
        <f>BR10</f>
        <v>7.063976696000001</v>
      </c>
      <c r="H25" s="61">
        <f>BR11</f>
        <v>9.365766037600002</v>
      </c>
      <c r="I25" s="61">
        <f>BR12</f>
        <v>0</v>
      </c>
      <c r="J25" s="63"/>
      <c r="K25" s="76">
        <f>'Conduite Trp'!C7</f>
        <v>102.69999999999999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0.76959571311999753</v>
      </c>
      <c r="E27" s="93">
        <f t="shared" si="25"/>
        <v>1.8924048028800016</v>
      </c>
      <c r="F27" s="93">
        <f t="shared" si="25"/>
        <v>4.9359159519999984</v>
      </c>
      <c r="G27" s="93">
        <f t="shared" si="25"/>
        <v>1.7551233039999978</v>
      </c>
      <c r="H27" s="93">
        <f t="shared" si="25"/>
        <v>3.9497339623999981</v>
      </c>
      <c r="I27" s="93">
        <f t="shared" si="25"/>
        <v>0</v>
      </c>
      <c r="J27" s="63"/>
      <c r="K27" s="93">
        <f>K24-K25</f>
        <v>-33.394999999999982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30</v>
      </c>
      <c r="AF27" s="75">
        <f t="shared" ref="AF27:AJ27" si="26">SUM(AF7:AF26)</f>
        <v>19.5</v>
      </c>
      <c r="AG27" s="75">
        <f t="shared" si="26"/>
        <v>21.07</v>
      </c>
      <c r="AH27" s="75">
        <f t="shared" si="26"/>
        <v>6.45</v>
      </c>
      <c r="AI27" s="75">
        <f t="shared" si="26"/>
        <v>9.0299999999999994</v>
      </c>
      <c r="AJ27" s="75">
        <f t="shared" si="26"/>
        <v>0</v>
      </c>
      <c r="AK27"/>
      <c r="AL27" s="75">
        <f>SUM(AL7:AL26)</f>
        <v>40.370000000000005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0.73749312</v>
      </c>
      <c r="AZ27" s="61">
        <f t="shared" si="27"/>
        <v>0.73749312</v>
      </c>
      <c r="BA27" s="61">
        <f t="shared" si="27"/>
        <v>0.90723359999999997</v>
      </c>
      <c r="BB27" s="61">
        <f t="shared" si="27"/>
        <v>0.90723359999999997</v>
      </c>
      <c r="BC27" s="61">
        <f t="shared" si="27"/>
        <v>1.4047488000000001</v>
      </c>
      <c r="BD27" s="61">
        <f t="shared" si="27"/>
        <v>1.4047488000000001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6.0989510400000002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1.3003681600000001</v>
      </c>
      <c r="BF28" s="61">
        <f t="shared" si="28"/>
        <v>1.3003681600000001</v>
      </c>
      <c r="BG28" s="61">
        <f t="shared" si="28"/>
        <v>0.90723359999999997</v>
      </c>
      <c r="BH28" s="61">
        <f t="shared" si="28"/>
        <v>0.90723359999999997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4.4152035200000004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5.5</v>
      </c>
      <c r="P29">
        <v>1</v>
      </c>
      <c r="Q29" s="39">
        <v>266</v>
      </c>
      <c r="R29" s="39">
        <v>1</v>
      </c>
      <c r="S29" s="280" t="str">
        <f>VLOOKUP($Q29,[1]MEP!$A$5:$D$300,3)</f>
        <v>PP EXCELLENTE PATUREE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3.3</v>
      </c>
      <c r="W29" s="76">
        <f>VLOOKUP($Q29,[1]MEP!$A$4:$K$300,6)</f>
        <v>3</v>
      </c>
      <c r="X29" s="76">
        <f>VLOOKUP($Q29,[1]MEP!$A$4:$K$300,7)</f>
        <v>2.2999999999999998</v>
      </c>
      <c r="Y29" s="76">
        <f>VLOOKUP($Q29,[1]MEP!$A$4:$K$300,8)</f>
        <v>0.5</v>
      </c>
      <c r="Z29" s="76">
        <f>VLOOKUP($Q29,[1]MEP!$A$4:$K$300,9)</f>
        <v>0.7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3.3</v>
      </c>
      <c r="AF29" s="61">
        <f t="shared" ref="AF29:AF48" si="31">$R29*W29</f>
        <v>3</v>
      </c>
      <c r="AG29" s="61">
        <f t="shared" ref="AG29:AG48" si="32">$R29*X29</f>
        <v>2.2999999999999998</v>
      </c>
      <c r="AH29" s="61">
        <f t="shared" ref="AH29:AH48" si="33">$R29*Y29</f>
        <v>0.5</v>
      </c>
      <c r="AI29" s="61">
        <f t="shared" ref="AI29:AI48" si="34">$R29*Z29</f>
        <v>0.7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0.87796800000000008</v>
      </c>
      <c r="BJ29" s="61">
        <f t="shared" si="37"/>
        <v>0.87796800000000008</v>
      </c>
      <c r="BK29" s="61">
        <f t="shared" si="37"/>
        <v>1.8144671999999999</v>
      </c>
      <c r="BL29" s="61">
        <f t="shared" si="37"/>
        <v>1.8144671999999999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5.3848704000000005</v>
      </c>
    </row>
    <row r="30" spans="2:72" ht="15" customHeight="1" x14ac:dyDescent="0.25">
      <c r="N30" s="17" t="s">
        <v>89</v>
      </c>
      <c r="O30" s="42">
        <f>SUM(R29:R48)</f>
        <v>5.4999999999999991</v>
      </c>
      <c r="P30">
        <v>2</v>
      </c>
      <c r="Q30" s="39">
        <v>269</v>
      </c>
      <c r="R30" s="39">
        <v>1.8</v>
      </c>
      <c r="S30" s="280" t="str">
        <f>VLOOKUP($Q30,[1]MEP!$A$5:$D$300,3)</f>
        <v>PP BONNES 2 COUPES PRECOCES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0</v>
      </c>
      <c r="W30" s="76">
        <f>VLOOKUP($Q30,[1]MEP!$A$4:$K$300,6)</f>
        <v>1</v>
      </c>
      <c r="X30" s="76">
        <f>VLOOKUP($Q30,[1]MEP!$A$4:$K$300,7)</f>
        <v>1</v>
      </c>
      <c r="Y30" s="76">
        <f>VLOOKUP($Q30,[1]MEP!$A$4:$K$300,8)</f>
        <v>0.5</v>
      </c>
      <c r="Z30" s="76">
        <f>VLOOKUP($Q30,[1]MEP!$A$4:$K$300,9)</f>
        <v>0.7</v>
      </c>
      <c r="AA30" s="76">
        <f>VLOOKUP($Q30,[1]MEP!$A$4:$K$300,10)</f>
        <v>0</v>
      </c>
      <c r="AC30" s="76">
        <f>VLOOKUP($Q30,[1]MEP!$A$4:$K$300,11)</f>
        <v>6.3</v>
      </c>
      <c r="AE30" s="61">
        <f t="shared" si="30"/>
        <v>0</v>
      </c>
      <c r="AF30" s="61">
        <f t="shared" si="31"/>
        <v>1.8</v>
      </c>
      <c r="AG30" s="61">
        <f t="shared" si="32"/>
        <v>1.8</v>
      </c>
      <c r="AH30" s="61">
        <f t="shared" si="33"/>
        <v>0.9</v>
      </c>
      <c r="AI30" s="61">
        <f t="shared" si="34"/>
        <v>1.26</v>
      </c>
      <c r="AJ30" s="61">
        <f t="shared" si="35"/>
        <v>0</v>
      </c>
      <c r="AK30"/>
      <c r="AL30" s="61">
        <f t="shared" si="36"/>
        <v>11.34</v>
      </c>
      <c r="AR30" s="70">
        <v>4</v>
      </c>
      <c r="AS30" s="61">
        <f>IF(AS$4=4,AS$16,0)</f>
        <v>0.45361680000000004</v>
      </c>
      <c r="AT30" s="61">
        <f t="shared" ref="AT30:BP30" si="38">IF(AT$4=4,AT$16,0)</f>
        <v>0.45361680000000004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0.15120560000000002</v>
      </c>
      <c r="BP30" s="61">
        <f t="shared" si="38"/>
        <v>0.15120560000000002</v>
      </c>
      <c r="BR30" s="61">
        <f t="shared" si="29"/>
        <v>1.2096448</v>
      </c>
    </row>
    <row r="31" spans="2:72" ht="15" customHeight="1" x14ac:dyDescent="0.25">
      <c r="D31" s="43" t="s">
        <v>313</v>
      </c>
      <c r="P31">
        <v>3</v>
      </c>
      <c r="Q31" s="39">
        <v>265</v>
      </c>
      <c r="R31" s="39">
        <v>1.4</v>
      </c>
      <c r="S31" s="280" t="str">
        <f>VLOOKUP($Q31,[1]MEP!$A$5:$D$300,3)</f>
        <v>PP EXCELLENTE 2 COUPES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1.5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0.5</v>
      </c>
      <c r="Z31" s="76">
        <f>VLOOKUP($Q31,[1]MEP!$A$4:$K$300,9)</f>
        <v>0.7</v>
      </c>
      <c r="AA31" s="76">
        <f>VLOOKUP($Q31,[1]MEP!$A$4:$K$300,10)</f>
        <v>0</v>
      </c>
      <c r="AC31" s="76">
        <f>VLOOKUP($Q31,[1]MEP!$A$4:$K$300,11)</f>
        <v>6.3</v>
      </c>
      <c r="AE31" s="61">
        <f t="shared" si="30"/>
        <v>2.0999999999999996</v>
      </c>
      <c r="AF31" s="61">
        <f t="shared" si="31"/>
        <v>0</v>
      </c>
      <c r="AG31" s="61">
        <f t="shared" si="32"/>
        <v>1.1199999999999999</v>
      </c>
      <c r="AH31" s="61">
        <f t="shared" si="33"/>
        <v>0.7</v>
      </c>
      <c r="AI31" s="61">
        <f t="shared" si="34"/>
        <v>0.97999999999999987</v>
      </c>
      <c r="AJ31" s="61">
        <f t="shared" si="35"/>
        <v>0</v>
      </c>
      <c r="AK31"/>
      <c r="AL31" s="61">
        <f t="shared" si="36"/>
        <v>8.8199999999999985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0.40971840000000004</v>
      </c>
      <c r="AV31" s="61">
        <f t="shared" si="39"/>
        <v>0.40971840000000004</v>
      </c>
      <c r="AW31" s="61">
        <f t="shared" si="39"/>
        <v>0.54434016000000007</v>
      </c>
      <c r="AX31" s="61">
        <f t="shared" si="39"/>
        <v>0.54434016000000007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1.90811712</v>
      </c>
    </row>
    <row r="32" spans="2:72" x14ac:dyDescent="0.25">
      <c r="D32" s="68" t="s">
        <v>269</v>
      </c>
      <c r="E32" s="68" t="s">
        <v>18</v>
      </c>
      <c r="F32" s="283" t="s">
        <v>278</v>
      </c>
      <c r="G32" s="283"/>
      <c r="H32" s="82"/>
      <c r="I32" s="68" t="s">
        <v>282</v>
      </c>
      <c r="J32" s="82" t="s">
        <v>282</v>
      </c>
      <c r="K32" s="283" t="s">
        <v>280</v>
      </c>
      <c r="L32" s="283"/>
      <c r="M32" s="82"/>
      <c r="P32">
        <v>4</v>
      </c>
      <c r="Q32" s="39">
        <v>194</v>
      </c>
      <c r="R32" s="39">
        <v>1.3</v>
      </c>
      <c r="S32" s="280" t="str">
        <f>VLOOKUP($Q32,[1]MEP!$A$5:$D$300,3)</f>
        <v>PT Excellente 2 coupes avec deprimage</v>
      </c>
      <c r="T32" s="76" t="str">
        <f>VLOOKUP($Q32,[1]MEP!$A$5:$D$300,4)</f>
        <v>zone 1</v>
      </c>
      <c r="U32" s="76" t="str">
        <f>VLOOKUP($Q32,[1]MEP!$A$4:$K$300,2)</f>
        <v>F/P</v>
      </c>
      <c r="V32" s="76">
        <f>VLOOKUP($Q32,[1]MEP!$A$4:$K$300,5)</f>
        <v>0.88000000000000012</v>
      </c>
      <c r="W32" s="76">
        <f>VLOOKUP($Q32,[1]MEP!$A$4:$K$300,6)</f>
        <v>0</v>
      </c>
      <c r="X32" s="76">
        <f>VLOOKUP($Q32,[1]MEP!$A$4:$K$300,7)</f>
        <v>0.82799999999999996</v>
      </c>
      <c r="Y32" s="76">
        <f>VLOOKUP($Q32,[1]MEP!$A$4:$K$300,8)</f>
        <v>0.20699999999999999</v>
      </c>
      <c r="Z32" s="76">
        <f>VLOOKUP($Q32,[1]MEP!$A$4:$K$300,9)</f>
        <v>1.0349999999999999</v>
      </c>
      <c r="AA32" s="76">
        <f>VLOOKUP($Q32,[1]MEP!$A$4:$K$300,10)</f>
        <v>0</v>
      </c>
      <c r="AC32" s="76">
        <f>VLOOKUP($Q32,[1]MEP!$A$4:$K$300,11)</f>
        <v>6.75</v>
      </c>
      <c r="AE32" s="61">
        <f t="shared" si="30"/>
        <v>1.1440000000000001</v>
      </c>
      <c r="AF32" s="61">
        <f t="shared" si="31"/>
        <v>0</v>
      </c>
      <c r="AG32" s="61">
        <f t="shared" si="32"/>
        <v>1.0764</v>
      </c>
      <c r="AH32" s="61">
        <f t="shared" si="33"/>
        <v>0.26910000000000001</v>
      </c>
      <c r="AI32" s="61">
        <f t="shared" si="34"/>
        <v>1.3454999999999999</v>
      </c>
      <c r="AJ32" s="61">
        <f t="shared" si="35"/>
        <v>0</v>
      </c>
      <c r="AK32"/>
      <c r="AL32" s="61">
        <f t="shared" si="36"/>
        <v>8.7750000000000004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10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30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15.5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6.5439999999999996</v>
      </c>
      <c r="AF49" s="75">
        <f t="shared" ref="AF49" si="52">SUM(AF29:AF48)</f>
        <v>4.8</v>
      </c>
      <c r="AG49" s="75">
        <f t="shared" ref="AG49" si="53">SUM(AG29:AG48)</f>
        <v>6.2964000000000002</v>
      </c>
      <c r="AH49" s="75">
        <f t="shared" ref="AH49" si="54">SUM(AH29:AH48)</f>
        <v>2.3690999999999995</v>
      </c>
      <c r="AI49" s="75">
        <f t="shared" ref="AI49" si="55">SUM(AI29:AI48)</f>
        <v>4.2854999999999999</v>
      </c>
      <c r="AJ49" s="75">
        <f t="shared" ref="AJ49" si="56">SUM(AJ29:AJ48)</f>
        <v>0</v>
      </c>
      <c r="AK49"/>
      <c r="AL49" s="75">
        <f>SUM(AL29:AL48)</f>
        <v>28.934999999999995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10</v>
      </c>
      <c r="P51">
        <v>1</v>
      </c>
      <c r="Q51" s="39">
        <v>47</v>
      </c>
      <c r="R51" s="39">
        <v>10</v>
      </c>
      <c r="S51" s="28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30</v>
      </c>
      <c r="E72" s="61">
        <f t="shared" ref="E72:H72" si="71">AF27</f>
        <v>19.5</v>
      </c>
      <c r="F72" s="61">
        <f t="shared" si="71"/>
        <v>21.07</v>
      </c>
      <c r="G72" s="61">
        <f t="shared" si="71"/>
        <v>6.45</v>
      </c>
      <c r="H72" s="61">
        <f t="shared" si="71"/>
        <v>9.0299999999999994</v>
      </c>
      <c r="I72" s="61">
        <f t="shared" ref="I72" si="72">AJ75+AJ97+AJ119</f>
        <v>0</v>
      </c>
      <c r="J72" s="63"/>
      <c r="K72" s="61">
        <f>+K24</f>
        <v>69.305000000000007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29.675453246880004</v>
      </c>
      <c r="E73" s="61">
        <f>BR20</f>
        <v>17.992391677120004</v>
      </c>
      <c r="F73" s="61">
        <f>BR21</f>
        <v>17.045613648000003</v>
      </c>
      <c r="G73" s="61">
        <f>BR22</f>
        <v>5.8543318960000006</v>
      </c>
      <c r="H73" s="61">
        <f>BR23</f>
        <v>7.457648917600002</v>
      </c>
      <c r="I73" s="61">
        <f>BR60</f>
        <v>0</v>
      </c>
      <c r="J73" s="63"/>
      <c r="K73" s="76">
        <f>+K25</f>
        <v>102.69999999999999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0.32454675311999637</v>
      </c>
      <c r="E75" s="93">
        <f t="shared" ref="E75:I75" si="73">E72-E73</f>
        <v>1.5076083228799959</v>
      </c>
      <c r="F75" s="93">
        <f t="shared" si="73"/>
        <v>4.0243863519999969</v>
      </c>
      <c r="G75" s="93">
        <f t="shared" si="73"/>
        <v>0.59566810399999959</v>
      </c>
      <c r="H75" s="93">
        <f t="shared" si="73"/>
        <v>1.5723510823999973</v>
      </c>
      <c r="I75" s="93">
        <f t="shared" si="73"/>
        <v>0</v>
      </c>
      <c r="J75" s="63"/>
      <c r="K75" s="93">
        <f>+K27</f>
        <v>-33.394999999999982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6.5439999999999996</v>
      </c>
      <c r="E82" s="61">
        <f t="shared" ref="E82:H82" si="74">AF49</f>
        <v>4.8</v>
      </c>
      <c r="F82" s="61">
        <f t="shared" si="74"/>
        <v>6.2964000000000002</v>
      </c>
      <c r="G82" s="61">
        <f t="shared" si="74"/>
        <v>2.3690999999999995</v>
      </c>
      <c r="H82" s="61">
        <f t="shared" si="74"/>
        <v>4.2854999999999999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6.0989510400000002</v>
      </c>
      <c r="E83" s="61">
        <f>BR28</f>
        <v>4.4152035200000004</v>
      </c>
      <c r="F83" s="61">
        <f>BR29</f>
        <v>5.3848704000000005</v>
      </c>
      <c r="G83" s="61">
        <f>BR30</f>
        <v>1.2096448</v>
      </c>
      <c r="H83" s="61">
        <f>BR31</f>
        <v>1.90811712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0.44504895999999938</v>
      </c>
      <c r="E85" s="93">
        <f t="shared" ref="E85:H85" si="75">E82-E83</f>
        <v>0.38479647999999944</v>
      </c>
      <c r="F85" s="93">
        <f t="shared" si="75"/>
        <v>0.91152959999999972</v>
      </c>
      <c r="G85" s="93">
        <f t="shared" si="75"/>
        <v>1.1594551999999996</v>
      </c>
      <c r="H85" s="93">
        <f t="shared" si="75"/>
        <v>2.3773828799999999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7"/>
  <sheetViews>
    <sheetView topLeftCell="A13" workbookViewId="0">
      <selection activeCell="B23" sqref="B23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1423</v>
      </c>
      <c r="B3" t="s">
        <v>1426</v>
      </c>
    </row>
    <row r="4" spans="1:2" x14ac:dyDescent="0.25">
      <c r="A4" s="15" t="s">
        <v>1424</v>
      </c>
      <c r="B4" s="277">
        <v>37.92</v>
      </c>
    </row>
    <row r="5" spans="1:2" x14ac:dyDescent="0.25">
      <c r="A5" s="15" t="s">
        <v>1427</v>
      </c>
      <c r="B5" s="277">
        <v>31.120000000000005</v>
      </c>
    </row>
    <row r="6" spans="1:2" x14ac:dyDescent="0.25">
      <c r="A6" s="15" t="s">
        <v>1428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1425</v>
      </c>
      <c r="B8" s="277">
        <v>73.44</v>
      </c>
    </row>
    <row r="19" spans="1:5" x14ac:dyDescent="0.25">
      <c r="A19" s="276" t="s">
        <v>1426</v>
      </c>
      <c r="B19" s="276" t="s">
        <v>1429</v>
      </c>
    </row>
    <row r="20" spans="1:5" x14ac:dyDescent="0.25">
      <c r="A20" s="276" t="s">
        <v>1423</v>
      </c>
      <c r="B20" t="s">
        <v>465</v>
      </c>
      <c r="C20" t="s">
        <v>447</v>
      </c>
      <c r="D20" t="s">
        <v>1424</v>
      </c>
      <c r="E20" t="s">
        <v>1425</v>
      </c>
    </row>
    <row r="21" spans="1:5" x14ac:dyDescent="0.25">
      <c r="A21" s="15">
        <v>265</v>
      </c>
      <c r="B21" s="277">
        <v>1.4</v>
      </c>
      <c r="C21" s="277">
        <v>4.9000000000000004</v>
      </c>
      <c r="D21" s="277"/>
      <c r="E21" s="277">
        <v>6.3000000000000007</v>
      </c>
    </row>
    <row r="22" spans="1:5" x14ac:dyDescent="0.25">
      <c r="A22" s="15">
        <v>266</v>
      </c>
      <c r="B22" s="277">
        <v>1</v>
      </c>
      <c r="C22" s="277">
        <v>5.5</v>
      </c>
      <c r="D22" s="277"/>
      <c r="E22" s="277">
        <v>6.5</v>
      </c>
    </row>
    <row r="23" spans="1:5" x14ac:dyDescent="0.25">
      <c r="A23" s="15" t="s">
        <v>1424</v>
      </c>
      <c r="B23" s="277">
        <v>3.8</v>
      </c>
      <c r="C23" s="277"/>
      <c r="D23" s="277"/>
      <c r="E23" s="277">
        <v>3.8</v>
      </c>
    </row>
    <row r="24" spans="1:5" x14ac:dyDescent="0.25">
      <c r="A24" s="15">
        <v>269</v>
      </c>
      <c r="B24" s="277">
        <v>1.8</v>
      </c>
      <c r="C24" s="277"/>
      <c r="D24" s="277"/>
      <c r="E24" s="277">
        <v>1.8</v>
      </c>
    </row>
    <row r="25" spans="1:5" x14ac:dyDescent="0.25">
      <c r="A25" s="15">
        <v>194</v>
      </c>
      <c r="B25" s="277">
        <v>1.3</v>
      </c>
      <c r="C25" s="277"/>
      <c r="D25" s="277"/>
      <c r="E25" s="277">
        <v>1.3</v>
      </c>
    </row>
    <row r="26" spans="1:5" x14ac:dyDescent="0.25">
      <c r="A26" s="15">
        <v>264</v>
      </c>
      <c r="B26" s="277"/>
      <c r="C26" s="277">
        <v>2.5</v>
      </c>
      <c r="D26" s="277"/>
      <c r="E26" s="277">
        <v>2.5</v>
      </c>
    </row>
    <row r="27" spans="1:5" x14ac:dyDescent="0.25">
      <c r="A27" s="15" t="s">
        <v>1425</v>
      </c>
      <c r="B27" s="277">
        <v>9.2999999999999989</v>
      </c>
      <c r="C27" s="277">
        <v>12.9</v>
      </c>
      <c r="D27" s="277"/>
      <c r="E27" s="277">
        <v>22.200000000000003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O2" sqref="O2:Q23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1430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7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21" si="1">IF(B3=2,0,IF(I3=$Y$10,G3*$AB$10,IF(I3=$Y$11,G3*$AB$11,IF(I3=$Y$12,G3*$AB$12,""))))</f>
        <v/>
      </c>
      <c r="L3" s="8" t="e">
        <f t="shared" ref="L3:L21" si="2">IF(J3=$Y$5,K3*$AA$5,IF(J3=$Y$6,K3*$AA$6,IF(J3=$Y$7,K3*$AA$7,"")))</f>
        <v>#VALUE!</v>
      </c>
      <c r="M3" s="10" t="e">
        <f>IF(I3=$Y$10,SQRT(L3*10000),SQRT(Parcellaire!L3*10000)/$AC$11)</f>
        <v>#VALUE!</v>
      </c>
      <c r="N3" s="10">
        <f t="shared" ref="N3:N21" si="3">IF(I3=1,4,6)</f>
        <v>6</v>
      </c>
      <c r="O3" s="24"/>
      <c r="P3" s="26"/>
      <c r="Q3" s="155"/>
      <c r="R3" s="10">
        <f t="shared" ref="R3:R37" si="4">IF(C3=1,O3*M3,0)</f>
        <v>0</v>
      </c>
      <c r="S3" s="10">
        <f t="shared" ref="S3:S37" si="5">IF(C3=1,P3*M3,0)</f>
        <v>0</v>
      </c>
      <c r="T3" s="10" t="e">
        <f t="shared" ref="T3:T63" si="6">(M3*O3)-(M3*Q3)/2</f>
        <v>#VALUE!</v>
      </c>
      <c r="U3" s="10">
        <f t="shared" ref="U3:U37" si="7">IF(C3=2,Q3*M3,0)</f>
        <v>0</v>
      </c>
      <c r="V3" s="27" t="e">
        <f t="shared" ref="V3:V37" si="8">O3*M3</f>
        <v>#VALUE!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465</v>
      </c>
      <c r="E4" s="9" t="s">
        <v>1427</v>
      </c>
      <c r="F4" s="157">
        <v>269</v>
      </c>
      <c r="G4" s="157">
        <v>1.8</v>
      </c>
      <c r="H4" s="157"/>
      <c r="I4" s="9">
        <v>3</v>
      </c>
      <c r="J4" s="9">
        <v>0</v>
      </c>
      <c r="K4" s="8">
        <f t="shared" si="1"/>
        <v>1.9800000000000002</v>
      </c>
      <c r="L4" s="8">
        <f t="shared" si="2"/>
        <v>1.9800000000000002</v>
      </c>
      <c r="M4" s="10">
        <f>IF(I4=$Y$10,SQRT(L4*10000),SQRT(Parcellaire!L4*10000)/$AC$11)</f>
        <v>99.498743710661998</v>
      </c>
      <c r="N4" s="10">
        <f t="shared" si="3"/>
        <v>6</v>
      </c>
      <c r="O4" s="24">
        <v>6</v>
      </c>
      <c r="P4" s="26"/>
      <c r="Q4" s="155">
        <v>2</v>
      </c>
      <c r="R4" s="10">
        <f t="shared" si="4"/>
        <v>0</v>
      </c>
      <c r="S4" s="10">
        <f t="shared" si="5"/>
        <v>0</v>
      </c>
      <c r="T4" s="10">
        <f t="shared" si="6"/>
        <v>497.49371855331003</v>
      </c>
      <c r="U4" s="10">
        <f>IF(C4=2,Q4*M4,0)</f>
        <v>198.997487421324</v>
      </c>
      <c r="V4" s="27">
        <f t="shared" si="8"/>
        <v>596.99246226397202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1"/>
        <v/>
      </c>
      <c r="L5" s="8" t="e">
        <f t="shared" si="2"/>
        <v>#VALUE!</v>
      </c>
      <c r="M5" s="10" t="e">
        <f>IF(I5=$Y$10,SQRT(L5*10000),SQRT(Parcellaire!L5*10000)/$AC$11)</f>
        <v>#VALUE!</v>
      </c>
      <c r="N5" s="10">
        <f t="shared" si="3"/>
        <v>6</v>
      </c>
      <c r="O5" s="24">
        <v>6</v>
      </c>
      <c r="P5" s="26"/>
      <c r="Q5" s="155">
        <v>2</v>
      </c>
      <c r="R5" s="10">
        <f t="shared" si="4"/>
        <v>0</v>
      </c>
      <c r="S5" s="10">
        <f t="shared" si="5"/>
        <v>0</v>
      </c>
      <c r="T5" s="10" t="e">
        <f t="shared" si="6"/>
        <v>#VALUE!</v>
      </c>
      <c r="U5" s="10">
        <f t="shared" si="7"/>
        <v>0</v>
      </c>
      <c r="V5" s="27" t="e">
        <f t="shared" si="8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1"/>
        <v/>
      </c>
      <c r="L6" s="8" t="e">
        <f t="shared" si="2"/>
        <v>#VALUE!</v>
      </c>
      <c r="M6" s="10" t="e">
        <f>IF(I6=$Y$10,SQRT(L6*10000),SQRT(Parcellaire!L6*10000)/$AC$11)</f>
        <v>#VALUE!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 t="e">
        <f t="shared" si="6"/>
        <v>#VALUE!</v>
      </c>
      <c r="U6" s="10">
        <f t="shared" si="7"/>
        <v>0</v>
      </c>
      <c r="V6" s="27" t="e">
        <f t="shared" si="8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1"/>
        <v/>
      </c>
      <c r="L7" s="8" t="e">
        <f t="shared" si="2"/>
        <v>#VALUE!</v>
      </c>
      <c r="M7" s="10" t="e">
        <f>IF(I7=$Y$10,SQRT(L7*10000),SQRT(Parcellaire!L7*10000)/$AC$11)</f>
        <v>#VALUE!</v>
      </c>
      <c r="N7" s="10">
        <f t="shared" si="3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5"/>
        <v>0</v>
      </c>
      <c r="T7" s="10" t="e">
        <f t="shared" si="6"/>
        <v>#VALUE!</v>
      </c>
      <c r="U7" s="10">
        <f t="shared" si="7"/>
        <v>0</v>
      </c>
      <c r="V7" s="27" t="e">
        <f t="shared" si="8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465</v>
      </c>
      <c r="E8" s="9" t="s">
        <v>1427</v>
      </c>
      <c r="F8" s="157">
        <v>194</v>
      </c>
      <c r="G8" s="157">
        <v>2.7</v>
      </c>
      <c r="H8" s="157">
        <v>1.3</v>
      </c>
      <c r="I8" s="9">
        <v>2</v>
      </c>
      <c r="J8" s="9">
        <v>0</v>
      </c>
      <c r="K8" s="8">
        <f t="shared" si="1"/>
        <v>2.7</v>
      </c>
      <c r="L8" s="8">
        <f t="shared" si="2"/>
        <v>2.7</v>
      </c>
      <c r="M8" s="10">
        <f>IF(I8=$Y$10,SQRT(L8*10000),SQRT(Parcellaire!L8*10000)/$AC$11)</f>
        <v>116.18950038622251</v>
      </c>
      <c r="N8" s="10">
        <f t="shared" si="3"/>
        <v>6</v>
      </c>
      <c r="O8" s="24">
        <v>6</v>
      </c>
      <c r="P8" s="26"/>
      <c r="Q8" s="155">
        <v>4</v>
      </c>
      <c r="R8" s="10">
        <f t="shared" si="4"/>
        <v>0</v>
      </c>
      <c r="S8" s="10">
        <f t="shared" si="5"/>
        <v>0</v>
      </c>
      <c r="T8" s="10">
        <f t="shared" si="6"/>
        <v>464.75800154489002</v>
      </c>
      <c r="U8" s="10">
        <f t="shared" si="7"/>
        <v>464.75800154489002</v>
      </c>
      <c r="V8" s="27">
        <f t="shared" si="8"/>
        <v>697.13700231733503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 t="s">
        <v>1427</v>
      </c>
      <c r="F9" s="157">
        <v>265</v>
      </c>
      <c r="G9" s="157"/>
      <c r="H9" s="157">
        <v>1.4</v>
      </c>
      <c r="I9" s="9">
        <v>2</v>
      </c>
      <c r="J9" s="9">
        <v>1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/>
      <c r="P10" s="26"/>
      <c r="Q10" s="155"/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1427</v>
      </c>
      <c r="F11" s="157">
        <v>266</v>
      </c>
      <c r="G11" s="157">
        <v>1</v>
      </c>
      <c r="H11" s="157"/>
      <c r="I11" s="9">
        <v>3</v>
      </c>
      <c r="J11" s="9">
        <v>0</v>
      </c>
      <c r="K11" s="8">
        <f t="shared" si="1"/>
        <v>1.1000000000000001</v>
      </c>
      <c r="L11" s="8">
        <f t="shared" si="2"/>
        <v>1.1000000000000001</v>
      </c>
      <c r="M11" s="10">
        <f>IF(I11=$Y$10,SQRT(L11*10000),SQRT(Parcellaire!L11*10000)/$AC$11)</f>
        <v>74.16198487095663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333.72893191930484</v>
      </c>
      <c r="U11" s="10">
        <f t="shared" si="7"/>
        <v>222.48595461286988</v>
      </c>
      <c r="V11" s="27">
        <f t="shared" si="8"/>
        <v>444.97190922573975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1428</v>
      </c>
      <c r="F12" s="9"/>
      <c r="G12" s="274">
        <v>10</v>
      </c>
      <c r="H12" s="274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1"/>
        <v/>
      </c>
      <c r="L13" s="8" t="e">
        <f t="shared" si="2"/>
        <v>#VALUE!</v>
      </c>
      <c r="M13" s="10" t="e">
        <f>IF(I13=$Y$10,SQRT(L13*10000),SQRT(Parcellaire!L13*10000)/$AC$11)</f>
        <v>#VALUE!</v>
      </c>
      <c r="N13" s="10">
        <f t="shared" si="3"/>
        <v>6</v>
      </c>
      <c r="O13" s="24">
        <v>6</v>
      </c>
      <c r="P13" s="26"/>
      <c r="Q13" s="155">
        <v>4</v>
      </c>
      <c r="R13" s="10">
        <f t="shared" si="4"/>
        <v>0</v>
      </c>
      <c r="S13" s="10">
        <f t="shared" si="5"/>
        <v>0</v>
      </c>
      <c r="T13" s="10" t="e">
        <f t="shared" si="6"/>
        <v>#VALUE!</v>
      </c>
      <c r="U13" s="10">
        <f t="shared" si="7"/>
        <v>0</v>
      </c>
      <c r="V13" s="27" t="e">
        <f t="shared" si="8"/>
        <v>#VALUE!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 t="s">
        <v>1427</v>
      </c>
      <c r="F14" s="9">
        <v>266</v>
      </c>
      <c r="G14" s="9">
        <v>5</v>
      </c>
      <c r="H14" s="9"/>
      <c r="I14" s="9">
        <v>3</v>
      </c>
      <c r="J14" s="9">
        <v>1</v>
      </c>
      <c r="K14" s="8">
        <f t="shared" si="1"/>
        <v>5.5</v>
      </c>
      <c r="L14" s="8">
        <f t="shared" si="2"/>
        <v>6.6</v>
      </c>
      <c r="M14" s="10">
        <f>IF(I14=$Y$10,SQRT(L14*10000),SQRT(Parcellaire!L14*10000)/$AC$11)</f>
        <v>181.65902124584952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817.46559560632272</v>
      </c>
      <c r="U14" s="10">
        <f t="shared" si="7"/>
        <v>544.97706373754852</v>
      </c>
      <c r="V14" s="27">
        <f t="shared" si="8"/>
        <v>1089.954127475097</v>
      </c>
      <c r="W14" s="3"/>
      <c r="X14" s="3"/>
    </row>
    <row r="15" spans="1:29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 t="s">
        <v>1427</v>
      </c>
      <c r="F15" s="9">
        <v>265</v>
      </c>
      <c r="G15" s="9">
        <v>3</v>
      </c>
      <c r="H15" s="9">
        <v>1.5</v>
      </c>
      <c r="I15" s="9">
        <v>3</v>
      </c>
      <c r="J15" s="9">
        <v>1</v>
      </c>
      <c r="K15" s="8">
        <f t="shared" si="1"/>
        <v>3.3000000000000003</v>
      </c>
      <c r="L15" s="8">
        <f t="shared" si="2"/>
        <v>3.96</v>
      </c>
      <c r="M15" s="10">
        <f>IF(I15=$Y$10,SQRT(L15*10000),SQRT(Parcellaire!L15*10000)/$AC$11)</f>
        <v>140.71247279470288</v>
      </c>
      <c r="N15" s="10">
        <f t="shared" si="3"/>
        <v>6</v>
      </c>
      <c r="O15" s="24">
        <v>6</v>
      </c>
      <c r="P15" s="26"/>
      <c r="Q15" s="155">
        <v>1</v>
      </c>
      <c r="R15" s="10">
        <f t="shared" si="4"/>
        <v>0</v>
      </c>
      <c r="S15" s="10">
        <f t="shared" si="5"/>
        <v>0</v>
      </c>
      <c r="T15" s="10">
        <f t="shared" si="6"/>
        <v>773.91860037086576</v>
      </c>
      <c r="U15" s="10">
        <f t="shared" si="7"/>
        <v>140.71247279470288</v>
      </c>
      <c r="V15" s="27">
        <f t="shared" si="8"/>
        <v>844.27483676821726</v>
      </c>
      <c r="W15" s="3"/>
      <c r="X15" s="3"/>
      <c r="Z15" s="8" t="s">
        <v>41</v>
      </c>
    </row>
    <row r="16" spans="1:29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 t="s">
        <v>1427</v>
      </c>
      <c r="F16" s="9">
        <v>264</v>
      </c>
      <c r="G16" s="9"/>
      <c r="H16" s="9">
        <v>1.5</v>
      </c>
      <c r="I16" s="9">
        <v>3</v>
      </c>
      <c r="J16" s="9">
        <v>0</v>
      </c>
      <c r="K16" s="8">
        <f t="shared" si="1"/>
        <v>0</v>
      </c>
      <c r="L16" s="8">
        <f t="shared" si="2"/>
        <v>0</v>
      </c>
      <c r="M16" s="10">
        <f>IF(I16=$Y$10,SQRT(L16*10000),SQRT(Parcellaire!L16*10000)/$AC$11)</f>
        <v>0</v>
      </c>
      <c r="N16" s="10">
        <f t="shared" si="3"/>
        <v>6</v>
      </c>
      <c r="O16" s="24">
        <v>0</v>
      </c>
      <c r="P16" s="26"/>
      <c r="Q16" s="155">
        <v>0</v>
      </c>
      <c r="R16" s="10">
        <f t="shared" si="4"/>
        <v>0</v>
      </c>
      <c r="S16" s="10">
        <f t="shared" si="5"/>
        <v>0</v>
      </c>
      <c r="T16" s="10">
        <f t="shared" si="6"/>
        <v>0</v>
      </c>
      <c r="U16" s="10">
        <f t="shared" si="7"/>
        <v>0</v>
      </c>
      <c r="V16" s="27">
        <f t="shared" si="8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 t="s">
        <v>1427</v>
      </c>
      <c r="F17" s="9">
        <v>265</v>
      </c>
      <c r="G17" s="9">
        <v>2.5</v>
      </c>
      <c r="H17" s="9">
        <v>1.4</v>
      </c>
      <c r="I17" s="9">
        <v>3</v>
      </c>
      <c r="J17" s="9">
        <v>1</v>
      </c>
      <c r="K17" s="8">
        <f t="shared" si="1"/>
        <v>2.75</v>
      </c>
      <c r="L17" s="8">
        <f t="shared" si="2"/>
        <v>3.3</v>
      </c>
      <c r="M17" s="10">
        <f>IF(I17=$Y$10,SQRT(L17*10000),SQRT(Parcellaire!L17*10000)/$AC$11)</f>
        <v>128.45232578665127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642.26162893325636</v>
      </c>
      <c r="U17" s="10">
        <f t="shared" si="7"/>
        <v>256.90465157330254</v>
      </c>
      <c r="V17" s="27">
        <f t="shared" si="8"/>
        <v>770.71395471990763</v>
      </c>
      <c r="W17" s="3"/>
      <c r="X17" s="3"/>
      <c r="Y17" s="8">
        <v>2</v>
      </c>
      <c r="Z17" s="138" t="s">
        <v>337</v>
      </c>
      <c r="AA17" s="136">
        <f>T64</f>
        <v>4437.8364231252208</v>
      </c>
      <c r="AB17" t="s">
        <v>42</v>
      </c>
    </row>
    <row r="18" spans="1:28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1427</v>
      </c>
      <c r="F18" s="9">
        <v>265</v>
      </c>
      <c r="G18" s="274"/>
      <c r="H18" s="274">
        <v>1.1000000000000001</v>
      </c>
      <c r="I18" s="9">
        <v>2</v>
      </c>
      <c r="J18" s="9">
        <v>1</v>
      </c>
      <c r="K18" s="8">
        <f t="shared" si="1"/>
        <v>0</v>
      </c>
      <c r="L18" s="8">
        <f t="shared" si="2"/>
        <v>0</v>
      </c>
      <c r="M18" s="10">
        <f>IF(I18=$Y$10,SQRT(L18*10000),SQRT(Parcellaire!L18*10000)/$AC$11)</f>
        <v>0</v>
      </c>
      <c r="N18" s="10">
        <f t="shared" si="3"/>
        <v>6</v>
      </c>
      <c r="O18" s="24">
        <v>0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10">
        <f t="shared" si="7"/>
        <v>0</v>
      </c>
      <c r="V18" s="27">
        <f t="shared" si="8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/>
      <c r="D19" s="9" t="s">
        <v>447</v>
      </c>
      <c r="E19" s="9" t="s">
        <v>1427</v>
      </c>
      <c r="F19" s="9">
        <v>264</v>
      </c>
      <c r="G19" s="9">
        <v>1</v>
      </c>
      <c r="H19" s="9"/>
      <c r="I19" s="9">
        <v>3</v>
      </c>
      <c r="J19" s="9">
        <v>1</v>
      </c>
      <c r="K19" s="8">
        <f t="shared" si="1"/>
        <v>1.1000000000000001</v>
      </c>
      <c r="L19" s="8">
        <f t="shared" si="2"/>
        <v>1.32</v>
      </c>
      <c r="M19" s="10">
        <f>IF(I19=$Y$10,SQRT(L19*10000),SQRT(Parcellaire!L19*10000)/$AC$11)</f>
        <v>81.240384046359594</v>
      </c>
      <c r="N19" s="10">
        <f t="shared" si="3"/>
        <v>6</v>
      </c>
      <c r="O19" s="24">
        <v>6</v>
      </c>
      <c r="P19" s="26"/>
      <c r="Q19" s="155">
        <v>2</v>
      </c>
      <c r="R19" s="10">
        <f t="shared" si="4"/>
        <v>0</v>
      </c>
      <c r="S19" s="10">
        <f t="shared" si="5"/>
        <v>0</v>
      </c>
      <c r="T19" s="10">
        <f t="shared" si="6"/>
        <v>406.201920231798</v>
      </c>
      <c r="U19" s="10">
        <f t="shared" si="7"/>
        <v>0</v>
      </c>
      <c r="V19" s="27">
        <f t="shared" si="8"/>
        <v>487.44230427815756</v>
      </c>
      <c r="W19" s="3"/>
      <c r="X19" s="3"/>
      <c r="Z19" s="20"/>
      <c r="AA19" s="136">
        <f>AA17+AA18</f>
        <v>4437.8364231252208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 t="s">
        <v>1427</v>
      </c>
      <c r="F20" s="9">
        <v>265</v>
      </c>
      <c r="G20" s="9">
        <v>0.9</v>
      </c>
      <c r="H20" s="9"/>
      <c r="I20" s="9">
        <v>2</v>
      </c>
      <c r="J20" s="9">
        <v>0.5</v>
      </c>
      <c r="K20" s="8">
        <f t="shared" si="1"/>
        <v>0.9</v>
      </c>
      <c r="L20" s="8">
        <f t="shared" si="2"/>
        <v>0.9900000000000001</v>
      </c>
      <c r="M20" s="10">
        <f>IF(I20=$Y$10,SQRT(L20*10000),SQRT(Parcellaire!L20*10000)/$AC$11)</f>
        <v>70.356236397351438</v>
      </c>
      <c r="N20" s="10">
        <f t="shared" si="3"/>
        <v>6</v>
      </c>
      <c r="O20" s="24">
        <v>6</v>
      </c>
      <c r="P20" s="26"/>
      <c r="Q20" s="155">
        <v>3</v>
      </c>
      <c r="R20" s="10">
        <f t="shared" si="4"/>
        <v>0</v>
      </c>
      <c r="S20" s="10">
        <f t="shared" si="5"/>
        <v>0</v>
      </c>
      <c r="T20" s="10">
        <f t="shared" si="6"/>
        <v>316.6030637880815</v>
      </c>
      <c r="U20" s="10">
        <f t="shared" si="7"/>
        <v>211.06870919205431</v>
      </c>
      <c r="V20" s="27">
        <f t="shared" si="8"/>
        <v>422.13741838410863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 t="s">
        <v>1427</v>
      </c>
      <c r="F21" s="9">
        <v>266</v>
      </c>
      <c r="G21" s="9">
        <v>0.5</v>
      </c>
      <c r="H21" s="9"/>
      <c r="I21" s="9">
        <v>1</v>
      </c>
      <c r="J21" s="9">
        <v>0.5</v>
      </c>
      <c r="K21" s="8">
        <f t="shared" si="1"/>
        <v>0.5</v>
      </c>
      <c r="L21" s="8">
        <f t="shared" si="2"/>
        <v>0.55000000000000004</v>
      </c>
      <c r="M21" s="10">
        <f>IF(I21=$Y$10,SQRT(L21*10000),SQRT(Parcellaire!L21*10000)/$AC$11)</f>
        <v>74.16198487095663</v>
      </c>
      <c r="N21" s="10">
        <f t="shared" si="3"/>
        <v>4</v>
      </c>
      <c r="O21" s="24">
        <v>4</v>
      </c>
      <c r="P21" s="26"/>
      <c r="Q21" s="155">
        <v>3</v>
      </c>
      <c r="R21" s="10">
        <f t="shared" si="4"/>
        <v>0</v>
      </c>
      <c r="S21" s="10">
        <f t="shared" si="5"/>
        <v>0</v>
      </c>
      <c r="T21" s="10">
        <f t="shared" si="6"/>
        <v>185.40496217739158</v>
      </c>
      <c r="U21" s="10">
        <f t="shared" si="7"/>
        <v>222.48595461286988</v>
      </c>
      <c r="V21" s="27">
        <f t="shared" si="8"/>
        <v>296.64793948382652</v>
      </c>
      <c r="W21" s="3"/>
      <c r="X21" s="3"/>
    </row>
    <row r="22" spans="1:28" ht="15" customHeight="1" x14ac:dyDescent="0.25">
      <c r="A22" s="8">
        <v>20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37" si="9">IF(I22=$Y$10,G22*$AB$10,IF(I22=$Y$11,G22*$AB$11,IF(I22=$Y$12,G22*$AB$12,"")))</f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ref="N22:N37" si="10">IF(I22=1,4,6)</f>
        <v>6</v>
      </c>
      <c r="O22" s="24">
        <v>6</v>
      </c>
      <c r="P22" s="26"/>
      <c r="Q22" s="155">
        <v>3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325</v>
      </c>
    </row>
    <row r="23" spans="1:28" ht="15" customHeight="1" x14ac:dyDescent="0.25">
      <c r="A23" s="8">
        <v>16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>
        <v>6</v>
      </c>
      <c r="P23" s="26"/>
      <c r="Q23" s="155">
        <v>2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ref="Q30:Q63" si="11">O30-P30</f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18.399999999999999</v>
      </c>
      <c r="H64" s="135"/>
      <c r="I64" s="135">
        <f>SUMIF(Parcellaire!$B$2:$B$63,1,Parcellaire!I2:I63)</f>
        <v>30</v>
      </c>
      <c r="J64" s="135">
        <f>SUMIF(Parcellaire!$B$2:$B$63,1,Parcellaire!J2:J63)</f>
        <v>7</v>
      </c>
      <c r="K64" s="135">
        <f>SUMIF(Parcellaire!$B$2:$B$63,1,Parcellaire!K2:K63)</f>
        <v>19.830000000000002</v>
      </c>
      <c r="L64" s="135">
        <f>SUMIF(Parcellaire!$B$2:$B$63,1,Parcellaire!L2:L63)</f>
        <v>22.5</v>
      </c>
      <c r="M64" s="135">
        <f>SUMIF(Parcellaire!$B$2:$B$63,1,Parcellaire!M2:M63)</f>
        <v>966.43265410971242</v>
      </c>
      <c r="N64" s="135">
        <f>SUMIF(Parcellaire!$B$2:$B$63,1,Parcellaire!N2:N63)</f>
        <v>70</v>
      </c>
      <c r="O64" s="135">
        <f>SUMIF(Parcellaire!$B$2:$B$63,1,Parcellaire!O2:O63)</f>
        <v>52</v>
      </c>
      <c r="P64" s="135">
        <f>SUMIF(Parcellaire!$B$2:$B$63,1,Parcellaire!P2:P63)</f>
        <v>0</v>
      </c>
      <c r="Q64" s="135">
        <f>SUMIF(Parcellaire!$B$2:$B$63,1,Parcellaire!Q2:Q63)</f>
        <v>23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4437.8364231252208</v>
      </c>
      <c r="U64" s="135">
        <f>SUMIF(Parcellaire!$B$2:$B$63,1,Parcellaire!U2:U63)</f>
        <v>2262.390295489562</v>
      </c>
      <c r="V64" s="135">
        <f>SUMIF(Parcellaire!$B$2:$B$63,1,Parcellaire!V2:V63)</f>
        <v>5650.2719549163612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4" workbookViewId="0">
      <selection activeCell="A19" sqref="A19:XFD19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1449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1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504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10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10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11.900000000000002</v>
      </c>
      <c r="L28" t="s">
        <v>52</v>
      </c>
      <c r="M28" s="30">
        <f>U228</f>
        <v>11.900000000000002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9.4</v>
      </c>
      <c r="L29" t="s">
        <v>52</v>
      </c>
      <c r="M29" s="30">
        <f>V228</f>
        <v>9.4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0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10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10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1.3</v>
      </c>
    </row>
    <row r="41" spans="10:132" x14ac:dyDescent="0.25">
      <c r="J41" s="14" t="s">
        <v>546</v>
      </c>
      <c r="K41" s="168">
        <f>AD228</f>
        <v>17.100000000000001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1.1900000000000004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549</v>
      </c>
      <c r="K48" s="168">
        <f>K33+K40+K41</f>
        <v>18.400000000000002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550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2</v>
      </c>
      <c r="BH49">
        <f>IF(CdTrp1!N77=1,1,IF(CdTrp1!N77=2,2,IF(CdTrp1!N77=3,2,0)))</f>
        <v>2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2</v>
      </c>
      <c r="BL49">
        <f>IF(CdTrp1!R77=1,1,IF(CdTrp1!R77=2,2,IF(CdTrp1!R77=3,2,0)))</f>
        <v>2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1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2</v>
      </c>
      <c r="BH50">
        <f>IF(CdTrp1!N78=1,1,IF(CdTrp1!N78=2,2,IF(CdTrp1!N78=3,2,0)))</f>
        <v>2</v>
      </c>
      <c r="BI50">
        <f>IF(CdTrp1!O78=1,1,IF(CdTrp1!O78=2,2,IF(CdTrp1!O78=3,2,0)))</f>
        <v>2</v>
      </c>
      <c r="BJ50">
        <f>IF(CdTrp1!P78=1,1,IF(CdTrp1!P78=2,2,IF(CdTrp1!P78=3,2,0)))</f>
        <v>2</v>
      </c>
      <c r="BK50">
        <f>IF(CdTrp1!Q78=1,1,IF(CdTrp1!Q78=2,2,IF(CdTrp1!Q78=3,2,0)))</f>
        <v>2</v>
      </c>
      <c r="BL50">
        <f>IF(CdTrp1!R78=1,1,IF(CdTrp1!R78=2,2,IF(CdTrp1!R78=3,2,0)))</f>
        <v>2</v>
      </c>
      <c r="BM50">
        <f>IF(CdTrp1!S78=1,1,IF(CdTrp1!S78=2,2,IF(CdTrp1!S78=3,2,0)))</f>
        <v>2</v>
      </c>
      <c r="BN50">
        <f>IF(CdTrp1!T78=1,1,IF(CdTrp1!T78=2,2,IF(CdTrp1!T78=3,2,0)))</f>
        <v>2</v>
      </c>
      <c r="BO50">
        <f>IF(CdTrp1!U78=1,1,IF(CdTrp1!U78=2,2,IF(CdTrp1!U78=3,2,0)))</f>
        <v>2</v>
      </c>
      <c r="BP50">
        <f>IF(CdTrp1!V78=1,1,IF(CdTrp1!V78=2,2,IF(CdTrp1!V78=3,2,0)))</f>
        <v>2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551</v>
      </c>
      <c r="K51" s="1">
        <v>0</v>
      </c>
      <c r="M51">
        <v>1</v>
      </c>
      <c r="N51" t="s">
        <v>472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2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552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553</v>
      </c>
      <c r="K53" s="168" t="str">
        <f>Troupeau!B3</f>
        <v>OL</v>
      </c>
      <c r="L53" t="s">
        <v>554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555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556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557</v>
      </c>
      <c r="K56" s="169">
        <v>1</v>
      </c>
      <c r="N56" t="s">
        <v>558</v>
      </c>
      <c r="P56" t="s">
        <v>559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560</v>
      </c>
      <c r="K57" s="80" t="s">
        <v>559</v>
      </c>
      <c r="N57" t="s">
        <v>561</v>
      </c>
      <c r="P57" t="s">
        <v>562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563</v>
      </c>
      <c r="K58" s="1"/>
      <c r="P58" t="s">
        <v>564</v>
      </c>
    </row>
    <row r="59" spans="10:132" x14ac:dyDescent="0.25">
      <c r="J59" s="14" t="s">
        <v>565</v>
      </c>
      <c r="K59" s="1">
        <v>1</v>
      </c>
      <c r="P59" t="s">
        <v>566</v>
      </c>
    </row>
    <row r="60" spans="10:132" x14ac:dyDescent="0.25">
      <c r="J60" s="40" t="s">
        <v>567</v>
      </c>
      <c r="K60" s="168">
        <f>Troupeau!C3</f>
        <v>0</v>
      </c>
      <c r="L60" t="s">
        <v>568</v>
      </c>
      <c r="P60" t="s">
        <v>569</v>
      </c>
    </row>
    <row r="61" spans="10:132" x14ac:dyDescent="0.25">
      <c r="J61" s="14" t="s">
        <v>570</v>
      </c>
      <c r="K61" s="169"/>
      <c r="L61" s="30" t="str">
        <f>IF(COUNTIF(CdTrp2!B76:Y85,5)&gt;0, "OUI", "NON")</f>
        <v>NON</v>
      </c>
      <c r="P61" t="s">
        <v>571</v>
      </c>
    </row>
    <row r="62" spans="10:132" x14ac:dyDescent="0.25">
      <c r="J62" s="14" t="s">
        <v>572</v>
      </c>
      <c r="K62" s="80"/>
    </row>
    <row r="63" spans="10:132" x14ac:dyDescent="0.25">
      <c r="J63"/>
      <c r="K63"/>
    </row>
    <row r="64" spans="10:132" x14ac:dyDescent="0.25">
      <c r="J64" s="14" t="s">
        <v>573</v>
      </c>
      <c r="K64" s="80"/>
    </row>
    <row r="65" spans="10:22" x14ac:dyDescent="0.25">
      <c r="J65" s="40" t="s">
        <v>574</v>
      </c>
      <c r="K65" s="168">
        <f>Troupeau!D3</f>
        <v>0</v>
      </c>
      <c r="L65" t="s">
        <v>575</v>
      </c>
    </row>
    <row r="66" spans="10:22" x14ac:dyDescent="0.25">
      <c r="J66" s="14" t="s">
        <v>576</v>
      </c>
      <c r="K66" s="80"/>
      <c r="L66" s="30" t="str">
        <f>IF(COUNTIF(CdTrp3!B76:Y85,5)&gt;0, "OUI", "NON")</f>
        <v>NON</v>
      </c>
    </row>
    <row r="67" spans="10:22" x14ac:dyDescent="0.25">
      <c r="J67" s="14" t="s">
        <v>577</v>
      </c>
      <c r="K67" s="80"/>
    </row>
    <row r="68" spans="10:22" x14ac:dyDescent="0.25">
      <c r="J68"/>
      <c r="K68"/>
    </row>
    <row r="69" spans="10:22" x14ac:dyDescent="0.25">
      <c r="J69" s="14" t="s">
        <v>578</v>
      </c>
      <c r="K69" s="80"/>
    </row>
    <row r="70" spans="10:22" x14ac:dyDescent="0.25">
      <c r="J70" s="14" t="s">
        <v>579</v>
      </c>
      <c r="K70" s="168">
        <f>IF(K53="OL",0,K54*K55)</f>
        <v>0</v>
      </c>
    </row>
    <row r="71" spans="10:22" x14ac:dyDescent="0.25">
      <c r="J71" s="14" t="s">
        <v>580</v>
      </c>
      <c r="K71" s="168">
        <f>IF(K60="OL",0,K61*K62)</f>
        <v>0</v>
      </c>
    </row>
    <row r="72" spans="10:22" x14ac:dyDescent="0.25">
      <c r="J72" s="14" t="s">
        <v>581</v>
      </c>
      <c r="K72" s="168">
        <f>IF(K65="OL",0,K66*K67)</f>
        <v>0</v>
      </c>
    </row>
    <row r="73" spans="10:22" x14ac:dyDescent="0.25">
      <c r="J73" s="14" t="s">
        <v>582</v>
      </c>
      <c r="K73" s="168">
        <f>SUM(K70:K72)</f>
        <v>0</v>
      </c>
    </row>
    <row r="74" spans="10:22" x14ac:dyDescent="0.25">
      <c r="J74" s="40" t="s">
        <v>583</v>
      </c>
      <c r="K74"/>
    </row>
    <row r="75" spans="10:22" x14ac:dyDescent="0.25">
      <c r="J75" s="14" t="s">
        <v>553</v>
      </c>
      <c r="K75" s="168" t="str">
        <f>Troupeau!B3</f>
        <v>OL</v>
      </c>
      <c r="L75" t="s">
        <v>584</v>
      </c>
      <c r="R75">
        <v>0</v>
      </c>
      <c r="S75" t="s">
        <v>585</v>
      </c>
      <c r="V75" s="14" t="s">
        <v>586</v>
      </c>
    </row>
    <row r="76" spans="10:22" x14ac:dyDescent="0.25">
      <c r="J76" s="14" t="s">
        <v>587</v>
      </c>
      <c r="K76" s="80"/>
      <c r="L76" s="30" t="str">
        <f>IF(COUNTIF(CdTrp1!B76:Y85,4)&gt;0, "OUI", "NON")</f>
        <v>NON</v>
      </c>
      <c r="R76">
        <v>1</v>
      </c>
      <c r="U76" s="282">
        <v>1</v>
      </c>
      <c r="V76" s="282" t="s">
        <v>588</v>
      </c>
    </row>
    <row r="77" spans="10:22" x14ac:dyDescent="0.25">
      <c r="J77" s="14" t="s">
        <v>589</v>
      </c>
      <c r="K77" s="80"/>
      <c r="R77">
        <v>2</v>
      </c>
      <c r="U77" s="282">
        <v>2</v>
      </c>
      <c r="V77" s="282" t="s">
        <v>590</v>
      </c>
    </row>
    <row r="78" spans="10:22" x14ac:dyDescent="0.25">
      <c r="J78" s="40" t="s">
        <v>567</v>
      </c>
      <c r="K78" s="168">
        <f>Troupeau!C3</f>
        <v>0</v>
      </c>
      <c r="L78" t="s">
        <v>591</v>
      </c>
      <c r="R78">
        <v>3</v>
      </c>
    </row>
    <row r="79" spans="10:22" x14ac:dyDescent="0.25">
      <c r="J79" s="14" t="s">
        <v>592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593</v>
      </c>
      <c r="K80" s="80"/>
      <c r="R80">
        <v>5</v>
      </c>
    </row>
    <row r="81" spans="9:21" x14ac:dyDescent="0.25">
      <c r="J81" s="40" t="s">
        <v>574</v>
      </c>
      <c r="K81" s="168">
        <f>Troupeau!D3</f>
        <v>0</v>
      </c>
      <c r="L81" t="s">
        <v>594</v>
      </c>
      <c r="U81" s="43" t="s">
        <v>595</v>
      </c>
    </row>
    <row r="82" spans="9:21" x14ac:dyDescent="0.25">
      <c r="J82" s="14" t="s">
        <v>596</v>
      </c>
      <c r="K82" s="80"/>
      <c r="L82" s="30" t="str">
        <f>IF(COUNTIF(CdTrp3!B76:Y85,4)&gt;0, "OUI", "NON")</f>
        <v>NON</v>
      </c>
      <c r="Q82" s="43" t="s">
        <v>597</v>
      </c>
      <c r="T82">
        <v>0</v>
      </c>
      <c r="U82" t="s">
        <v>598</v>
      </c>
    </row>
    <row r="83" spans="9:21" x14ac:dyDescent="0.25">
      <c r="J83" s="14" t="s">
        <v>599</v>
      </c>
      <c r="K83" s="80"/>
      <c r="P83">
        <v>1</v>
      </c>
      <c r="Q83" t="s">
        <v>600</v>
      </c>
      <c r="T83">
        <v>1</v>
      </c>
      <c r="U83" t="s">
        <v>601</v>
      </c>
    </row>
    <row r="84" spans="9:21" x14ac:dyDescent="0.25">
      <c r="J84" s="40" t="s">
        <v>586</v>
      </c>
      <c r="K84" s="170">
        <v>1</v>
      </c>
      <c r="L84" t="s">
        <v>602</v>
      </c>
      <c r="P84">
        <v>2</v>
      </c>
      <c r="Q84" t="s">
        <v>603</v>
      </c>
      <c r="T84">
        <v>2</v>
      </c>
      <c r="U84" t="s">
        <v>604</v>
      </c>
    </row>
    <row r="85" spans="9:21" x14ac:dyDescent="0.25">
      <c r="K85"/>
      <c r="Q85" s="43" t="s">
        <v>605</v>
      </c>
      <c r="U85" s="43" t="s">
        <v>606</v>
      </c>
    </row>
    <row r="86" spans="9:21" x14ac:dyDescent="0.25">
      <c r="J86" s="40" t="s">
        <v>607</v>
      </c>
      <c r="P86">
        <v>1</v>
      </c>
      <c r="Q86" t="s">
        <v>608</v>
      </c>
      <c r="T86">
        <v>1</v>
      </c>
      <c r="U86" t="s">
        <v>598</v>
      </c>
    </row>
    <row r="87" spans="9:21" x14ac:dyDescent="0.25">
      <c r="J87" s="14" t="s">
        <v>609</v>
      </c>
      <c r="K87" s="80">
        <v>1</v>
      </c>
      <c r="P87">
        <v>2</v>
      </c>
      <c r="Q87" t="s">
        <v>610</v>
      </c>
      <c r="T87">
        <v>2</v>
      </c>
      <c r="U87" t="s">
        <v>611</v>
      </c>
    </row>
    <row r="88" spans="9:21" x14ac:dyDescent="0.25">
      <c r="J88" s="14" t="s">
        <v>597</v>
      </c>
      <c r="K88" s="80">
        <v>1</v>
      </c>
      <c r="P88">
        <v>3</v>
      </c>
      <c r="Q88" t="s">
        <v>612</v>
      </c>
      <c r="T88">
        <v>3</v>
      </c>
      <c r="U88" t="s">
        <v>613</v>
      </c>
    </row>
    <row r="89" spans="9:21" x14ac:dyDescent="0.25">
      <c r="J89" s="14" t="s">
        <v>614</v>
      </c>
      <c r="K89" s="80"/>
      <c r="T89">
        <v>4</v>
      </c>
      <c r="U89" t="s">
        <v>615</v>
      </c>
    </row>
    <row r="90" spans="9:21" x14ac:dyDescent="0.25">
      <c r="J90" s="14" t="s">
        <v>614</v>
      </c>
      <c r="K90" s="80"/>
    </row>
    <row r="91" spans="9:21" x14ac:dyDescent="0.25">
      <c r="J91" s="14" t="s">
        <v>595</v>
      </c>
      <c r="K91" s="80"/>
    </row>
    <row r="92" spans="9:21" x14ac:dyDescent="0.25">
      <c r="J92"/>
      <c r="K92"/>
    </row>
    <row r="93" spans="9:21" x14ac:dyDescent="0.25">
      <c r="J93" s="14" t="s">
        <v>616</v>
      </c>
      <c r="K93" s="80"/>
    </row>
    <row r="94" spans="9:21" x14ac:dyDescent="0.25">
      <c r="J94" s="14" t="s">
        <v>617</v>
      </c>
      <c r="K94" s="80"/>
      <c r="L94" t="s">
        <v>618</v>
      </c>
    </row>
    <row r="95" spans="9:21" x14ac:dyDescent="0.25">
      <c r="J95" s="14" t="s">
        <v>619</v>
      </c>
      <c r="L95" t="s">
        <v>620</v>
      </c>
      <c r="Q95" t="s">
        <v>621</v>
      </c>
    </row>
    <row r="96" spans="9:21" x14ac:dyDescent="0.25">
      <c r="I96" t="s">
        <v>622</v>
      </c>
      <c r="J96" s="14" t="s">
        <v>228</v>
      </c>
      <c r="K96" s="80" t="s">
        <v>623</v>
      </c>
      <c r="L96" s="30" t="str">
        <f>CdTrp1!A15</f>
        <v>laitiéres</v>
      </c>
      <c r="Q96" t="s">
        <v>623</v>
      </c>
    </row>
    <row r="97" spans="9:17" x14ac:dyDescent="0.25">
      <c r="J97" s="14" t="s">
        <v>157</v>
      </c>
      <c r="K97" s="80" t="s">
        <v>623</v>
      </c>
      <c r="L97" s="30" t="str">
        <f>CdTrp1!A16</f>
        <v>agnelles</v>
      </c>
      <c r="Q97" t="s">
        <v>624</v>
      </c>
    </row>
    <row r="98" spans="9:17" x14ac:dyDescent="0.25">
      <c r="J98" s="14" t="s">
        <v>158</v>
      </c>
      <c r="K98" s="80" t="s">
        <v>623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623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625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626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627</v>
      </c>
      <c r="K127" s="80"/>
      <c r="L127" t="s">
        <v>628</v>
      </c>
    </row>
    <row r="128" spans="9:12" x14ac:dyDescent="0.25">
      <c r="K128"/>
    </row>
    <row r="129" spans="10:15" x14ac:dyDescent="0.25">
      <c r="J129" s="14" t="s">
        <v>629</v>
      </c>
      <c r="K129" s="80">
        <v>1</v>
      </c>
      <c r="L129" t="s">
        <v>630</v>
      </c>
      <c r="N129">
        <v>0</v>
      </c>
      <c r="O129" t="s">
        <v>631</v>
      </c>
    </row>
    <row r="130" spans="10:15" x14ac:dyDescent="0.25">
      <c r="J130"/>
      <c r="K130"/>
      <c r="N130">
        <v>1</v>
      </c>
      <c r="O130" t="s">
        <v>632</v>
      </c>
    </row>
    <row r="161" spans="17:41" x14ac:dyDescent="0.25">
      <c r="R161" s="2" t="s">
        <v>633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  <c r="AL163" s="5"/>
    </row>
    <row r="164" spans="17:41" x14ac:dyDescent="0.25">
      <c r="Q164">
        <v>1</v>
      </c>
      <c r="R164" s="168">
        <f>'Alim -Surf'!Q7</f>
        <v>265</v>
      </c>
      <c r="S164" s="168">
        <f>'Alim -Surf'!R7</f>
        <v>4.9000000000000004</v>
      </c>
      <c r="T164" s="168">
        <f>VLOOKUP($R164,[1]MEP!$A$4:$M$300,13)</f>
        <v>2</v>
      </c>
      <c r="U164" s="168">
        <f>IF($T164&gt;0,$S164,0)</f>
        <v>4.9000000000000004</v>
      </c>
      <c r="V164" s="168">
        <f>IF($T164&gt;1,$S164,0)</f>
        <v>4.9000000000000004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4.9000000000000004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4.9000000000000004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264</v>
      </c>
      <c r="S165" s="168">
        <f>'Alim -Surf'!R8</f>
        <v>2.5</v>
      </c>
      <c r="T165" s="168">
        <f>VLOOKUP(R165,[1]MEP!$A$4:$M$300,13)</f>
        <v>1</v>
      </c>
      <c r="U165" s="168">
        <f t="shared" ref="U165:U207" si="10">IF($T165&gt;0,$S165,0)</f>
        <v>2.5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2.5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2.5</v>
      </c>
      <c r="AJ165" s="168">
        <f t="shared" ref="AJ165:AJ207" si="20">IF(T165&gt;1,AD165,0)</f>
        <v>0</v>
      </c>
      <c r="AL165" s="5"/>
      <c r="AN165" s="32" t="s">
        <v>651</v>
      </c>
      <c r="AO165" s="168">
        <f>SUM(AD164:AD183)</f>
        <v>12.9</v>
      </c>
    </row>
    <row r="166" spans="17:41" x14ac:dyDescent="0.25">
      <c r="Q166">
        <v>3</v>
      </c>
      <c r="R166" s="168">
        <f>'Alim -Surf'!Q9</f>
        <v>266</v>
      </c>
      <c r="S166" s="168">
        <f>'Alim -Surf'!R9</f>
        <v>5.5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5.5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5.5</v>
      </c>
      <c r="AI166" s="168">
        <f t="shared" si="19"/>
        <v>0</v>
      </c>
      <c r="AJ166" s="168">
        <f t="shared" si="20"/>
        <v>0</v>
      </c>
      <c r="AL166" s="5"/>
      <c r="AN166" s="32" t="s">
        <v>652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10"/>
        <v>0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0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0</v>
      </c>
      <c r="AJ167" s="168">
        <f t="shared" si="20"/>
        <v>0</v>
      </c>
      <c r="AL167" s="5"/>
      <c r="AN167" s="32" t="s">
        <v>653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654</v>
      </c>
      <c r="AO168" s="168">
        <f>SUM(AD186:AD205)</f>
        <v>4.1999999999999993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655</v>
      </c>
      <c r="AO169" s="168">
        <f>SUM(AC186:AC205)</f>
        <v>1.3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656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657</v>
      </c>
      <c r="AO171" s="168">
        <f>'Alim -Surf'!O51</f>
        <v>10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266</v>
      </c>
      <c r="S186" s="168">
        <f>'Alim -Surf'!R29</f>
        <v>1</v>
      </c>
      <c r="T186" s="168">
        <f>VLOOKUP(R186,[1]MEP!$A$4:$M$300,13)</f>
        <v>0</v>
      </c>
      <c r="U186" s="168">
        <f t="shared" si="10"/>
        <v>0</v>
      </c>
      <c r="V186" s="168">
        <f t="shared" si="11"/>
        <v>0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1</v>
      </c>
      <c r="AI186" s="168">
        <f t="shared" si="19"/>
        <v>0</v>
      </c>
      <c r="AJ186" s="168">
        <f t="shared" si="20"/>
        <v>0</v>
      </c>
      <c r="AL186" s="5"/>
    </row>
    <row r="187" spans="17:38" x14ac:dyDescent="0.25">
      <c r="Q187">
        <v>2</v>
      </c>
      <c r="R187" s="168">
        <f>'Alim -Surf'!Q30</f>
        <v>269</v>
      </c>
      <c r="S187" s="168">
        <f>'Alim -Surf'!R30</f>
        <v>1.8</v>
      </c>
      <c r="T187" s="168">
        <f>VLOOKUP(R187,[1]MEP!$A$4:$M$300,13)</f>
        <v>2</v>
      </c>
      <c r="U187" s="168">
        <f t="shared" si="10"/>
        <v>1.8</v>
      </c>
      <c r="V187" s="168">
        <f t="shared" si="11"/>
        <v>1.8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1.8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1.8</v>
      </c>
      <c r="AL187" s="5"/>
    </row>
    <row r="188" spans="17:38" x14ac:dyDescent="0.25">
      <c r="Q188">
        <v>3</v>
      </c>
      <c r="R188" s="168">
        <f>'Alim -Surf'!Q31</f>
        <v>265</v>
      </c>
      <c r="S188" s="168">
        <f>'Alim -Surf'!R31</f>
        <v>1.4</v>
      </c>
      <c r="T188" s="168">
        <f>VLOOKUP(R188,[1]MEP!$A$4:$M$300,13)</f>
        <v>2</v>
      </c>
      <c r="U188" s="168">
        <f t="shared" si="10"/>
        <v>1.4</v>
      </c>
      <c r="V188" s="168">
        <f t="shared" si="11"/>
        <v>1.4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1.4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1.4</v>
      </c>
      <c r="AL188" s="5"/>
    </row>
    <row r="189" spans="17:38" x14ac:dyDescent="0.25">
      <c r="Q189">
        <v>4</v>
      </c>
      <c r="R189" s="168">
        <f>'Alim -Surf'!Q32</f>
        <v>194</v>
      </c>
      <c r="S189" s="168">
        <f>'Alim -Surf'!R32</f>
        <v>1.3</v>
      </c>
      <c r="T189" s="168">
        <f>VLOOKUP(R189,[1]MEP!$A$4:$M$300,13)</f>
        <v>2</v>
      </c>
      <c r="U189" s="168">
        <f t="shared" si="10"/>
        <v>1.3</v>
      </c>
      <c r="V189" s="168">
        <f t="shared" si="11"/>
        <v>1.3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8"/>
        <v>0</v>
      </c>
      <c r="AB189" s="168">
        <f t="shared" si="9"/>
        <v>0</v>
      </c>
      <c r="AC189" s="168">
        <f t="shared" si="13"/>
        <v>1.3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1.3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658</v>
      </c>
      <c r="R228" s="2"/>
      <c r="S228" s="62">
        <f t="shared" ref="S228" si="21">SUM(S164:S227)</f>
        <v>18.400000000000002</v>
      </c>
      <c r="U228" s="62">
        <f>SUM(U164:U227)</f>
        <v>11.900000000000002</v>
      </c>
      <c r="V228" s="62">
        <f t="shared" ref="V228:W228" si="22">SUM(V164:V227)</f>
        <v>9.4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1.3</v>
      </c>
      <c r="AD228" s="62">
        <f>SUM(AD164:AD227)</f>
        <v>17.100000000000001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1.3</v>
      </c>
      <c r="AH228" s="62">
        <f t="shared" si="24"/>
        <v>6.5</v>
      </c>
      <c r="AI228" s="62">
        <f t="shared" si="24"/>
        <v>2.5</v>
      </c>
      <c r="AJ228" s="62">
        <f t="shared" si="24"/>
        <v>8.1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D1" zoomScale="90" zoomScaleNormal="90" workbookViewId="0">
      <selection activeCell="AJ8" sqref="AJ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659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660</v>
      </c>
      <c r="BJ1" t="s">
        <v>661</v>
      </c>
    </row>
    <row r="2" spans="1:64" x14ac:dyDescent="0.25">
      <c r="A2" s="14" t="s">
        <v>662</v>
      </c>
      <c r="B2" t="s">
        <v>553</v>
      </c>
      <c r="C2" s="172">
        <f>SUM(C3:C4)</f>
        <v>2</v>
      </c>
      <c r="D2" s="172">
        <f t="shared" ref="D2:Z2" si="0">SUM(D3:D4)</f>
        <v>2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3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4</v>
      </c>
      <c r="M2" s="172">
        <f t="shared" si="0"/>
        <v>4</v>
      </c>
      <c r="N2" s="172">
        <f t="shared" si="0"/>
        <v>4</v>
      </c>
      <c r="O2" s="172">
        <f t="shared" si="0"/>
        <v>3</v>
      </c>
      <c r="P2" s="172">
        <f t="shared" si="0"/>
        <v>3</v>
      </c>
      <c r="Q2" s="172">
        <f t="shared" si="0"/>
        <v>3</v>
      </c>
      <c r="R2" s="172">
        <f t="shared" si="0"/>
        <v>3</v>
      </c>
      <c r="S2" s="172">
        <f t="shared" si="0"/>
        <v>3</v>
      </c>
      <c r="T2" s="172">
        <f t="shared" si="0"/>
        <v>3</v>
      </c>
      <c r="U2" s="172">
        <f t="shared" si="0"/>
        <v>3</v>
      </c>
      <c r="V2" s="172">
        <f t="shared" si="0"/>
        <v>3</v>
      </c>
      <c r="W2" s="172">
        <f t="shared" si="0"/>
        <v>3</v>
      </c>
      <c r="X2" s="172">
        <f t="shared" si="0"/>
        <v>3</v>
      </c>
      <c r="Y2" s="172">
        <f t="shared" si="0"/>
        <v>4</v>
      </c>
      <c r="Z2" s="172">
        <f t="shared" si="0"/>
        <v>3</v>
      </c>
      <c r="AH2" s="166"/>
      <c r="AP2" t="s">
        <v>663</v>
      </c>
      <c r="AQ2" t="s">
        <v>664</v>
      </c>
      <c r="AV2" t="s">
        <v>665</v>
      </c>
      <c r="AW2" t="s">
        <v>34</v>
      </c>
      <c r="AX2" t="s">
        <v>445</v>
      </c>
      <c r="AY2" t="s">
        <v>76</v>
      </c>
      <c r="AZ2" t="s">
        <v>18</v>
      </c>
      <c r="BA2" t="s">
        <v>666</v>
      </c>
      <c r="BB2" t="s">
        <v>667</v>
      </c>
      <c r="BC2" t="s">
        <v>668</v>
      </c>
      <c r="BD2" t="s">
        <v>669</v>
      </c>
      <c r="BE2" t="s">
        <v>670</v>
      </c>
      <c r="BF2" t="s">
        <v>671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672</v>
      </c>
      <c r="B3" t="s">
        <v>553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0</v>
      </c>
      <c r="F3" s="172">
        <f t="shared" si="1"/>
        <v>1</v>
      </c>
      <c r="G3" s="172">
        <f t="shared" si="1"/>
        <v>1</v>
      </c>
      <c r="H3" s="172">
        <f t="shared" si="1"/>
        <v>1</v>
      </c>
      <c r="I3" s="172">
        <f t="shared" si="1"/>
        <v>1</v>
      </c>
      <c r="J3" s="172">
        <f t="shared" si="1"/>
        <v>1</v>
      </c>
      <c r="K3" s="172">
        <f t="shared" si="1"/>
        <v>1</v>
      </c>
      <c r="L3" s="172">
        <f t="shared" si="1"/>
        <v>1</v>
      </c>
      <c r="M3" s="172">
        <f t="shared" si="1"/>
        <v>1</v>
      </c>
      <c r="N3" s="172">
        <f t="shared" si="1"/>
        <v>1</v>
      </c>
      <c r="O3" s="172">
        <f t="shared" si="1"/>
        <v>1</v>
      </c>
      <c r="P3" s="172">
        <f t="shared" si="1"/>
        <v>1</v>
      </c>
      <c r="Q3" s="172">
        <f t="shared" si="1"/>
        <v>1</v>
      </c>
      <c r="R3" s="172">
        <f t="shared" si="1"/>
        <v>1</v>
      </c>
      <c r="S3" s="172">
        <f t="shared" si="1"/>
        <v>1</v>
      </c>
      <c r="T3" s="172">
        <f t="shared" si="1"/>
        <v>1</v>
      </c>
      <c r="U3" s="172">
        <f t="shared" si="1"/>
        <v>1</v>
      </c>
      <c r="V3" s="172">
        <f t="shared" si="1"/>
        <v>1</v>
      </c>
      <c r="W3" s="172">
        <f t="shared" si="1"/>
        <v>2</v>
      </c>
      <c r="X3" s="172">
        <f t="shared" si="1"/>
        <v>2</v>
      </c>
      <c r="Y3" s="172">
        <f t="shared" si="1"/>
        <v>2</v>
      </c>
      <c r="Z3" s="172">
        <f t="shared" si="1"/>
        <v>1</v>
      </c>
      <c r="AO3" s="14" t="s">
        <v>673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674</v>
      </c>
      <c r="B4" t="s">
        <v>553</v>
      </c>
      <c r="C4" s="172">
        <f>COUNTIF(C81:C90,2)</f>
        <v>2</v>
      </c>
      <c r="D4" s="172">
        <f t="shared" ref="D4:Z4" si="2">COUNTIF(D81:D90,2)</f>
        <v>2</v>
      </c>
      <c r="E4" s="172">
        <f t="shared" si="2"/>
        <v>2</v>
      </c>
      <c r="F4" s="172">
        <f t="shared" si="2"/>
        <v>2</v>
      </c>
      <c r="G4" s="172">
        <f t="shared" si="2"/>
        <v>2</v>
      </c>
      <c r="H4" s="172">
        <f t="shared" si="2"/>
        <v>2</v>
      </c>
      <c r="I4" s="172">
        <f t="shared" si="2"/>
        <v>3</v>
      </c>
      <c r="J4" s="172">
        <f t="shared" si="2"/>
        <v>3</v>
      </c>
      <c r="K4" s="172">
        <f t="shared" si="2"/>
        <v>3</v>
      </c>
      <c r="L4" s="172">
        <f t="shared" si="2"/>
        <v>3</v>
      </c>
      <c r="M4" s="172">
        <f t="shared" si="2"/>
        <v>3</v>
      </c>
      <c r="N4" s="172">
        <f t="shared" si="2"/>
        <v>3</v>
      </c>
      <c r="O4" s="172">
        <f t="shared" si="2"/>
        <v>2</v>
      </c>
      <c r="P4" s="172">
        <f t="shared" si="2"/>
        <v>2</v>
      </c>
      <c r="Q4" s="172">
        <f t="shared" si="2"/>
        <v>2</v>
      </c>
      <c r="R4" s="172">
        <f t="shared" si="2"/>
        <v>2</v>
      </c>
      <c r="S4" s="172">
        <f t="shared" si="2"/>
        <v>2</v>
      </c>
      <c r="T4" s="172">
        <f t="shared" si="2"/>
        <v>2</v>
      </c>
      <c r="U4" s="172">
        <f t="shared" si="2"/>
        <v>2</v>
      </c>
      <c r="V4" s="172">
        <f t="shared" si="2"/>
        <v>2</v>
      </c>
      <c r="W4" s="172">
        <f t="shared" si="2"/>
        <v>1</v>
      </c>
      <c r="X4" s="172">
        <f t="shared" si="2"/>
        <v>1</v>
      </c>
      <c r="Y4" s="172">
        <f t="shared" si="2"/>
        <v>2</v>
      </c>
      <c r="Z4" s="172">
        <f t="shared" si="2"/>
        <v>2</v>
      </c>
      <c r="AO4" s="14" t="s">
        <v>675</v>
      </c>
      <c r="AP4" s="30">
        <f>SUM(BG31:BI31)</f>
        <v>4437</v>
      </c>
      <c r="AQ4">
        <f>SUM(BJ31:BL31)</f>
        <v>18.399999999999999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676</v>
      </c>
      <c r="B5" t="s">
        <v>553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677</v>
      </c>
      <c r="AP5" s="30">
        <f>BI31</f>
        <v>1296</v>
      </c>
      <c r="AQ5">
        <f>+BL31</f>
        <v>5.5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269</v>
      </c>
      <c r="AZ5" s="30">
        <f>Parcellaire!G4</f>
        <v>1.8</v>
      </c>
      <c r="BA5" s="30">
        <f>ROUND(Parcellaire!S4,0)</f>
        <v>0</v>
      </c>
      <c r="BB5" s="30">
        <f>ROUND(Parcellaire!T4,0)</f>
        <v>497</v>
      </c>
      <c r="BC5" s="30">
        <f>ROUND(Parcellaire!U4,0)</f>
        <v>199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PE</v>
      </c>
      <c r="BG5" s="168">
        <f t="shared" si="4"/>
        <v>0</v>
      </c>
      <c r="BH5" s="168">
        <f t="shared" si="5"/>
        <v>0</v>
      </c>
      <c r="BI5" s="168">
        <f t="shared" si="6"/>
        <v>497</v>
      </c>
      <c r="BJ5" s="168">
        <f t="shared" si="7"/>
        <v>0</v>
      </c>
      <c r="BK5" s="168">
        <f t="shared" si="8"/>
        <v>0</v>
      </c>
      <c r="BL5" s="168">
        <f t="shared" si="9"/>
        <v>1.8</v>
      </c>
    </row>
    <row r="6" spans="1:64" x14ac:dyDescent="0.25">
      <c r="A6" s="14" t="s">
        <v>678</v>
      </c>
      <c r="B6" t="s">
        <v>553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679</v>
      </c>
      <c r="AP6" s="30">
        <f>BH31</f>
        <v>3141</v>
      </c>
      <c r="AQ6">
        <f>BK31</f>
        <v>12.9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680</v>
      </c>
      <c r="B7" t="s">
        <v>553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681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682</v>
      </c>
      <c r="B8" t="s">
        <v>553</v>
      </c>
      <c r="C8" s="172">
        <f>(C3+C4)*[1]Protect!$B$12</f>
        <v>4</v>
      </c>
      <c r="D8" s="172">
        <f>(D3+D4)*[1]Protect!$B$12</f>
        <v>4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6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8</v>
      </c>
      <c r="M8" s="172">
        <f>(M3+M4)*[1]Protect!$B$12</f>
        <v>8</v>
      </c>
      <c r="N8" s="172">
        <f>(N3+N4)*[1]Protect!$B$12</f>
        <v>8</v>
      </c>
      <c r="O8" s="172">
        <f>(O3+O4)*[1]Protect!$B$12</f>
        <v>6</v>
      </c>
      <c r="P8" s="172">
        <f>(P3+P4)*[1]Protect!$B$12</f>
        <v>6</v>
      </c>
      <c r="Q8" s="172">
        <f>(Q3+Q4)*[1]Protect!$B$12</f>
        <v>6</v>
      </c>
      <c r="R8" s="172">
        <f>(R3+R4)*[1]Protect!$B$12</f>
        <v>6</v>
      </c>
      <c r="S8" s="172">
        <f>(S3+S4)*[1]Protect!$B$12</f>
        <v>6</v>
      </c>
      <c r="T8" s="172">
        <f>(T3+T4)*[1]Protect!$B$12</f>
        <v>6</v>
      </c>
      <c r="U8" s="172">
        <f>(U3+U4)*[1]Protect!$B$12</f>
        <v>6</v>
      </c>
      <c r="V8" s="172">
        <f>(V3+V4)*[1]Protect!$B$12</f>
        <v>6</v>
      </c>
      <c r="W8" s="172">
        <f>(W3+W4)*[1]Protect!$B$12</f>
        <v>6</v>
      </c>
      <c r="X8" s="172">
        <f>(X3+X4)*[1]Protect!$B$12</f>
        <v>6</v>
      </c>
      <c r="Y8" s="172">
        <f>(Y3+Y4)*[1]Protect!$B$12</f>
        <v>8</v>
      </c>
      <c r="Z8" s="172">
        <f>(Z3+Z4)*[1]Protect!$B$12</f>
        <v>6</v>
      </c>
      <c r="AI8" s="40" t="s">
        <v>683</v>
      </c>
      <c r="AJ8" s="30">
        <f>IF(Scénario!$K$87=5,2,IF(Scénario!$K$87&gt;0,MAX($C$214:$Z$214),0))</f>
        <v>8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684</v>
      </c>
      <c r="B9" t="s">
        <v>553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194</v>
      </c>
      <c r="AZ9" s="30">
        <f>Parcellaire!G8</f>
        <v>2.7</v>
      </c>
      <c r="BA9" s="30">
        <f>ROUND(Parcellaire!S8,0)</f>
        <v>0</v>
      </c>
      <c r="BB9" s="30">
        <f>ROUND(Parcellaire!T8,0)</f>
        <v>465</v>
      </c>
      <c r="BC9" s="30">
        <f>ROUND(Parcellaire!U8,0)</f>
        <v>465</v>
      </c>
      <c r="BD9" s="30" t="str">
        <f>IF(AW9=2,"",VLOOKUP(AY9,[1]MEP!$X$5:$AA$250,4))</f>
        <v>PT</v>
      </c>
      <c r="BE9" s="30" t="str">
        <f>IF(AW9=2,"",VLOOKUP(BD9,[1]MEP!$AC$5:$AD$10,2))</f>
        <v>P</v>
      </c>
      <c r="BF9" s="30" t="str">
        <f t="shared" si="3"/>
        <v>PE</v>
      </c>
      <c r="BG9" s="168">
        <f t="shared" si="4"/>
        <v>0</v>
      </c>
      <c r="BH9" s="168">
        <f t="shared" si="5"/>
        <v>0</v>
      </c>
      <c r="BI9" s="168">
        <f t="shared" si="6"/>
        <v>465</v>
      </c>
      <c r="BJ9" s="168">
        <f t="shared" si="7"/>
        <v>0</v>
      </c>
      <c r="BK9" s="168">
        <f t="shared" si="8"/>
        <v>0</v>
      </c>
      <c r="BL9" s="168">
        <f t="shared" si="9"/>
        <v>2.7</v>
      </c>
    </row>
    <row r="10" spans="1:64" x14ac:dyDescent="0.25">
      <c r="A10" s="14" t="s">
        <v>685</v>
      </c>
      <c r="B10" t="s">
        <v>553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265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686</v>
      </c>
      <c r="B11" t="s">
        <v>553</v>
      </c>
      <c r="C11" s="172">
        <f>SUM(C8:C10)</f>
        <v>4</v>
      </c>
      <c r="D11" s="172">
        <f t="shared" ref="D11:Z11" si="13">SUM(D8:D10)</f>
        <v>4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6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8</v>
      </c>
      <c r="M11" s="172">
        <f t="shared" si="13"/>
        <v>8</v>
      </c>
      <c r="N11" s="172">
        <f t="shared" si="13"/>
        <v>8</v>
      </c>
      <c r="O11" s="172">
        <f t="shared" si="13"/>
        <v>6</v>
      </c>
      <c r="P11" s="172">
        <f t="shared" si="13"/>
        <v>6</v>
      </c>
      <c r="Q11" s="172">
        <f t="shared" si="13"/>
        <v>6</v>
      </c>
      <c r="R11" s="172">
        <f t="shared" si="13"/>
        <v>6</v>
      </c>
      <c r="S11" s="172">
        <f t="shared" si="13"/>
        <v>6</v>
      </c>
      <c r="T11" s="172">
        <f t="shared" si="13"/>
        <v>6</v>
      </c>
      <c r="U11" s="172">
        <f t="shared" si="13"/>
        <v>6</v>
      </c>
      <c r="V11" s="172">
        <f t="shared" si="13"/>
        <v>6</v>
      </c>
      <c r="W11" s="172">
        <f t="shared" si="13"/>
        <v>6</v>
      </c>
      <c r="X11" s="172">
        <f t="shared" si="13"/>
        <v>6</v>
      </c>
      <c r="Y11" s="172">
        <f t="shared" si="13"/>
        <v>8</v>
      </c>
      <c r="Z11" s="172">
        <f t="shared" si="13"/>
        <v>6</v>
      </c>
      <c r="AB11" s="2" t="s">
        <v>687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688</v>
      </c>
      <c r="B12" t="s">
        <v>553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689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266</v>
      </c>
      <c r="AZ12" s="30">
        <f>Parcellaire!G11</f>
        <v>1</v>
      </c>
      <c r="BA12" s="30">
        <f>ROUND(Parcellaire!S11,0)</f>
        <v>0</v>
      </c>
      <c r="BB12" s="30">
        <f>ROUND(Parcellaire!T11,0)</f>
        <v>334</v>
      </c>
      <c r="BC12" s="30">
        <f>ROUND(Parcellaire!U11,0)</f>
        <v>222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PE</v>
      </c>
      <c r="BG12" s="168">
        <f t="shared" si="4"/>
        <v>0</v>
      </c>
      <c r="BH12" s="168">
        <f t="shared" si="5"/>
        <v>0</v>
      </c>
      <c r="BI12" s="168">
        <f t="shared" si="6"/>
        <v>334</v>
      </c>
      <c r="BJ12" s="168">
        <f t="shared" si="7"/>
        <v>0</v>
      </c>
      <c r="BK12" s="168">
        <f t="shared" si="8"/>
        <v>0</v>
      </c>
      <c r="BL12" s="168">
        <f t="shared" si="9"/>
        <v>1</v>
      </c>
    </row>
    <row r="13" spans="1:64" x14ac:dyDescent="0.25">
      <c r="A13" s="14" t="s">
        <v>690</v>
      </c>
      <c r="B13" t="s">
        <v>553</v>
      </c>
      <c r="C13" s="172">
        <f>C11+C12</f>
        <v>4</v>
      </c>
      <c r="D13" s="172">
        <f t="shared" ref="D13:Z13" si="14">D11+D12</f>
        <v>4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6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8</v>
      </c>
      <c r="M13" s="172">
        <f t="shared" si="14"/>
        <v>8</v>
      </c>
      <c r="N13" s="172">
        <f t="shared" si="14"/>
        <v>8</v>
      </c>
      <c r="O13" s="172">
        <f t="shared" si="14"/>
        <v>6</v>
      </c>
      <c r="P13" s="172">
        <f t="shared" si="14"/>
        <v>6</v>
      </c>
      <c r="Q13" s="172">
        <f t="shared" si="14"/>
        <v>6</v>
      </c>
      <c r="R13" s="172">
        <f t="shared" si="14"/>
        <v>6</v>
      </c>
      <c r="S13" s="172">
        <f t="shared" si="14"/>
        <v>6</v>
      </c>
      <c r="T13" s="172">
        <f t="shared" si="14"/>
        <v>6</v>
      </c>
      <c r="U13" s="172">
        <f t="shared" si="14"/>
        <v>6</v>
      </c>
      <c r="V13" s="172">
        <f t="shared" si="14"/>
        <v>6</v>
      </c>
      <c r="W13" s="172">
        <f t="shared" si="14"/>
        <v>6</v>
      </c>
      <c r="X13" s="172">
        <f t="shared" si="14"/>
        <v>6</v>
      </c>
      <c r="Y13" s="172">
        <f t="shared" si="14"/>
        <v>8</v>
      </c>
      <c r="Z13" s="172">
        <f t="shared" si="14"/>
        <v>6</v>
      </c>
      <c r="AC13" s="14" t="s">
        <v>691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0</v>
      </c>
      <c r="AZ13" s="30">
        <f>Parcellaire!G12</f>
        <v>10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694</v>
      </c>
      <c r="B15" t="s">
        <v>553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266</v>
      </c>
      <c r="AZ15" s="30">
        <f>Parcellaire!G14</f>
        <v>5</v>
      </c>
      <c r="BA15" s="30">
        <f>ROUND(Parcellaire!S14,0)</f>
        <v>0</v>
      </c>
      <c r="BB15" s="30">
        <f>ROUND(Parcellaire!T14,0)</f>
        <v>817</v>
      </c>
      <c r="BC15" s="30">
        <f>ROUND(Parcellaire!U14,0)</f>
        <v>545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68">
        <f t="shared" si="4"/>
        <v>0</v>
      </c>
      <c r="BH15" s="168">
        <f t="shared" si="5"/>
        <v>817</v>
      </c>
      <c r="BI15" s="168">
        <f t="shared" si="6"/>
        <v>0</v>
      </c>
      <c r="BJ15" s="168">
        <f t="shared" si="7"/>
        <v>0</v>
      </c>
      <c r="BK15" s="168">
        <f t="shared" si="8"/>
        <v>5</v>
      </c>
      <c r="BL15" s="168">
        <f t="shared" si="9"/>
        <v>0</v>
      </c>
    </row>
    <row r="16" spans="1:64" x14ac:dyDescent="0.25">
      <c r="A16" s="173" t="s">
        <v>695</v>
      </c>
      <c r="B16" t="s">
        <v>553</v>
      </c>
      <c r="C16" s="168">
        <f t="shared" ref="C16:Z16" si="16">COUNTIF(C68:C77,1)</f>
        <v>2</v>
      </c>
      <c r="D16" s="168">
        <f t="shared" si="16"/>
        <v>2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1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1</v>
      </c>
      <c r="P16" s="168">
        <f t="shared" si="16"/>
        <v>1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0</v>
      </c>
      <c r="X16" s="168">
        <f t="shared" si="16"/>
        <v>0</v>
      </c>
      <c r="Y16" s="168">
        <f t="shared" si="16"/>
        <v>0</v>
      </c>
      <c r="Z16" s="168">
        <f t="shared" si="16"/>
        <v>1</v>
      </c>
      <c r="AB16" s="14"/>
      <c r="AV16" s="30" t="str">
        <f>Parcellaire!A15</f>
        <v>14.1</v>
      </c>
      <c r="AW16" s="30">
        <f>Parcellaire!B15</f>
        <v>1</v>
      </c>
      <c r="AX16" s="30" t="str">
        <f>Parcellaire!D15</f>
        <v>proche</v>
      </c>
      <c r="AY16" s="30">
        <f>Parcellaire!F15</f>
        <v>265</v>
      </c>
      <c r="AZ16" s="30">
        <f>Parcellaire!G15</f>
        <v>3</v>
      </c>
      <c r="BA16" s="30">
        <f>ROUND(Parcellaire!S15,0)</f>
        <v>0</v>
      </c>
      <c r="BB16" s="30">
        <f>ROUND(Parcellaire!T15,0)</f>
        <v>774</v>
      </c>
      <c r="BC16" s="30">
        <f>ROUND(Parcellaire!U15,0)</f>
        <v>141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68">
        <f t="shared" si="4"/>
        <v>0</v>
      </c>
      <c r="BH16" s="168">
        <f t="shared" si="5"/>
        <v>774</v>
      </c>
      <c r="BI16" s="168">
        <f t="shared" si="6"/>
        <v>0</v>
      </c>
      <c r="BJ16" s="168">
        <f t="shared" si="7"/>
        <v>0</v>
      </c>
      <c r="BK16" s="168">
        <f t="shared" si="8"/>
        <v>3</v>
      </c>
      <c r="BL16" s="168">
        <f t="shared" si="9"/>
        <v>0</v>
      </c>
    </row>
    <row r="17" spans="1:64" x14ac:dyDescent="0.25">
      <c r="A17" s="173" t="s">
        <v>696</v>
      </c>
      <c r="B17" t="s">
        <v>553</v>
      </c>
      <c r="C17" s="168">
        <f t="shared" ref="C17:Z17" si="17">COUNTIF(C68:C77,0.5)</f>
        <v>2</v>
      </c>
      <c r="D17" s="168">
        <f t="shared" si="17"/>
        <v>2</v>
      </c>
      <c r="E17" s="168">
        <f t="shared" si="17"/>
        <v>2</v>
      </c>
      <c r="F17" s="168">
        <f t="shared" si="17"/>
        <v>3</v>
      </c>
      <c r="G17" s="168">
        <f t="shared" si="17"/>
        <v>3</v>
      </c>
      <c r="H17" s="168">
        <f t="shared" si="17"/>
        <v>3</v>
      </c>
      <c r="I17" s="168">
        <f t="shared" si="17"/>
        <v>4</v>
      </c>
      <c r="J17" s="168">
        <f t="shared" si="17"/>
        <v>4</v>
      </c>
      <c r="K17" s="168">
        <f t="shared" si="17"/>
        <v>4</v>
      </c>
      <c r="L17" s="168">
        <f t="shared" si="17"/>
        <v>4</v>
      </c>
      <c r="M17" s="168">
        <f t="shared" si="17"/>
        <v>4</v>
      </c>
      <c r="N17" s="168">
        <f t="shared" si="17"/>
        <v>4</v>
      </c>
      <c r="O17" s="168">
        <f t="shared" si="17"/>
        <v>3</v>
      </c>
      <c r="P17" s="168">
        <f t="shared" si="17"/>
        <v>3</v>
      </c>
      <c r="Q17" s="168">
        <f t="shared" si="17"/>
        <v>2</v>
      </c>
      <c r="R17" s="168">
        <f t="shared" si="17"/>
        <v>2</v>
      </c>
      <c r="S17" s="168">
        <f t="shared" si="17"/>
        <v>2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3</v>
      </c>
      <c r="Y17" s="168">
        <f t="shared" si="17"/>
        <v>3</v>
      </c>
      <c r="Z17" s="168">
        <f t="shared" si="17"/>
        <v>2</v>
      </c>
      <c r="AB17" s="2" t="s">
        <v>697</v>
      </c>
      <c r="AD17" s="102" t="s">
        <v>698</v>
      </c>
      <c r="AE17" s="81"/>
      <c r="AF17" s="81"/>
      <c r="AH17" s="2" t="s">
        <v>699</v>
      </c>
      <c r="AK17" t="s">
        <v>700</v>
      </c>
      <c r="AV17" s="30" t="str">
        <f>Parcellaire!A16</f>
        <v>14.2</v>
      </c>
      <c r="AW17" s="30">
        <f>Parcellaire!B16</f>
        <v>1</v>
      </c>
      <c r="AX17" s="30" t="str">
        <f>Parcellaire!D16</f>
        <v>proche</v>
      </c>
      <c r="AY17" s="30">
        <f>Parcellaire!F16</f>
        <v>264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701</v>
      </c>
      <c r="B18" t="s">
        <v>553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702</v>
      </c>
      <c r="AD18" s="120" t="s">
        <v>487</v>
      </c>
      <c r="AE18" s="81" t="s">
        <v>703</v>
      </c>
      <c r="AF18" s="120" t="s">
        <v>704</v>
      </c>
      <c r="AK18" t="s">
        <v>705</v>
      </c>
      <c r="AV18" s="30" t="str">
        <f>Parcellaire!A17</f>
        <v>15.1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2.5</v>
      </c>
      <c r="BA18" s="30">
        <f>ROUND(Parcellaire!S17,0)</f>
        <v>0</v>
      </c>
      <c r="BB18" s="30">
        <f>ROUND(Parcellaire!T17,0)</f>
        <v>642</v>
      </c>
      <c r="BC18" s="30">
        <f>ROUND(Parcellaire!U17,0)</f>
        <v>257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8">
        <f t="shared" si="4"/>
        <v>0</v>
      </c>
      <c r="BH18" s="168">
        <f t="shared" si="5"/>
        <v>642</v>
      </c>
      <c r="BI18" s="168">
        <f t="shared" si="6"/>
        <v>0</v>
      </c>
      <c r="BJ18" s="168">
        <f t="shared" si="7"/>
        <v>0</v>
      </c>
      <c r="BK18" s="168">
        <f t="shared" si="8"/>
        <v>2.5</v>
      </c>
      <c r="BL18" s="168">
        <f t="shared" si="9"/>
        <v>0</v>
      </c>
    </row>
    <row r="19" spans="1:64" x14ac:dyDescent="0.25">
      <c r="A19" s="173" t="s">
        <v>706</v>
      </c>
      <c r="B19" t="s">
        <v>553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698</v>
      </c>
      <c r="AK19" s="166" t="s">
        <v>708</v>
      </c>
      <c r="AV19" s="30" t="str">
        <f>Parcellaire!A18</f>
        <v>15.2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709</v>
      </c>
      <c r="B20" t="s">
        <v>553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710</v>
      </c>
      <c r="AD20" s="64">
        <f>IF(AND(Troupeau!B3="OL",Scénario!K88=1),Protection!AP4,0)</f>
        <v>4437</v>
      </c>
      <c r="AE20" s="64">
        <v>0</v>
      </c>
      <c r="AF20" s="64">
        <f>SUM(AD20:AE20)</f>
        <v>4437</v>
      </c>
      <c r="AH20" s="30">
        <v>0</v>
      </c>
      <c r="AJ20" s="14" t="s">
        <v>711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proche</v>
      </c>
      <c r="AY20" s="30">
        <f>Parcellaire!F19</f>
        <v>264</v>
      </c>
      <c r="AZ20" s="30">
        <f>Parcellaire!G19</f>
        <v>1</v>
      </c>
      <c r="BA20" s="30">
        <f>ROUND(Parcellaire!S19,0)</f>
        <v>0</v>
      </c>
      <c r="BB20" s="30">
        <f>ROUND(Parcellaire!T19,0)</f>
        <v>406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68">
        <f t="shared" si="4"/>
        <v>0</v>
      </c>
      <c r="BH20" s="168">
        <f t="shared" si="5"/>
        <v>406</v>
      </c>
      <c r="BI20" s="168">
        <f t="shared" si="6"/>
        <v>0</v>
      </c>
      <c r="BJ20" s="168">
        <f t="shared" si="7"/>
        <v>0</v>
      </c>
      <c r="BK20" s="168">
        <f t="shared" si="8"/>
        <v>1</v>
      </c>
      <c r="BL20" s="168">
        <f t="shared" si="9"/>
        <v>0</v>
      </c>
    </row>
    <row r="21" spans="1:64" x14ac:dyDescent="0.25">
      <c r="A21" s="173" t="s">
        <v>712</v>
      </c>
      <c r="B21" t="s">
        <v>553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713</v>
      </c>
      <c r="AC21" s="14"/>
      <c r="AD21" s="64"/>
      <c r="AE21" s="64"/>
      <c r="AF21" s="64"/>
      <c r="AJ21" s="14" t="s">
        <v>714</v>
      </c>
      <c r="AK21" s="64">
        <f>IF(OR(Scénario!K87=1,Scénario!K87=2),Protection!AF20,IF(OR(Scénario!K87=3,Scénario!K87=4),Protection!AF22,0))</f>
        <v>4437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265</v>
      </c>
      <c r="AZ21" s="30">
        <f>Parcellaire!G20</f>
        <v>0.9</v>
      </c>
      <c r="BA21" s="30">
        <f>ROUND(Parcellaire!S20,0)</f>
        <v>0</v>
      </c>
      <c r="BB21" s="30">
        <f>ROUND(Parcellaire!T20,0)</f>
        <v>317</v>
      </c>
      <c r="BC21" s="30">
        <f>ROUND(Parcellaire!U20,0)</f>
        <v>211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8">
        <f t="shared" si="4"/>
        <v>0</v>
      </c>
      <c r="BH21" s="168">
        <f t="shared" si="5"/>
        <v>317</v>
      </c>
      <c r="BI21" s="168">
        <f t="shared" si="6"/>
        <v>0</v>
      </c>
      <c r="BJ21" s="168">
        <f t="shared" si="7"/>
        <v>0</v>
      </c>
      <c r="BK21" s="168">
        <f t="shared" si="8"/>
        <v>0.9</v>
      </c>
      <c r="BL21" s="168">
        <f t="shared" si="9"/>
        <v>0</v>
      </c>
    </row>
    <row r="22" spans="1:64" x14ac:dyDescent="0.25">
      <c r="A22" s="173" t="s">
        <v>715</v>
      </c>
      <c r="B22" t="s">
        <v>553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710</v>
      </c>
      <c r="AD22" s="64">
        <f>IF(AND(Scénario!K88=1,Troupeau!B3="OL"),Protection!AP6,0)</f>
        <v>3141</v>
      </c>
      <c r="AE22" s="64">
        <f>IF(AND(LEFT(Scénario!K12,2)="OL",Troupeau!C3&lt;&gt;"",Scénario!K91=1),Protection!AP5+Protection!AP3,0)</f>
        <v>0</v>
      </c>
      <c r="AF22" s="64">
        <f>SUM(AD22:AE22)</f>
        <v>3141</v>
      </c>
      <c r="AH22" s="30">
        <f>IF(AND(Troupeau!B3&lt;&gt;"OL",Scénario!K91=1),AP4,0)</f>
        <v>0</v>
      </c>
      <c r="AJ22" s="14" t="s">
        <v>699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266</v>
      </c>
      <c r="AZ22" s="30">
        <f>Parcellaire!G21</f>
        <v>0.5</v>
      </c>
      <c r="BA22" s="30">
        <f>ROUND(Parcellaire!S21,0)</f>
        <v>0</v>
      </c>
      <c r="BB22" s="30">
        <f>ROUND(Parcellaire!T21,0)</f>
        <v>185</v>
      </c>
      <c r="BC22" s="30">
        <f>ROUND(Parcellaire!U21,0)</f>
        <v>222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8">
        <f t="shared" si="4"/>
        <v>0</v>
      </c>
      <c r="BH22" s="168">
        <f t="shared" si="5"/>
        <v>185</v>
      </c>
      <c r="BI22" s="168">
        <f t="shared" si="6"/>
        <v>0</v>
      </c>
      <c r="BJ22" s="168">
        <f t="shared" si="7"/>
        <v>0</v>
      </c>
      <c r="BK22" s="168">
        <f t="shared" si="8"/>
        <v>0.5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716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16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717</v>
      </c>
      <c r="B25" t="s">
        <v>567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718</v>
      </c>
      <c r="AK25" s="30">
        <f>IF(Troupeau!B3&lt;&gt;"OL",Protection!AK22,IF(AND(Troupeau!B3="OL",Scénario!K88=1),Protection!AK21,IF(AND(Troupeau!B3="OL",Scénario!K88=2),Protection!AK20,0)))</f>
        <v>4437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676</v>
      </c>
      <c r="B26" t="s">
        <v>567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719</v>
      </c>
      <c r="AC26" s="14"/>
      <c r="AD26" s="166" t="s">
        <v>487</v>
      </c>
      <c r="AE26" t="s">
        <v>720</v>
      </c>
      <c r="AJ26" s="14" t="s">
        <v>661</v>
      </c>
      <c r="AK26" s="30">
        <f>IF(AK25=AP3,AQ3,IF(AK25=AP4,AQ4,IF(AK25=AP6,AQ6,0)))</f>
        <v>18.399999999999999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678</v>
      </c>
      <c r="B27" t="s">
        <v>567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680</v>
      </c>
      <c r="B28" t="s">
        <v>567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722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682</v>
      </c>
      <c r="B29" t="s">
        <v>567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723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684</v>
      </c>
      <c r="B30" t="s">
        <v>567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724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685</v>
      </c>
      <c r="B31" t="s">
        <v>567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725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3141</v>
      </c>
      <c r="BI31" s="62">
        <f t="shared" si="26"/>
        <v>1296</v>
      </c>
      <c r="BJ31" s="62">
        <f t="shared" si="26"/>
        <v>0</v>
      </c>
      <c r="BK31" s="62">
        <f t="shared" si="26"/>
        <v>12.9</v>
      </c>
      <c r="BL31" s="62">
        <f>SUM(BL3:BL30)</f>
        <v>5.5</v>
      </c>
    </row>
    <row r="32" spans="1:64" x14ac:dyDescent="0.25">
      <c r="A32" s="14" t="s">
        <v>686</v>
      </c>
      <c r="B32" t="s">
        <v>567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726</v>
      </c>
    </row>
    <row r="33" spans="1:132" x14ac:dyDescent="0.25">
      <c r="A33" s="14" t="s">
        <v>688</v>
      </c>
      <c r="B33" t="s">
        <v>567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727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690</v>
      </c>
      <c r="B34" t="s">
        <v>567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694</v>
      </c>
      <c r="B36" t="s">
        <v>567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695</v>
      </c>
      <c r="B37" t="s">
        <v>567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696</v>
      </c>
      <c r="B38" t="s">
        <v>567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701</v>
      </c>
      <c r="B39" t="s">
        <v>567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706</v>
      </c>
      <c r="B40" t="s">
        <v>567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709</v>
      </c>
      <c r="B41" t="s">
        <v>567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712</v>
      </c>
      <c r="B42" t="s">
        <v>567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715</v>
      </c>
      <c r="B43" t="s">
        <v>567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717</v>
      </c>
      <c r="B46" t="s">
        <v>574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676</v>
      </c>
      <c r="B47" t="s">
        <v>574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678</v>
      </c>
      <c r="B48" t="s">
        <v>574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680</v>
      </c>
      <c r="B49" t="s">
        <v>574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2</v>
      </c>
      <c r="BC49" s="177">
        <f>IF(CdTrp1!I77=1,1,IF(CdTrp1!I77=2,2,IF(CdTrp1!I77=3,2,0)))</f>
        <v>2</v>
      </c>
      <c r="BD49" s="177">
        <f>IF(CdTrp1!J77=1,1,IF(CdTrp1!J77=2,2,IF(CdTrp1!J77=3,2,0)))</f>
        <v>2</v>
      </c>
      <c r="BE49" s="177">
        <f>IF(CdTrp1!K77=1,1,IF(CdTrp1!K77=2,2,IF(CdTrp1!K77=3,2,0)))</f>
        <v>2</v>
      </c>
      <c r="BF49" s="177">
        <f>IF(CdTrp1!L77=1,1,IF(CdTrp1!L77=2,2,IF(CdTrp1!L77=3,2,0)))</f>
        <v>2</v>
      </c>
      <c r="BG49" s="177">
        <f>IF(CdTrp1!M77=1,1,IF(CdTrp1!M77=2,2,IF(CdTrp1!M77=3,2,0)))</f>
        <v>2</v>
      </c>
      <c r="BH49" s="177">
        <f>IF(CdTrp1!N77=1,1,IF(CdTrp1!N77=2,2,IF(CdTrp1!N77=3,2,0)))</f>
        <v>2</v>
      </c>
      <c r="BI49" s="177">
        <f>IF(CdTrp1!O77=1,1,IF(CdTrp1!O77=2,2,IF(CdTrp1!O77=3,2,0)))</f>
        <v>2</v>
      </c>
      <c r="BJ49" s="177">
        <f>IF(CdTrp1!P77=1,1,IF(CdTrp1!P77=2,2,IF(CdTrp1!P77=3,2,0)))</f>
        <v>2</v>
      </c>
      <c r="BK49" s="177">
        <f>IF(CdTrp1!Q77=1,1,IF(CdTrp1!Q77=2,2,IF(CdTrp1!Q77=3,2,0)))</f>
        <v>2</v>
      </c>
      <c r="BL49" s="177">
        <f>IF(CdTrp1!R77=1,1,IF(CdTrp1!R77=2,2,IF(CdTrp1!R77=3,2,0)))</f>
        <v>2</v>
      </c>
      <c r="BM49" s="177">
        <f>IF(CdTrp1!S77=1,1,IF(CdTrp1!S77=2,2,IF(CdTrp1!S77=3,2,0)))</f>
        <v>2</v>
      </c>
      <c r="BN49" s="177">
        <f>IF(CdTrp1!T77=1,1,IF(CdTrp1!T77=2,2,IF(CdTrp1!T77=3,2,0)))</f>
        <v>2</v>
      </c>
      <c r="BO49" s="177">
        <f>IF(CdTrp1!U77=1,1,IF(CdTrp1!U77=2,2,IF(CdTrp1!U77=3,2,0)))</f>
        <v>2</v>
      </c>
      <c r="BP49" s="177">
        <f>IF(CdTrp1!V77=1,1,IF(CdTrp1!V77=2,2,IF(CdTrp1!V77=3,2,0)))</f>
        <v>1</v>
      </c>
      <c r="BQ49" s="177">
        <f>IF(CdTrp1!W77=1,1,IF(CdTrp1!W77=2,2,IF(CdTrp1!W77=3,2,0)))</f>
        <v>1</v>
      </c>
      <c r="BR49" s="177">
        <f>IF(CdTrp1!X77=1,1,IF(CdTrp1!X77=2,2,IF(CdTrp1!X77=3,2,0)))</f>
        <v>1</v>
      </c>
      <c r="BS49" s="177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682</v>
      </c>
      <c r="B50" t="s">
        <v>574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2</v>
      </c>
      <c r="AW50" s="177">
        <f>IF(CdTrp1!C78=1,1,IF(CdTrp1!C78=2,2,IF(CdTrp1!C78=3,2,0)))</f>
        <v>2</v>
      </c>
      <c r="AX50" s="177">
        <f>IF(CdTrp1!D78=1,1,IF(CdTrp1!D78=2,2,IF(CdTrp1!D78=3,2,0)))</f>
        <v>2</v>
      </c>
      <c r="AY50" s="177">
        <f>IF(CdTrp1!E78=1,1,IF(CdTrp1!E78=2,2,IF(CdTrp1!E78=3,2,0)))</f>
        <v>2</v>
      </c>
      <c r="AZ50" s="177">
        <f>IF(CdTrp1!F78=1,1,IF(CdTrp1!F78=2,2,IF(CdTrp1!F78=3,2,0)))</f>
        <v>2</v>
      </c>
      <c r="BA50" s="177">
        <f>IF(CdTrp1!G78=1,1,IF(CdTrp1!G78=2,2,IF(CdTrp1!G78=3,2,0)))</f>
        <v>2</v>
      </c>
      <c r="BB50" s="177">
        <f>IF(CdTrp1!H78=1,1,IF(CdTrp1!H78=2,2,IF(CdTrp1!H78=3,2,0)))</f>
        <v>2</v>
      </c>
      <c r="BC50" s="177">
        <f>IF(CdTrp1!I78=1,1,IF(CdTrp1!I78=2,2,IF(CdTrp1!I78=3,2,0)))</f>
        <v>2</v>
      </c>
      <c r="BD50" s="177">
        <f>IF(CdTrp1!J78=1,1,IF(CdTrp1!J78=2,2,IF(CdTrp1!J78=3,2,0)))</f>
        <v>2</v>
      </c>
      <c r="BE50" s="177">
        <f>IF(CdTrp1!K78=1,1,IF(CdTrp1!K78=2,2,IF(CdTrp1!K78=3,2,0)))</f>
        <v>2</v>
      </c>
      <c r="BF50" s="177">
        <f>IF(CdTrp1!L78=1,1,IF(CdTrp1!L78=2,2,IF(CdTrp1!L78=3,2,0)))</f>
        <v>2</v>
      </c>
      <c r="BG50" s="177">
        <f>IF(CdTrp1!M78=1,1,IF(CdTrp1!M78=2,2,IF(CdTrp1!M78=3,2,0)))</f>
        <v>2</v>
      </c>
      <c r="BH50" s="177">
        <f>IF(CdTrp1!N78=1,1,IF(CdTrp1!N78=2,2,IF(CdTrp1!N78=3,2,0)))</f>
        <v>2</v>
      </c>
      <c r="BI50" s="177">
        <f>IF(CdTrp1!O78=1,1,IF(CdTrp1!O78=2,2,IF(CdTrp1!O78=3,2,0)))</f>
        <v>2</v>
      </c>
      <c r="BJ50" s="177">
        <f>IF(CdTrp1!P78=1,1,IF(CdTrp1!P78=2,2,IF(CdTrp1!P78=3,2,0)))</f>
        <v>2</v>
      </c>
      <c r="BK50" s="177">
        <f>IF(CdTrp1!Q78=1,1,IF(CdTrp1!Q78=2,2,IF(CdTrp1!Q78=3,2,0)))</f>
        <v>2</v>
      </c>
      <c r="BL50" s="177">
        <f>IF(CdTrp1!R78=1,1,IF(CdTrp1!R78=2,2,IF(CdTrp1!R78=3,2,0)))</f>
        <v>2</v>
      </c>
      <c r="BM50" s="177">
        <f>IF(CdTrp1!S78=1,1,IF(CdTrp1!S78=2,2,IF(CdTrp1!S78=3,2,0)))</f>
        <v>2</v>
      </c>
      <c r="BN50" s="177">
        <f>IF(CdTrp1!T78=1,1,IF(CdTrp1!T78=2,2,IF(CdTrp1!T78=3,2,0)))</f>
        <v>2</v>
      </c>
      <c r="BO50" s="177">
        <f>IF(CdTrp1!U78=1,1,IF(CdTrp1!U78=2,2,IF(CdTrp1!U78=3,2,0)))</f>
        <v>2</v>
      </c>
      <c r="BP50" s="177">
        <f>IF(CdTrp1!V78=1,1,IF(CdTrp1!V78=2,2,IF(CdTrp1!V78=3,2,0)))</f>
        <v>2</v>
      </c>
      <c r="BQ50" s="177">
        <f>IF(CdTrp1!W78=1,1,IF(CdTrp1!W78=2,2,IF(CdTrp1!W78=3,2,0)))</f>
        <v>2</v>
      </c>
      <c r="BR50" s="177">
        <f>IF(CdTrp1!X78=1,1,IF(CdTrp1!X78=2,2,IF(CdTrp1!X78=3,2,0)))</f>
        <v>2</v>
      </c>
      <c r="BS50" s="177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684</v>
      </c>
      <c r="B51" t="s">
        <v>574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2</v>
      </c>
      <c r="AW51" s="177">
        <f>IF(CdTrp1!C79=1,1,IF(CdTrp1!C79=2,2,IF(CdTrp1!C79=3,2,0)))</f>
        <v>2</v>
      </c>
      <c r="AX51" s="177">
        <f>IF(CdTrp1!D79=1,1,IF(CdTrp1!D79=2,2,IF(CdTrp1!D79=3,2,0)))</f>
        <v>2</v>
      </c>
      <c r="AY51" s="177">
        <f>IF(CdTrp1!E79=1,1,IF(CdTrp1!E79=2,2,IF(CdTrp1!E79=3,2,0)))</f>
        <v>2</v>
      </c>
      <c r="AZ51" s="177">
        <f>IF(CdTrp1!F79=1,1,IF(CdTrp1!F79=2,2,IF(CdTrp1!F79=3,2,0)))</f>
        <v>2</v>
      </c>
      <c r="BA51" s="177">
        <f>IF(CdTrp1!G79=1,1,IF(CdTrp1!G79=2,2,IF(CdTrp1!G79=3,2,0)))</f>
        <v>2</v>
      </c>
      <c r="BB51" s="177">
        <f>IF(CdTrp1!H79=1,1,IF(CdTrp1!H79=2,2,IF(CdTrp1!H79=3,2,0)))</f>
        <v>2</v>
      </c>
      <c r="BC51" s="177">
        <f>IF(CdTrp1!I79=1,1,IF(CdTrp1!I79=2,2,IF(CdTrp1!I79=3,2,0)))</f>
        <v>2</v>
      </c>
      <c r="BD51" s="177">
        <f>IF(CdTrp1!J79=1,1,IF(CdTrp1!J79=2,2,IF(CdTrp1!J79=3,2,0)))</f>
        <v>2</v>
      </c>
      <c r="BE51" s="177">
        <f>IF(CdTrp1!K79=1,1,IF(CdTrp1!K79=2,2,IF(CdTrp1!K79=3,2,0)))</f>
        <v>2</v>
      </c>
      <c r="BF51" s="177">
        <f>IF(CdTrp1!L79=1,1,IF(CdTrp1!L79=2,2,IF(CdTrp1!L79=3,2,0)))</f>
        <v>2</v>
      </c>
      <c r="BG51" s="177">
        <f>IF(CdTrp1!M79=1,1,IF(CdTrp1!M79=2,2,IF(CdTrp1!M79=3,2,0)))</f>
        <v>2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2</v>
      </c>
      <c r="BS51" s="177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685</v>
      </c>
      <c r="B52" t="s">
        <v>574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686</v>
      </c>
      <c r="B53" t="s">
        <v>574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688</v>
      </c>
      <c r="B54" t="s">
        <v>574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690</v>
      </c>
      <c r="B55" t="s">
        <v>574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694</v>
      </c>
      <c r="B57" t="s">
        <v>574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695</v>
      </c>
      <c r="B58" t="s">
        <v>574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696</v>
      </c>
      <c r="B59" t="s">
        <v>574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701</v>
      </c>
      <c r="B60" t="s">
        <v>574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706</v>
      </c>
      <c r="B61" t="s">
        <v>574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709</v>
      </c>
      <c r="B62" t="s">
        <v>574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712</v>
      </c>
      <c r="B63" t="s">
        <v>574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715</v>
      </c>
      <c r="B64" t="s">
        <v>574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731</v>
      </c>
      <c r="AV67" s="167"/>
      <c r="AW67" s="167"/>
    </row>
    <row r="68" spans="1:49" x14ac:dyDescent="0.25">
      <c r="A68" s="40" t="s">
        <v>732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0.5</v>
      </c>
      <c r="O68" s="168">
        <f>IF($AA68=0,99,IF(O81&gt;3,CdTrp1!N76,CdTrp1!N52))</f>
        <v>0.5</v>
      </c>
      <c r="P68" s="168">
        <f>IF($AA68=0,99,IF(P81&gt;3,CdTrp1!O76,CdTrp1!O52))</f>
        <v>0.5</v>
      </c>
      <c r="Q68" s="168">
        <f>IF($AA68=0,99,IF(Q81&gt;3,CdTrp1!P76,CdTrp1!P52))</f>
        <v>0.5</v>
      </c>
      <c r="R68" s="168">
        <f>IF($AA68=0,99,IF(R81&gt;3,CdTrp1!Q76,CdTrp1!Q52))</f>
        <v>0.5</v>
      </c>
      <c r="S68" s="168">
        <f>IF($AA68=0,99,IF(S81&gt;3,CdTrp1!R76,CdTrp1!R52))</f>
        <v>0.5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0.5</v>
      </c>
      <c r="Z68" s="168">
        <f>IF($AA68=0,99,IF(Z81&gt;3,CdTrp1!Y76,CdTrp1!Y52))</f>
        <v>1</v>
      </c>
      <c r="AA68" s="177">
        <f>SUM(CdTrp1!B15:Y15)/24</f>
        <v>220.02800000000002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0.5</v>
      </c>
      <c r="M69" s="168">
        <f>IF($AA69=0,99,IF(M82&gt;3,CdTrp1!L77,CdTrp1!L53))</f>
        <v>0.5</v>
      </c>
      <c r="N69" s="168">
        <f>IF($AA69=0,99,IF(N82&gt;3,CdTrp1!M77,CdTrp1!M53))</f>
        <v>0.5</v>
      </c>
      <c r="O69" s="168">
        <f>IF($AA69=0,99,IF(O82&gt;3,CdTrp1!N77,CdTrp1!N53))</f>
        <v>0.5</v>
      </c>
      <c r="P69" s="168">
        <f>IF($AA69=0,99,IF(P82&gt;3,CdTrp1!O77,CdTrp1!O53))</f>
        <v>0.5</v>
      </c>
      <c r="Q69" s="168">
        <f>IF($AA69=0,99,IF(Q82&gt;3,CdTrp1!P77,CdTrp1!P53))</f>
        <v>0.5</v>
      </c>
      <c r="R69" s="168">
        <f>IF($AA69=0,99,IF(R82&gt;3,CdTrp1!Q77,CdTrp1!Q53))</f>
        <v>0.5</v>
      </c>
      <c r="S69" s="168">
        <f>IF($AA69=0,99,IF(S82&gt;3,CdTrp1!R77,CdTrp1!R53))</f>
        <v>0.5</v>
      </c>
      <c r="T69" s="168">
        <f>IF($AA69=0,99,IF(T82&gt;3,CdTrp1!S77,CdTrp1!S53))</f>
        <v>0.5</v>
      </c>
      <c r="U69" s="168">
        <f>IF($AA69=0,99,IF(U82&gt;3,CdTrp1!T77,CdTrp1!T53))</f>
        <v>0.5</v>
      </c>
      <c r="V69" s="168">
        <f>IF($AA69=0,99,IF(V82&gt;3,CdTrp1!U77,CdTrp1!U53))</f>
        <v>0.5</v>
      </c>
      <c r="W69" s="168">
        <f>IF($AA69=0,99,IF(W82&gt;3,CdTrp1!V77,CdTrp1!V53))</f>
        <v>0.5</v>
      </c>
      <c r="X69" s="168">
        <f>IF($AA69=0,99,IF(X82&gt;3,CdTrp1!W77,CdTrp1!W53))</f>
        <v>0.5</v>
      </c>
      <c r="Y69" s="168">
        <f>IF($AA69=0,99,IF(Y82&gt;3,CdTrp1!X77,CdTrp1!X53))</f>
        <v>0.5</v>
      </c>
      <c r="Z69" s="168">
        <f>IF($AA69=0,99,IF(Z82&gt;3,CdTrp1!Y77,CdTrp1!Y53))</f>
        <v>0.5</v>
      </c>
      <c r="AA69" s="177">
        <f>SUM(CdTrp1!B16:Y16)/24</f>
        <v>64.319999999999951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0.5</v>
      </c>
      <c r="D70" s="168">
        <f>IF($AA70=0,99,IF(D83&gt;3,CdTrp1!C78,CdTrp1!C54))</f>
        <v>0.5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0.5</v>
      </c>
      <c r="O70" s="168">
        <f>IF($AA70=0,99,IF(O83&gt;3,CdTrp1!N78,CdTrp1!N54))</f>
        <v>0.5</v>
      </c>
      <c r="P70" s="168">
        <f>IF($AA70=0,99,IF(P83&gt;3,CdTrp1!O78,CdTrp1!O54))</f>
        <v>0.5</v>
      </c>
      <c r="Q70" s="168">
        <f>IF($AA70=0,99,IF(Q83&gt;3,CdTrp1!P78,CdTrp1!P54))</f>
        <v>99</v>
      </c>
      <c r="R70" s="168">
        <f>IF($AA70=0,99,IF(R83&gt;3,CdTrp1!Q78,CdTrp1!Q54))</f>
        <v>99</v>
      </c>
      <c r="S70" s="168">
        <f>IF($AA70=0,99,IF(S83&gt;3,CdTrp1!R78,CdTrp1!R54))</f>
        <v>99</v>
      </c>
      <c r="T70" s="168">
        <f>IF($AA70=0,99,IF(T83&gt;3,CdTrp1!S78,CdTrp1!S54))</f>
        <v>99</v>
      </c>
      <c r="U70" s="168">
        <f>IF($AA70=0,99,IF(U83&gt;3,CdTrp1!T78,CdTrp1!T54))</f>
        <v>99</v>
      </c>
      <c r="V70" s="168">
        <f>IF($AA70=0,99,IF(V83&gt;3,CdTrp1!U78,CdTrp1!U54))</f>
        <v>99</v>
      </c>
      <c r="W70" s="168">
        <f>IF($AA70=0,99,IF(W83&gt;3,CdTrp1!V78,CdTrp1!V54))</f>
        <v>99</v>
      </c>
      <c r="X70" s="168">
        <f>IF($AA70=0,99,IF(X83&gt;3,CdTrp1!W78,CdTrp1!W54))</f>
        <v>99</v>
      </c>
      <c r="Y70" s="168">
        <f>IF($AA70=0,99,IF(Y83&gt;3,CdTrp1!X78,CdTrp1!X54))</f>
        <v>99</v>
      </c>
      <c r="Z70" s="168">
        <f>IF($AA70=0,99,IF(Z83&gt;3,CdTrp1!Y78,CdTrp1!Y54))</f>
        <v>99</v>
      </c>
      <c r="AA70" s="177">
        <f>SUM(CdTrp1!B17:Y17)/24</f>
        <v>7.5933333333333364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0.5</v>
      </c>
      <c r="D71" s="168">
        <f>IF($AA71=0,99,IF(D84&gt;3,CdTrp1!C79,CdTrp1!C55))</f>
        <v>0.5</v>
      </c>
      <c r="E71" s="168">
        <f>IF($AA71=0,99,IF(E84&gt;3,CdTrp1!D79,CdTrp1!D55))</f>
        <v>0.5</v>
      </c>
      <c r="F71" s="168">
        <f>IF($AA71=0,99,IF(F84&gt;3,CdTrp1!E79,CdTrp1!E55))</f>
        <v>0.5</v>
      </c>
      <c r="G71" s="168">
        <f>IF($AA71=0,99,IF(G84&gt;3,CdTrp1!F79,CdTrp1!F55))</f>
        <v>0.5</v>
      </c>
      <c r="H71" s="168">
        <f>IF($AA71=0,99,IF(H84&gt;3,CdTrp1!G79,CdTrp1!G55))</f>
        <v>0.5</v>
      </c>
      <c r="I71" s="168">
        <f>IF($AA71=0,99,IF(I84&gt;3,CdTrp1!H79,CdTrp1!H55))</f>
        <v>0.5</v>
      </c>
      <c r="J71" s="168">
        <f>IF($AA71=0,99,IF(J84&gt;3,CdTrp1!I79,CdTrp1!I55))</f>
        <v>0.5</v>
      </c>
      <c r="K71" s="168">
        <f>IF($AA71=0,99,IF(K84&gt;3,CdTrp1!J79,CdTrp1!J55))</f>
        <v>0.5</v>
      </c>
      <c r="L71" s="168">
        <f>IF($AA71=0,99,IF(L84&gt;3,CdTrp1!K79,CdTrp1!K55))</f>
        <v>0.5</v>
      </c>
      <c r="M71" s="168">
        <f>IF($AA71=0,99,IF(M84&gt;3,CdTrp1!L79,CdTrp1!L55))</f>
        <v>0.5</v>
      </c>
      <c r="N71" s="168">
        <f>IF($AA71=0,99,IF(N84&gt;3,CdTrp1!M79,CdTrp1!M55))</f>
        <v>0.5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0.5</v>
      </c>
      <c r="Y71" s="168">
        <f>IF($AA71=0,99,IF(Y84&gt;3,CdTrp1!X79,CdTrp1!X55))</f>
        <v>0.5</v>
      </c>
      <c r="Z71" s="168">
        <f>IF($AA71=0,99,IF(Z84&gt;3,CdTrp1!Y79,CdTrp1!Y55))</f>
        <v>0.5</v>
      </c>
      <c r="AA71" s="177">
        <f>SUM(CdTrp1!B18:Y18)/24</f>
        <v>3.7966666666666669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733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1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2</v>
      </c>
      <c r="J82" s="168">
        <f>CdTrp1!I77</f>
        <v>2</v>
      </c>
      <c r="K82" s="168">
        <f>CdTrp1!J77</f>
        <v>2</v>
      </c>
      <c r="L82" s="168">
        <f>CdTrp1!K77</f>
        <v>2</v>
      </c>
      <c r="M82" s="168">
        <f>CdTrp1!L77</f>
        <v>2</v>
      </c>
      <c r="N82" s="168">
        <f>CdTrp1!M77</f>
        <v>2</v>
      </c>
      <c r="O82" s="168">
        <f>CdTrp1!N77</f>
        <v>2</v>
      </c>
      <c r="P82" s="168">
        <f>CdTrp1!O77</f>
        <v>2</v>
      </c>
      <c r="Q82" s="168">
        <f>CdTrp1!P77</f>
        <v>2</v>
      </c>
      <c r="R82" s="168">
        <f>CdTrp1!Q77</f>
        <v>2</v>
      </c>
      <c r="S82" s="168">
        <f>CdTrp1!R77</f>
        <v>2</v>
      </c>
      <c r="T82" s="168">
        <f>CdTrp1!S77</f>
        <v>2</v>
      </c>
      <c r="U82" s="168">
        <f>CdTrp1!T77</f>
        <v>2</v>
      </c>
      <c r="V82" s="168">
        <f>CdTrp1!U77</f>
        <v>2</v>
      </c>
      <c r="W82" s="168">
        <f>CdTrp1!V77</f>
        <v>1</v>
      </c>
      <c r="X82" s="168">
        <f>CdTrp1!W77</f>
        <v>1</v>
      </c>
      <c r="Y82" s="168">
        <f>CdTrp1!X77</f>
        <v>1</v>
      </c>
      <c r="Z82" s="168">
        <f>CdTrp1!Y77</f>
        <v>1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2</v>
      </c>
      <c r="D83" s="168">
        <f>CdTrp1!C78</f>
        <v>2</v>
      </c>
      <c r="E83" s="168">
        <f>CdTrp1!D78</f>
        <v>2</v>
      </c>
      <c r="F83" s="168">
        <f>CdTrp1!E78</f>
        <v>2</v>
      </c>
      <c r="G83" s="168">
        <f>CdTrp1!F78</f>
        <v>2</v>
      </c>
      <c r="H83" s="168">
        <f>CdTrp1!G78</f>
        <v>2</v>
      </c>
      <c r="I83" s="168">
        <f>CdTrp1!H78</f>
        <v>2</v>
      </c>
      <c r="J83" s="168">
        <f>CdTrp1!I78</f>
        <v>2</v>
      </c>
      <c r="K83" s="168">
        <f>CdTrp1!J78</f>
        <v>2</v>
      </c>
      <c r="L83" s="168">
        <f>CdTrp1!K78</f>
        <v>2</v>
      </c>
      <c r="M83" s="168">
        <f>CdTrp1!L78</f>
        <v>2</v>
      </c>
      <c r="N83" s="168">
        <f>CdTrp1!M78</f>
        <v>2</v>
      </c>
      <c r="O83" s="168">
        <f>CdTrp1!N78</f>
        <v>2</v>
      </c>
      <c r="P83" s="168">
        <f>CdTrp1!O78</f>
        <v>2</v>
      </c>
      <c r="Q83" s="168">
        <f>CdTrp1!P78</f>
        <v>2</v>
      </c>
      <c r="R83" s="168">
        <f>CdTrp1!Q78</f>
        <v>2</v>
      </c>
      <c r="S83" s="168">
        <f>CdTrp1!R78</f>
        <v>2</v>
      </c>
      <c r="T83" s="168">
        <f>CdTrp1!S78</f>
        <v>2</v>
      </c>
      <c r="U83" s="168">
        <f>CdTrp1!T78</f>
        <v>2</v>
      </c>
      <c r="V83" s="168">
        <f>CdTrp1!U78</f>
        <v>2</v>
      </c>
      <c r="W83" s="168">
        <f>CdTrp1!V78</f>
        <v>2</v>
      </c>
      <c r="X83" s="168">
        <f>CdTrp1!W78</f>
        <v>2</v>
      </c>
      <c r="Y83" s="168">
        <f>CdTrp1!X78</f>
        <v>2</v>
      </c>
      <c r="Z83" s="168">
        <f>CdTrp1!Y78</f>
        <v>2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2</v>
      </c>
      <c r="D84" s="168">
        <f>CdTrp1!C79</f>
        <v>2</v>
      </c>
      <c r="E84" s="168">
        <f>CdTrp1!D79</f>
        <v>2</v>
      </c>
      <c r="F84" s="168">
        <f>CdTrp1!E79</f>
        <v>2</v>
      </c>
      <c r="G84" s="168">
        <f>CdTrp1!F79</f>
        <v>2</v>
      </c>
      <c r="H84" s="168">
        <f>CdTrp1!G79</f>
        <v>2</v>
      </c>
      <c r="I84" s="168">
        <f>CdTrp1!H79</f>
        <v>2</v>
      </c>
      <c r="J84" s="168">
        <f>CdTrp1!I79</f>
        <v>2</v>
      </c>
      <c r="K84" s="168">
        <f>CdTrp1!J79</f>
        <v>2</v>
      </c>
      <c r="L84" s="168">
        <f>CdTrp1!K79</f>
        <v>2</v>
      </c>
      <c r="M84" s="168">
        <f>CdTrp1!L79</f>
        <v>2</v>
      </c>
      <c r="N84" s="168">
        <f>CdTrp1!M79</f>
        <v>2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2</v>
      </c>
      <c r="Z84" s="168">
        <f>CdTrp1!Y79</f>
        <v>2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731</v>
      </c>
    </row>
    <row r="110" spans="1:27" x14ac:dyDescent="0.25">
      <c r="A110" s="40" t="s">
        <v>734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735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731</v>
      </c>
    </row>
    <row r="153" spans="1:27" x14ac:dyDescent="0.25">
      <c r="A153" s="40" t="s">
        <v>736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737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738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739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740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741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742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743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744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745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746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747</v>
      </c>
      <c r="C201" s="168">
        <f>IF(Troupeau!$B$3="OL",C8+C9,0)</f>
        <v>4</v>
      </c>
      <c r="D201" s="168">
        <f>IF(Troupeau!$B$3="OL",D8+D9,0)</f>
        <v>4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6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8</v>
      </c>
      <c r="M201" s="168">
        <f>IF(Troupeau!$B$3="OL",M8+M9,0)</f>
        <v>8</v>
      </c>
      <c r="N201" s="168">
        <f>IF(Troupeau!$B$3="OL",N8+N9,0)</f>
        <v>8</v>
      </c>
      <c r="O201" s="168">
        <f>IF(Troupeau!$B$3="OL",O8+O9,0)</f>
        <v>6</v>
      </c>
      <c r="P201" s="168">
        <f>IF(Troupeau!$B$3="OL",P8+P9,0)</f>
        <v>6</v>
      </c>
      <c r="Q201" s="168">
        <f>IF(Troupeau!$B$3="OL",Q8+Q9,0)</f>
        <v>6</v>
      </c>
      <c r="R201" s="168">
        <f>IF(Troupeau!$B$3="OL",R8+R9,0)</f>
        <v>6</v>
      </c>
      <c r="S201" s="168">
        <f>IF(Troupeau!$B$3="OL",S8+S9,0)</f>
        <v>6</v>
      </c>
      <c r="T201" s="168">
        <f>IF(Troupeau!$B$3="OL",T8+T9,0)</f>
        <v>6</v>
      </c>
      <c r="U201" s="168">
        <f>IF(Troupeau!$B$3="OL",U8+U9,0)</f>
        <v>6</v>
      </c>
      <c r="V201" s="168">
        <f>IF(Troupeau!$B$3="OL",V8+V9,0)</f>
        <v>6</v>
      </c>
      <c r="W201" s="168">
        <f>IF(Troupeau!$B$3="OL",W8+W9,0)</f>
        <v>6</v>
      </c>
      <c r="X201" s="168">
        <f>IF(Troupeau!$B$3="OL",X8+X9,0)</f>
        <v>6</v>
      </c>
      <c r="Y201" s="168">
        <f>IF(Troupeau!$B$3="OL",Y8+Y9,0)</f>
        <v>8</v>
      </c>
      <c r="Z201" s="168">
        <f>IF(Troupeau!$B$3="OL",Z8+Z9,0)</f>
        <v>6</v>
      </c>
    </row>
    <row r="202" spans="1:26" x14ac:dyDescent="0.25">
      <c r="A202" t="s">
        <v>748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750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755</v>
      </c>
      <c r="C212" s="168">
        <f>C201+C204+C206+C208</f>
        <v>4</v>
      </c>
      <c r="D212" s="168">
        <f t="shared" ref="D212:Z213" si="50">D201+D204+D206+D208</f>
        <v>4</v>
      </c>
      <c r="E212" s="168">
        <f t="shared" si="50"/>
        <v>4</v>
      </c>
      <c r="F212" s="168">
        <f t="shared" si="50"/>
        <v>6</v>
      </c>
      <c r="G212" s="168">
        <f t="shared" si="50"/>
        <v>6</v>
      </c>
      <c r="H212" s="168">
        <f t="shared" si="50"/>
        <v>6</v>
      </c>
      <c r="I212" s="168">
        <f t="shared" si="50"/>
        <v>8</v>
      </c>
      <c r="J212" s="168">
        <f t="shared" si="50"/>
        <v>8</v>
      </c>
      <c r="K212" s="168">
        <f t="shared" si="50"/>
        <v>8</v>
      </c>
      <c r="L212" s="168">
        <f t="shared" si="50"/>
        <v>8</v>
      </c>
      <c r="M212" s="168">
        <f t="shared" si="50"/>
        <v>8</v>
      </c>
      <c r="N212" s="168">
        <f t="shared" si="50"/>
        <v>8</v>
      </c>
      <c r="O212" s="168">
        <f t="shared" si="50"/>
        <v>6</v>
      </c>
      <c r="P212" s="168">
        <f t="shared" si="50"/>
        <v>6</v>
      </c>
      <c r="Q212" s="168">
        <f t="shared" si="50"/>
        <v>6</v>
      </c>
      <c r="R212" s="168">
        <f t="shared" si="50"/>
        <v>6</v>
      </c>
      <c r="S212" s="168">
        <f t="shared" si="50"/>
        <v>6</v>
      </c>
      <c r="T212" s="168">
        <f t="shared" si="50"/>
        <v>6</v>
      </c>
      <c r="U212" s="168">
        <f t="shared" si="50"/>
        <v>6</v>
      </c>
      <c r="V212" s="168">
        <f t="shared" si="50"/>
        <v>6</v>
      </c>
      <c r="W212" s="168">
        <f t="shared" si="50"/>
        <v>6</v>
      </c>
      <c r="X212" s="168">
        <f t="shared" si="50"/>
        <v>6</v>
      </c>
      <c r="Y212" s="168">
        <f t="shared" si="50"/>
        <v>8</v>
      </c>
      <c r="Z212" s="168">
        <f t="shared" si="50"/>
        <v>6</v>
      </c>
    </row>
    <row r="213" spans="1:26" x14ac:dyDescent="0.25">
      <c r="A213" s="15" t="s">
        <v>756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757</v>
      </c>
      <c r="C214" s="168">
        <f>C212+C213</f>
        <v>4</v>
      </c>
      <c r="D214" s="168">
        <f t="shared" ref="D214:Z214" si="51">D212+D213</f>
        <v>4</v>
      </c>
      <c r="E214" s="168">
        <f t="shared" si="51"/>
        <v>4</v>
      </c>
      <c r="F214" s="168">
        <f t="shared" si="51"/>
        <v>6</v>
      </c>
      <c r="G214" s="168">
        <f t="shared" si="51"/>
        <v>6</v>
      </c>
      <c r="H214" s="168">
        <f t="shared" si="51"/>
        <v>6</v>
      </c>
      <c r="I214" s="168">
        <f t="shared" si="51"/>
        <v>8</v>
      </c>
      <c r="J214" s="168">
        <f t="shared" si="51"/>
        <v>8</v>
      </c>
      <c r="K214" s="168">
        <f t="shared" si="51"/>
        <v>8</v>
      </c>
      <c r="L214" s="168">
        <f t="shared" si="51"/>
        <v>8</v>
      </c>
      <c r="M214" s="168">
        <f t="shared" si="51"/>
        <v>8</v>
      </c>
      <c r="N214" s="168">
        <f t="shared" si="51"/>
        <v>8</v>
      </c>
      <c r="O214" s="168">
        <f t="shared" si="51"/>
        <v>6</v>
      </c>
      <c r="P214" s="168">
        <f t="shared" si="51"/>
        <v>6</v>
      </c>
      <c r="Q214" s="168">
        <f t="shared" si="51"/>
        <v>6</v>
      </c>
      <c r="R214" s="168">
        <f t="shared" si="51"/>
        <v>6</v>
      </c>
      <c r="S214" s="168">
        <f t="shared" si="51"/>
        <v>6</v>
      </c>
      <c r="T214" s="168">
        <f t="shared" si="51"/>
        <v>6</v>
      </c>
      <c r="U214" s="168">
        <f t="shared" si="51"/>
        <v>6</v>
      </c>
      <c r="V214" s="168">
        <f t="shared" si="51"/>
        <v>6</v>
      </c>
      <c r="W214" s="168">
        <f t="shared" si="51"/>
        <v>6</v>
      </c>
      <c r="X214" s="168">
        <f t="shared" si="51"/>
        <v>6</v>
      </c>
      <c r="Y214" s="168">
        <f t="shared" si="51"/>
        <v>8</v>
      </c>
      <c r="Z214" s="168">
        <f t="shared" si="51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3" activePane="bottomLeft" state="frozen"/>
      <selection activeCell="AB200" sqref="AB200"/>
      <selection pane="bottomLeft" activeCell="BQ110" sqref="BQ110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758</v>
      </c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R1" s="181" t="s">
        <v>759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759</v>
      </c>
      <c r="AS2" s="40" t="s">
        <v>553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567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574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760</v>
      </c>
      <c r="B3" s="2"/>
      <c r="C3" s="2"/>
      <c r="D3" s="23"/>
      <c r="E3" s="23"/>
      <c r="AR3" s="181" t="s">
        <v>759</v>
      </c>
      <c r="AT3" s="2" t="s">
        <v>761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762</v>
      </c>
      <c r="B4" s="2"/>
      <c r="C4" s="2"/>
      <c r="D4" s="23"/>
      <c r="E4" s="23"/>
      <c r="F4" s="33"/>
      <c r="AR4" s="181" t="s">
        <v>759</v>
      </c>
      <c r="AT4" s="182" t="str">
        <f>AT26</f>
        <v>laitiéres</v>
      </c>
      <c r="AU4" s="167"/>
      <c r="AV4" s="168">
        <f>CdTrp1!B15</f>
        <v>192.96</v>
      </c>
      <c r="AW4" s="168">
        <f>CdTrp1!C15</f>
        <v>192.96</v>
      </c>
      <c r="AX4" s="168">
        <f>CdTrp1!D15</f>
        <v>192.96</v>
      </c>
      <c r="AY4" s="168">
        <f>CdTrp1!E15</f>
        <v>192.96</v>
      </c>
      <c r="AZ4" s="168">
        <f>CdTrp1!F15</f>
        <v>254.06399999999999</v>
      </c>
      <c r="BA4" s="168">
        <f>CdTrp1!G15</f>
        <v>252.99199999999999</v>
      </c>
      <c r="BB4" s="168">
        <f>CdTrp1!H15</f>
        <v>251.92</v>
      </c>
      <c r="BC4" s="168">
        <f>CdTrp1!I15</f>
        <v>250.84800000000001</v>
      </c>
      <c r="BD4" s="168">
        <f>CdTrp1!J15</f>
        <v>232.624</v>
      </c>
      <c r="BE4" s="168">
        <f>CdTrp1!K15</f>
        <v>231.55199999999999</v>
      </c>
      <c r="BF4" s="168">
        <f>CdTrp1!L15</f>
        <v>230.48</v>
      </c>
      <c r="BG4" s="168">
        <f>CdTrp1!M15</f>
        <v>228.33600000000001</v>
      </c>
      <c r="BH4" s="168">
        <f>CdTrp1!N15</f>
        <v>226.19200000000001</v>
      </c>
      <c r="BI4" s="168">
        <f>CdTrp1!O15</f>
        <v>224.048</v>
      </c>
      <c r="BJ4" s="168">
        <f>CdTrp1!P15</f>
        <v>226.19200000000001</v>
      </c>
      <c r="BK4" s="168">
        <f>CdTrp1!Q15</f>
        <v>226.19200000000001</v>
      </c>
      <c r="BL4" s="168">
        <f>CdTrp1!R15</f>
        <v>226.19200000000001</v>
      </c>
      <c r="BM4" s="168">
        <f>CdTrp1!S15</f>
        <v>209.04</v>
      </c>
      <c r="BN4" s="168">
        <f>CdTrp1!T15</f>
        <v>209.04</v>
      </c>
      <c r="BO4" s="168">
        <f>CdTrp1!U15</f>
        <v>209.04</v>
      </c>
      <c r="BP4" s="168">
        <f>CdTrp1!V15</f>
        <v>209.04</v>
      </c>
      <c r="BQ4" s="168">
        <f>CdTrp1!W15</f>
        <v>203.68</v>
      </c>
      <c r="BR4" s="168">
        <f>CdTrp1!X15</f>
        <v>203.68</v>
      </c>
      <c r="BS4" s="168">
        <f>CdTrp1!Y15</f>
        <v>203.68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553</v>
      </c>
      <c r="F5" s="168">
        <f>SUM(G5:AD5)</f>
        <v>1218</v>
      </c>
      <c r="G5" s="168">
        <f>AV117</f>
        <v>42</v>
      </c>
      <c r="H5" s="168">
        <f t="shared" ref="H5:AD5" si="0">AW117</f>
        <v>42</v>
      </c>
      <c r="I5" s="168">
        <f t="shared" si="0"/>
        <v>42</v>
      </c>
      <c r="J5" s="168">
        <f t="shared" si="0"/>
        <v>56</v>
      </c>
      <c r="K5" s="168">
        <f t="shared" si="0"/>
        <v>56</v>
      </c>
      <c r="L5" s="168">
        <f t="shared" si="0"/>
        <v>56</v>
      </c>
      <c r="M5" s="168">
        <f t="shared" si="0"/>
        <v>77</v>
      </c>
      <c r="N5" s="168">
        <f t="shared" si="0"/>
        <v>77</v>
      </c>
      <c r="O5" s="168">
        <f t="shared" si="0"/>
        <v>77</v>
      </c>
      <c r="P5" s="168">
        <f t="shared" si="0"/>
        <v>77</v>
      </c>
      <c r="Q5" s="168">
        <f t="shared" si="0"/>
        <v>77</v>
      </c>
      <c r="R5" s="168">
        <f t="shared" si="0"/>
        <v>77</v>
      </c>
      <c r="S5" s="168">
        <f t="shared" si="0"/>
        <v>56</v>
      </c>
      <c r="T5" s="168">
        <f t="shared" si="0"/>
        <v>56</v>
      </c>
      <c r="U5" s="168">
        <f t="shared" si="0"/>
        <v>35</v>
      </c>
      <c r="V5" s="168">
        <f t="shared" si="0"/>
        <v>35</v>
      </c>
      <c r="W5" s="168">
        <f t="shared" si="0"/>
        <v>35</v>
      </c>
      <c r="X5" s="168">
        <f t="shared" si="0"/>
        <v>35</v>
      </c>
      <c r="Y5" s="168">
        <f t="shared" si="0"/>
        <v>35</v>
      </c>
      <c r="Z5" s="168">
        <f t="shared" si="0"/>
        <v>35</v>
      </c>
      <c r="AA5" s="168">
        <f t="shared" si="0"/>
        <v>28</v>
      </c>
      <c r="AB5" s="168">
        <f t="shared" si="0"/>
        <v>28</v>
      </c>
      <c r="AC5" s="168">
        <f t="shared" si="0"/>
        <v>49</v>
      </c>
      <c r="AD5" s="168">
        <f t="shared" si="0"/>
        <v>35</v>
      </c>
      <c r="AR5" s="181" t="s">
        <v>759</v>
      </c>
      <c r="AT5" s="182" t="str">
        <f t="shared" ref="AT5:AT13" si="1">AT27</f>
        <v>agnelles</v>
      </c>
      <c r="AU5" s="167"/>
      <c r="AV5" s="168">
        <f>CdTrp1!B16</f>
        <v>64.319999999999993</v>
      </c>
      <c r="AW5" s="168">
        <f>CdTrp1!C16</f>
        <v>64.319999999999993</v>
      </c>
      <c r="AX5" s="168">
        <f>CdTrp1!D16</f>
        <v>64.319999999999993</v>
      </c>
      <c r="AY5" s="168">
        <f>CdTrp1!E16</f>
        <v>64.319999999999993</v>
      </c>
      <c r="AZ5" s="168">
        <f>CdTrp1!F16</f>
        <v>64.319999999999993</v>
      </c>
      <c r="BA5" s="168">
        <f>CdTrp1!G16</f>
        <v>64.319999999999993</v>
      </c>
      <c r="BB5" s="168">
        <f>CdTrp1!H16</f>
        <v>64.319999999999993</v>
      </c>
      <c r="BC5" s="168">
        <f>CdTrp1!I16</f>
        <v>64.319999999999993</v>
      </c>
      <c r="BD5" s="168">
        <f>CdTrp1!J16</f>
        <v>64.319999999999993</v>
      </c>
      <c r="BE5" s="168">
        <f>CdTrp1!K16</f>
        <v>64.319999999999993</v>
      </c>
      <c r="BF5" s="168">
        <f>CdTrp1!L16</f>
        <v>64.319999999999993</v>
      </c>
      <c r="BG5" s="168">
        <f>CdTrp1!M16</f>
        <v>64.319999999999993</v>
      </c>
      <c r="BH5" s="168">
        <f>CdTrp1!N16</f>
        <v>64.319999999999993</v>
      </c>
      <c r="BI5" s="168">
        <f>CdTrp1!O16</f>
        <v>64.319999999999993</v>
      </c>
      <c r="BJ5" s="168">
        <f>CdTrp1!P16</f>
        <v>64.319999999999993</v>
      </c>
      <c r="BK5" s="168">
        <f>CdTrp1!Q16</f>
        <v>64.319999999999993</v>
      </c>
      <c r="BL5" s="168">
        <f>CdTrp1!R16</f>
        <v>64.319999999999993</v>
      </c>
      <c r="BM5" s="168">
        <f>CdTrp1!S16</f>
        <v>64.319999999999993</v>
      </c>
      <c r="BN5" s="168">
        <f>CdTrp1!T16</f>
        <v>64.319999999999993</v>
      </c>
      <c r="BO5" s="168">
        <f>CdTrp1!U16</f>
        <v>64.319999999999993</v>
      </c>
      <c r="BP5" s="168">
        <f>CdTrp1!V16</f>
        <v>64.319999999999993</v>
      </c>
      <c r="BQ5" s="168">
        <f>CdTrp1!W16</f>
        <v>64.319999999999993</v>
      </c>
      <c r="BR5" s="168">
        <f>CdTrp1!X16</f>
        <v>64.319999999999993</v>
      </c>
      <c r="BS5" s="168">
        <f>CdTrp1!Y16</f>
        <v>64.319999999999993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567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759</v>
      </c>
      <c r="AT6" s="182" t="str">
        <f t="shared" si="1"/>
        <v>vides + mammites</v>
      </c>
      <c r="AU6" s="167"/>
      <c r="AV6" s="168">
        <f>CdTrp1!B17</f>
        <v>10.72</v>
      </c>
      <c r="AW6" s="168">
        <f>CdTrp1!C17</f>
        <v>10.72</v>
      </c>
      <c r="AX6" s="168">
        <f>CdTrp1!D17</f>
        <v>10.72</v>
      </c>
      <c r="AY6" s="168">
        <f>CdTrp1!E17</f>
        <v>10.72</v>
      </c>
      <c r="AZ6" s="168">
        <f>CdTrp1!F17</f>
        <v>13.936</v>
      </c>
      <c r="BA6" s="168">
        <f>CdTrp1!G17</f>
        <v>13.936</v>
      </c>
      <c r="BB6" s="168">
        <f>CdTrp1!H17</f>
        <v>13.936</v>
      </c>
      <c r="BC6" s="168">
        <f>CdTrp1!I17</f>
        <v>13.936</v>
      </c>
      <c r="BD6" s="168">
        <f>CdTrp1!J17</f>
        <v>13.936</v>
      </c>
      <c r="BE6" s="168">
        <f>CdTrp1!K17</f>
        <v>13.936</v>
      </c>
      <c r="BF6" s="168">
        <f>CdTrp1!L17</f>
        <v>13.936</v>
      </c>
      <c r="BG6" s="168">
        <f>CdTrp1!M17</f>
        <v>13.936</v>
      </c>
      <c r="BH6" s="168">
        <f>CdTrp1!N17</f>
        <v>13.936</v>
      </c>
      <c r="BI6" s="168">
        <f>CdTrp1!O17</f>
        <v>13.936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574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759</v>
      </c>
      <c r="AT7" s="182" t="str">
        <f t="shared" si="1"/>
        <v>béliers</v>
      </c>
      <c r="AU7" s="167"/>
      <c r="AV7" s="168">
        <f>CdTrp1!B18</f>
        <v>5.36</v>
      </c>
      <c r="AW7" s="168">
        <f>CdTrp1!C18</f>
        <v>5.36</v>
      </c>
      <c r="AX7" s="168">
        <f>CdTrp1!D18</f>
        <v>5.36</v>
      </c>
      <c r="AY7" s="168">
        <f>CdTrp1!E18</f>
        <v>5.36</v>
      </c>
      <c r="AZ7" s="168">
        <f>CdTrp1!F18</f>
        <v>5.36</v>
      </c>
      <c r="BA7" s="168">
        <f>CdTrp1!G18</f>
        <v>5.36</v>
      </c>
      <c r="BB7" s="168">
        <f>CdTrp1!H18</f>
        <v>5.36</v>
      </c>
      <c r="BC7" s="168">
        <f>CdTrp1!I18</f>
        <v>5.36</v>
      </c>
      <c r="BD7" s="168">
        <f>CdTrp1!J18</f>
        <v>5.36</v>
      </c>
      <c r="BE7" s="168">
        <f>CdTrp1!K18</f>
        <v>5.36</v>
      </c>
      <c r="BF7" s="168">
        <f>CdTrp1!L18</f>
        <v>5.36</v>
      </c>
      <c r="BG7" s="168">
        <f>CdTrp1!M18</f>
        <v>5.36</v>
      </c>
      <c r="BH7" s="168">
        <f>CdTrp1!N18</f>
        <v>5.36</v>
      </c>
      <c r="BI7" s="168">
        <f>CdTrp1!O18</f>
        <v>5.36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5.36</v>
      </c>
      <c r="BR7" s="168">
        <f>CdTrp1!X18</f>
        <v>5.36</v>
      </c>
      <c r="BS7" s="168">
        <f>CdTrp1!Y18</f>
        <v>5.36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763</v>
      </c>
      <c r="B8" s="2"/>
      <c r="C8" s="2"/>
      <c r="D8" s="23"/>
      <c r="E8" s="23"/>
      <c r="AR8" s="181" t="s">
        <v>759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553</v>
      </c>
      <c r="F9" s="168">
        <f>SUM(G9:AD9)</f>
        <v>899.41991999999971</v>
      </c>
      <c r="G9" s="30">
        <f>AV102</f>
        <v>49.817599999999999</v>
      </c>
      <c r="H9" s="30">
        <f t="shared" ref="H9:AD9" si="4">AW102</f>
        <v>49.817599999999999</v>
      </c>
      <c r="I9" s="30">
        <f t="shared" si="4"/>
        <v>49.817599999999999</v>
      </c>
      <c r="J9" s="30">
        <f t="shared" si="4"/>
        <v>49.817599999999999</v>
      </c>
      <c r="K9" s="30">
        <f t="shared" si="4"/>
        <v>52.068800000000003</v>
      </c>
      <c r="L9" s="30">
        <f t="shared" si="4"/>
        <v>52.031280000000002</v>
      </c>
      <c r="M9" s="30">
        <f t="shared" si="4"/>
        <v>30.993760000000002</v>
      </c>
      <c r="N9" s="30">
        <f t="shared" si="4"/>
        <v>30.956240000000001</v>
      </c>
      <c r="O9" s="30">
        <f t="shared" si="4"/>
        <v>30.318399999999997</v>
      </c>
      <c r="P9" s="30">
        <f t="shared" si="4"/>
        <v>30.280879999999996</v>
      </c>
      <c r="Q9" s="30">
        <f t="shared" si="4"/>
        <v>30.243359999999996</v>
      </c>
      <c r="R9" s="30">
        <f t="shared" si="4"/>
        <v>30.168320000000001</v>
      </c>
      <c r="S9" s="30">
        <f t="shared" si="4"/>
        <v>51.09328</v>
      </c>
      <c r="T9" s="30">
        <f t="shared" si="4"/>
        <v>51.018239999999999</v>
      </c>
      <c r="U9" s="30">
        <f t="shared" si="4"/>
        <v>29.417920000000002</v>
      </c>
      <c r="V9" s="30">
        <f t="shared" si="4"/>
        <v>29.417920000000002</v>
      </c>
      <c r="W9" s="30">
        <f t="shared" si="4"/>
        <v>29.417920000000002</v>
      </c>
      <c r="X9" s="30">
        <f t="shared" si="4"/>
        <v>28.817599999999999</v>
      </c>
      <c r="Y9" s="30">
        <f t="shared" si="4"/>
        <v>28.817599999999999</v>
      </c>
      <c r="Z9" s="30">
        <f t="shared" si="4"/>
        <v>28.817599999999999</v>
      </c>
      <c r="AA9" s="30">
        <f t="shared" si="4"/>
        <v>28.817599999999999</v>
      </c>
      <c r="AB9" s="30">
        <f t="shared" si="4"/>
        <v>28.817599999999999</v>
      </c>
      <c r="AC9" s="30">
        <f t="shared" si="4"/>
        <v>28.817599999999999</v>
      </c>
      <c r="AD9" s="30">
        <f t="shared" si="4"/>
        <v>49.817599999999999</v>
      </c>
      <c r="AR9" s="181" t="s">
        <v>759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567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574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764</v>
      </c>
      <c r="F13" s="168">
        <f t="shared" si="5"/>
        <v>2117.4199200000007</v>
      </c>
      <c r="G13" s="30">
        <f>SUM(G5:G11)</f>
        <v>91.817599999999999</v>
      </c>
      <c r="H13" s="30">
        <f t="shared" ref="H13:AD13" si="8">SUM(H5:H11)</f>
        <v>91.817599999999999</v>
      </c>
      <c r="I13" s="30">
        <f t="shared" si="8"/>
        <v>91.817599999999999</v>
      </c>
      <c r="J13" s="30">
        <f t="shared" si="8"/>
        <v>105.8176</v>
      </c>
      <c r="K13" s="30">
        <f t="shared" si="8"/>
        <v>108.06880000000001</v>
      </c>
      <c r="L13" s="30">
        <f t="shared" si="8"/>
        <v>108.03128000000001</v>
      </c>
      <c r="M13" s="30">
        <f t="shared" si="8"/>
        <v>107.99376000000001</v>
      </c>
      <c r="N13" s="30">
        <f t="shared" si="8"/>
        <v>107.95624000000001</v>
      </c>
      <c r="O13" s="30">
        <f t="shared" si="8"/>
        <v>107.3184</v>
      </c>
      <c r="P13" s="30">
        <f t="shared" si="8"/>
        <v>107.28088</v>
      </c>
      <c r="Q13" s="30">
        <f t="shared" si="8"/>
        <v>107.24336</v>
      </c>
      <c r="R13" s="30">
        <f t="shared" si="8"/>
        <v>107.16831999999999</v>
      </c>
      <c r="S13" s="30">
        <f t="shared" si="8"/>
        <v>107.09327999999999</v>
      </c>
      <c r="T13" s="30">
        <f t="shared" si="8"/>
        <v>107.01823999999999</v>
      </c>
      <c r="U13" s="30">
        <f t="shared" si="8"/>
        <v>64.417920000000009</v>
      </c>
      <c r="V13" s="30">
        <f t="shared" si="8"/>
        <v>64.417920000000009</v>
      </c>
      <c r="W13" s="30">
        <f t="shared" si="8"/>
        <v>64.417920000000009</v>
      </c>
      <c r="X13" s="30">
        <f t="shared" si="8"/>
        <v>63.817599999999999</v>
      </c>
      <c r="Y13" s="30">
        <f t="shared" si="8"/>
        <v>63.817599999999999</v>
      </c>
      <c r="Z13" s="30">
        <f t="shared" si="8"/>
        <v>63.817599999999999</v>
      </c>
      <c r="AA13" s="30">
        <f t="shared" si="8"/>
        <v>56.817599999999999</v>
      </c>
      <c r="AB13" s="30">
        <f t="shared" si="8"/>
        <v>56.817599999999999</v>
      </c>
      <c r="AC13" s="30">
        <f t="shared" si="8"/>
        <v>77.817599999999999</v>
      </c>
      <c r="AD13" s="30">
        <f t="shared" si="8"/>
        <v>84.817599999999999</v>
      </c>
      <c r="AR13" s="181" t="s">
        <v>759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759</v>
      </c>
      <c r="AT14" s="2" t="s">
        <v>765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766</v>
      </c>
      <c r="B15" s="166" t="s">
        <v>767</v>
      </c>
      <c r="C15" s="166" t="s">
        <v>768</v>
      </c>
      <c r="D15" s="167" t="s">
        <v>769</v>
      </c>
      <c r="E15" s="167" t="s">
        <v>770</v>
      </c>
      <c r="F15" s="166" t="s">
        <v>771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553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772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567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574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773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553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567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574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774</v>
      </c>
      <c r="AU25" s="177"/>
      <c r="BZ25" s="184" t="s">
        <v>774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623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759</v>
      </c>
      <c r="AT28" s="182" t="str">
        <f>CdTrp1!A17</f>
        <v>vides + mammites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624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776</v>
      </c>
      <c r="B30" s="186" t="s">
        <v>777</v>
      </c>
      <c r="C30" s="186" t="s">
        <v>778</v>
      </c>
      <c r="D30" s="187"/>
      <c r="E30" s="187"/>
      <c r="AR30" s="181" t="s">
        <v>759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553</v>
      </c>
      <c r="B31" s="168">
        <f>Troupeau!B18</f>
        <v>254</v>
      </c>
      <c r="C31" s="183">
        <f>IF(B31&gt;0,VLOOKUP(Troupeau!B3,[1]Trav!$A$96:$B$99,2),0)</f>
        <v>110</v>
      </c>
      <c r="D31" s="167"/>
      <c r="E31" s="167"/>
      <c r="F31" s="168">
        <f>B31*C31/60</f>
        <v>465.66666666666669</v>
      </c>
      <c r="AR31" s="181" t="s">
        <v>759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567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574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779</v>
      </c>
      <c r="B34" s="186" t="s">
        <v>780</v>
      </c>
      <c r="C34" s="186" t="s">
        <v>781</v>
      </c>
      <c r="D34" s="186" t="s">
        <v>782</v>
      </c>
      <c r="E34" s="187"/>
      <c r="F34" s="33"/>
      <c r="AR34" s="181" t="s">
        <v>759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553</v>
      </c>
      <c r="B35" s="183">
        <f>IF(Troupeau!B3="BL",[1]Trav!$F$102,IF(Troupeau!B3="OL",[1]Trav!$F$103,0))</f>
        <v>220</v>
      </c>
      <c r="C35" s="168">
        <f>Troupeau!B19</f>
        <v>241</v>
      </c>
      <c r="D35" s="183">
        <f>IF(Troupeau!B3="OL",[1]Trav!$B$103,0)</f>
        <v>2.4900000000000002</v>
      </c>
      <c r="E35" s="167"/>
      <c r="F35" s="168">
        <f>B35+C35*D35</f>
        <v>820.09</v>
      </c>
      <c r="AR35" s="181" t="s">
        <v>759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567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759</v>
      </c>
      <c r="AT36" s="2" t="s">
        <v>736</v>
      </c>
      <c r="BZ36" s="2" t="s">
        <v>736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736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574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759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2</v>
      </c>
      <c r="BH37" s="168">
        <f>IF(CdTrp1!N52=1,3,IF(CdTrp1!N52=0.5,2,IF(CdTrp1!N52=0,1,0)))</f>
        <v>2</v>
      </c>
      <c r="BI37" s="168">
        <f>IF(CdTrp1!O52=1,3,IF(CdTrp1!O52=0.5,2,IF(CdTrp1!O52=0,1,0)))</f>
        <v>2</v>
      </c>
      <c r="BJ37" s="168">
        <f>IF(CdTrp1!P52=1,3,IF(CdTrp1!P52=0.5,2,IF(CdTrp1!P52=0,1,0)))</f>
        <v>2</v>
      </c>
      <c r="BK37" s="168">
        <f>IF(CdTrp1!Q52=1,3,IF(CdTrp1!Q52=0.5,2,IF(CdTrp1!Q52=0,1,0)))</f>
        <v>2</v>
      </c>
      <c r="BL37" s="168">
        <f>IF(CdTrp1!R52=1,3,IF(CdTrp1!R52=0.5,2,IF(CdTrp1!R52=0,1,0)))</f>
        <v>2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2</v>
      </c>
      <c r="BS37" s="168">
        <f>IF(CdTrp1!Y52=1,3,IF(CdTrp1!Y52=0.5,2,IF(CdTrp1!Y52=0,1,0)))</f>
        <v>3</v>
      </c>
      <c r="BU37">
        <v>3</v>
      </c>
      <c r="BV37" t="s">
        <v>783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784</v>
      </c>
      <c r="B38" s="188" t="s">
        <v>785</v>
      </c>
      <c r="C38" s="188" t="s">
        <v>786</v>
      </c>
      <c r="D38" s="187"/>
      <c r="E38" s="187"/>
      <c r="F38" s="33"/>
      <c r="AR38" s="181" t="s">
        <v>759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2</v>
      </c>
      <c r="BF38" s="168">
        <f>IF(CdTrp1!L53=1,3,IF(CdTrp1!L53=0.5,2,IF(CdTrp1!L53=0,1,0)))</f>
        <v>2</v>
      </c>
      <c r="BG38" s="168">
        <f>IF(CdTrp1!M53=1,3,IF(CdTrp1!M53=0.5,2,IF(CdTrp1!M53=0,1,0)))</f>
        <v>2</v>
      </c>
      <c r="BH38" s="168">
        <f>IF(CdTrp1!N53=1,3,IF(CdTrp1!N53=0.5,2,IF(CdTrp1!N53=0,1,0)))</f>
        <v>2</v>
      </c>
      <c r="BI38" s="168">
        <f>IF(CdTrp1!O53=1,3,IF(CdTrp1!O53=0.5,2,IF(CdTrp1!O53=0,1,0)))</f>
        <v>2</v>
      </c>
      <c r="BJ38" s="168">
        <f>IF(CdTrp1!P53=1,3,IF(CdTrp1!P53=0.5,2,IF(CdTrp1!P53=0,1,0)))</f>
        <v>2</v>
      </c>
      <c r="BK38" s="168">
        <f>IF(CdTrp1!Q53=1,3,IF(CdTrp1!Q53=0.5,2,IF(CdTrp1!Q53=0,1,0)))</f>
        <v>2</v>
      </c>
      <c r="BL38" s="168">
        <f>IF(CdTrp1!R53=1,3,IF(CdTrp1!R53=0.5,2,IF(CdTrp1!R53=0,1,0)))</f>
        <v>2</v>
      </c>
      <c r="BM38" s="168">
        <f>IF(CdTrp1!S53=1,3,IF(CdTrp1!S53=0.5,2,IF(CdTrp1!S53=0,1,0)))</f>
        <v>2</v>
      </c>
      <c r="BN38" s="168">
        <f>IF(CdTrp1!T53=1,3,IF(CdTrp1!T53=0.5,2,IF(CdTrp1!T53=0,1,0)))</f>
        <v>2</v>
      </c>
      <c r="BO38" s="168">
        <f>IF(CdTrp1!U53=1,3,IF(CdTrp1!U53=0.5,2,IF(CdTrp1!U53=0,1,0)))</f>
        <v>2</v>
      </c>
      <c r="BP38" s="168">
        <f>IF(CdTrp1!V53=1,3,IF(CdTrp1!V53=0.5,2,IF(CdTrp1!V53=0,1,0)))</f>
        <v>2</v>
      </c>
      <c r="BQ38" s="168">
        <f>IF(CdTrp1!W53=1,3,IF(CdTrp1!W53=0.5,2,IF(CdTrp1!W53=0,1,0)))</f>
        <v>2</v>
      </c>
      <c r="BR38" s="168">
        <f>IF(CdTrp1!X53=1,3,IF(CdTrp1!X53=0.5,2,IF(CdTrp1!X53=0,1,0)))</f>
        <v>2</v>
      </c>
      <c r="BS38" s="168">
        <f>IF(CdTrp1!Y53=1,3,IF(CdTrp1!Y53=0.5,2,IF(CdTrp1!Y53=0,1,0)))</f>
        <v>2</v>
      </c>
      <c r="BU38">
        <v>2</v>
      </c>
      <c r="BV38" t="s">
        <v>787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553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759</v>
      </c>
      <c r="AT39" s="262" t="str">
        <f>CdTrp1!$A54</f>
        <v>vides + mammites</v>
      </c>
      <c r="AU39" s="32"/>
      <c r="AV39" s="168">
        <f>IF(CdTrp1!B54=1,3,IF(CdTrp1!B54=0.5,2,IF(CdTrp1!B54=0,1,0)))</f>
        <v>2</v>
      </c>
      <c r="AW39" s="168">
        <f>IF(CdTrp1!C54=1,3,IF(CdTrp1!C54=0.5,2,IF(CdTrp1!C54=0,1,0)))</f>
        <v>2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2</v>
      </c>
      <c r="BH39" s="168">
        <f>IF(CdTrp1!N54=1,3,IF(CdTrp1!N54=0.5,2,IF(CdTrp1!N54=0,1,0)))</f>
        <v>2</v>
      </c>
      <c r="BI39" s="168">
        <f>IF(CdTrp1!O54=1,3,IF(CdTrp1!O54=0.5,2,IF(CdTrp1!O54=0,1,0)))</f>
        <v>2</v>
      </c>
      <c r="BJ39" s="168">
        <f>IF(CdTrp1!P54=1,3,IF(CdTrp1!P54=0.5,2,IF(CdTrp1!P54=0,1,0)))</f>
        <v>0</v>
      </c>
      <c r="BK39" s="168">
        <f>IF(CdTrp1!Q54=1,3,IF(CdTrp1!Q54=0.5,2,IF(CdTrp1!Q54=0,1,0)))</f>
        <v>0</v>
      </c>
      <c r="BL39" s="168">
        <f>IF(CdTrp1!R54=1,3,IF(CdTrp1!R54=0.5,2,IF(CdTrp1!R54=0,1,0)))</f>
        <v>0</v>
      </c>
      <c r="BM39" s="168">
        <f>IF(CdTrp1!S54=1,3,IF(CdTrp1!S54=0.5,2,IF(CdTrp1!S54=0,1,0)))</f>
        <v>0</v>
      </c>
      <c r="BN39" s="168">
        <f>IF(CdTrp1!T54=1,3,IF(CdTrp1!T54=0.5,2,IF(CdTrp1!T54=0,1,0)))</f>
        <v>0</v>
      </c>
      <c r="BO39" s="168">
        <f>IF(CdTrp1!U54=1,3,IF(CdTrp1!U54=0.5,2,IF(CdTrp1!U54=0,1,0)))</f>
        <v>0</v>
      </c>
      <c r="BP39" s="168">
        <f>IF(CdTrp1!V54=1,3,IF(CdTrp1!V54=0.5,2,IF(CdTrp1!V54=0,1,0)))</f>
        <v>0</v>
      </c>
      <c r="BQ39" s="168">
        <f>IF(CdTrp1!W54=1,3,IF(CdTrp1!W54=0.5,2,IF(CdTrp1!W54=0,1,0)))</f>
        <v>0</v>
      </c>
      <c r="BR39" s="168">
        <f>IF(CdTrp1!X54=1,3,IF(CdTrp1!X54=0.5,2,IF(CdTrp1!X54=0,1,0)))</f>
        <v>0</v>
      </c>
      <c r="BS39" s="168">
        <f>IF(CdTrp1!Y54=1,3,IF(CdTrp1!Y54=0.5,2,IF(CdTrp1!Y54=0,1,0)))</f>
        <v>0</v>
      </c>
      <c r="BU39">
        <v>1</v>
      </c>
      <c r="BV39" t="s">
        <v>788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759</v>
      </c>
      <c r="AT40" s="182" t="str">
        <f>CdTrp1!$A55</f>
        <v>béliers</v>
      </c>
      <c r="AU40" s="32"/>
      <c r="AV40" s="168">
        <f>IF(CdTrp1!B55=1,3,IF(CdTrp1!B55=0.5,2,IF(CdTrp1!B55=0,1,0)))</f>
        <v>2</v>
      </c>
      <c r="AW40" s="168">
        <f>IF(CdTrp1!C55=1,3,IF(CdTrp1!C55=0.5,2,IF(CdTrp1!C55=0,1,0)))</f>
        <v>2</v>
      </c>
      <c r="AX40" s="168">
        <f>IF(CdTrp1!D55=1,3,IF(CdTrp1!D55=0.5,2,IF(CdTrp1!D55=0,1,0)))</f>
        <v>2</v>
      </c>
      <c r="AY40" s="168">
        <f>IF(CdTrp1!E55=1,3,IF(CdTrp1!E55=0.5,2,IF(CdTrp1!E55=0,1,0)))</f>
        <v>2</v>
      </c>
      <c r="AZ40" s="168">
        <f>IF(CdTrp1!F55=1,3,IF(CdTrp1!F55=0.5,2,IF(CdTrp1!F55=0,1,0)))</f>
        <v>2</v>
      </c>
      <c r="BA40" s="168">
        <f>IF(CdTrp1!G55=1,3,IF(CdTrp1!G55=0.5,2,IF(CdTrp1!G55=0,1,0)))</f>
        <v>2</v>
      </c>
      <c r="BB40" s="168">
        <f>IF(CdTrp1!H55=1,3,IF(CdTrp1!H55=0.5,2,IF(CdTrp1!H55=0,1,0)))</f>
        <v>2</v>
      </c>
      <c r="BC40" s="168">
        <f>IF(CdTrp1!I55=1,3,IF(CdTrp1!I55=0.5,2,IF(CdTrp1!I55=0,1,0)))</f>
        <v>2</v>
      </c>
      <c r="BD40" s="168">
        <f>IF(CdTrp1!J55=1,3,IF(CdTrp1!J55=0.5,2,IF(CdTrp1!J55=0,1,0)))</f>
        <v>2</v>
      </c>
      <c r="BE40" s="168">
        <f>IF(CdTrp1!K55=1,3,IF(CdTrp1!K55=0.5,2,IF(CdTrp1!K55=0,1,0)))</f>
        <v>2</v>
      </c>
      <c r="BF40" s="168">
        <f>IF(CdTrp1!L55=1,3,IF(CdTrp1!L55=0.5,2,IF(CdTrp1!L55=0,1,0)))</f>
        <v>2</v>
      </c>
      <c r="BG40" s="168">
        <f>IF(CdTrp1!M55=1,3,IF(CdTrp1!M55=0.5,2,IF(CdTrp1!M55=0,1,0)))</f>
        <v>2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2</v>
      </c>
      <c r="BR40" s="168">
        <f>IF(CdTrp1!X55=1,3,IF(CdTrp1!X55=0.5,2,IF(CdTrp1!X55=0,1,0)))</f>
        <v>2</v>
      </c>
      <c r="BS40" s="168">
        <f>IF(CdTrp1!Y55=1,3,IF(CdTrp1!Y55=0.5,2,IF(CdTrp1!Y55=0,1,0)))</f>
        <v>2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759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789</v>
      </c>
      <c r="B42" s="2"/>
      <c r="F42" s="33"/>
      <c r="AR42" s="181" t="s">
        <v>759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553</v>
      </c>
      <c r="AR43" s="181" t="s">
        <v>759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567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759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574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759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759</v>
      </c>
      <c r="AT47" s="2" t="s">
        <v>790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790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790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791</v>
      </c>
      <c r="AR48" s="181" t="s">
        <v>759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1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792</v>
      </c>
      <c r="B49" s="166" t="s">
        <v>52</v>
      </c>
      <c r="C49" t="s">
        <v>793</v>
      </c>
      <c r="AR49" s="181" t="s">
        <v>759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2</v>
      </c>
      <c r="BC49" s="168">
        <f>IF(CdTrp1!I77=1,1,IF(CdTrp1!I77=2,2,IF(CdTrp1!I77=3,2,0)))</f>
        <v>2</v>
      </c>
      <c r="BD49" s="168">
        <f>IF(CdTrp1!J77=1,1,IF(CdTrp1!J77=2,2,IF(CdTrp1!J77=3,2,0)))</f>
        <v>2</v>
      </c>
      <c r="BE49" s="168">
        <f>IF(CdTrp1!K77=1,1,IF(CdTrp1!K77=2,2,IF(CdTrp1!K77=3,2,0)))</f>
        <v>2</v>
      </c>
      <c r="BF49" s="168">
        <f>IF(CdTrp1!L77=1,1,IF(CdTrp1!L77=2,2,IF(CdTrp1!L77=3,2,0)))</f>
        <v>2</v>
      </c>
      <c r="BG49" s="168">
        <f>IF(CdTrp1!M77=1,1,IF(CdTrp1!M77=2,2,IF(CdTrp1!M77=3,2,0)))</f>
        <v>2</v>
      </c>
      <c r="BH49" s="168">
        <f>IF(CdTrp1!N77=1,1,IF(CdTrp1!N77=2,2,IF(CdTrp1!N77=3,2,0)))</f>
        <v>2</v>
      </c>
      <c r="BI49" s="168">
        <f>IF(CdTrp1!O77=1,1,IF(CdTrp1!O77=2,2,IF(CdTrp1!O77=3,2,0)))</f>
        <v>2</v>
      </c>
      <c r="BJ49" s="168">
        <f>IF(CdTrp1!P77=1,1,IF(CdTrp1!P77=2,2,IF(CdTrp1!P77=3,2,0)))</f>
        <v>2</v>
      </c>
      <c r="BK49" s="168">
        <f>IF(CdTrp1!Q77=1,1,IF(CdTrp1!Q77=2,2,IF(CdTrp1!Q77=3,2,0)))</f>
        <v>2</v>
      </c>
      <c r="BL49" s="168">
        <f>IF(CdTrp1!R77=1,1,IF(CdTrp1!R77=2,2,IF(CdTrp1!R77=3,2,0)))</f>
        <v>2</v>
      </c>
      <c r="BM49" s="168">
        <f>IF(CdTrp1!S77=1,1,IF(CdTrp1!S77=2,2,IF(CdTrp1!S77=3,2,0)))</f>
        <v>2</v>
      </c>
      <c r="BN49" s="168">
        <f>IF(CdTrp1!T77=1,1,IF(CdTrp1!T77=2,2,IF(CdTrp1!T77=3,2,0)))</f>
        <v>2</v>
      </c>
      <c r="BO49" s="168">
        <f>IF(CdTrp1!U77=1,1,IF(CdTrp1!U77=2,2,IF(CdTrp1!U77=3,2,0)))</f>
        <v>2</v>
      </c>
      <c r="BP49" s="168">
        <f>IF(CdTrp1!V77=1,1,IF(CdTrp1!V77=2,2,IF(CdTrp1!V77=3,2,0)))</f>
        <v>1</v>
      </c>
      <c r="BQ49" s="168">
        <f>IF(CdTrp1!W77=1,1,IF(CdTrp1!W77=2,2,IF(CdTrp1!W77=3,2,0)))</f>
        <v>1</v>
      </c>
      <c r="BR49" s="168">
        <f>IF(CdTrp1!X77=1,1,IF(CdTrp1!X77=2,2,IF(CdTrp1!X77=3,2,0)))</f>
        <v>1</v>
      </c>
      <c r="BS49" s="168">
        <f>IF(CdTrp1!Y77=1,1,IF(CdTrp1!Y77=2,2,IF(CdTrp1!Y77=3,2,0)))</f>
        <v>1</v>
      </c>
      <c r="BU49">
        <v>2</v>
      </c>
      <c r="BV49" t="s">
        <v>794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759</v>
      </c>
      <c r="AT50" s="182" t="str">
        <f t="shared" si="31"/>
        <v>vides + mammites</v>
      </c>
      <c r="AU50" s="32"/>
      <c r="AV50" s="168">
        <f>IF(CdTrp1!B78=1,1,IF(CdTrp1!B78=2,2,IF(CdTrp1!B78=3,2,0)))</f>
        <v>2</v>
      </c>
      <c r="AW50" s="168">
        <f>IF(CdTrp1!C78=1,1,IF(CdTrp1!C78=2,2,IF(CdTrp1!C78=3,2,0)))</f>
        <v>2</v>
      </c>
      <c r="AX50" s="168">
        <f>IF(CdTrp1!D78=1,1,IF(CdTrp1!D78=2,2,IF(CdTrp1!D78=3,2,0)))</f>
        <v>2</v>
      </c>
      <c r="AY50" s="168">
        <f>IF(CdTrp1!E78=1,1,IF(CdTrp1!E78=2,2,IF(CdTrp1!E78=3,2,0)))</f>
        <v>2</v>
      </c>
      <c r="AZ50" s="168">
        <f>IF(CdTrp1!F78=1,1,IF(CdTrp1!F78=2,2,IF(CdTrp1!F78=3,2,0)))</f>
        <v>2</v>
      </c>
      <c r="BA50" s="168">
        <f>IF(CdTrp1!G78=1,1,IF(CdTrp1!G78=2,2,IF(CdTrp1!G78=3,2,0)))</f>
        <v>2</v>
      </c>
      <c r="BB50" s="168">
        <f>IF(CdTrp1!H78=1,1,IF(CdTrp1!H78=2,2,IF(CdTrp1!H78=3,2,0)))</f>
        <v>2</v>
      </c>
      <c r="BC50" s="168">
        <f>IF(CdTrp1!I78=1,1,IF(CdTrp1!I78=2,2,IF(CdTrp1!I78=3,2,0)))</f>
        <v>2</v>
      </c>
      <c r="BD50" s="168">
        <f>IF(CdTrp1!J78=1,1,IF(CdTrp1!J78=2,2,IF(CdTrp1!J78=3,2,0)))</f>
        <v>2</v>
      </c>
      <c r="BE50" s="168">
        <f>IF(CdTrp1!K78=1,1,IF(CdTrp1!K78=2,2,IF(CdTrp1!K78=3,2,0)))</f>
        <v>2</v>
      </c>
      <c r="BF50" s="168">
        <f>IF(CdTrp1!L78=1,1,IF(CdTrp1!L78=2,2,IF(CdTrp1!L78=3,2,0)))</f>
        <v>2</v>
      </c>
      <c r="BG50" s="168">
        <f>IF(CdTrp1!M78=1,1,IF(CdTrp1!M78=2,2,IF(CdTrp1!M78=3,2,0)))</f>
        <v>2</v>
      </c>
      <c r="BH50" s="168">
        <f>IF(CdTrp1!N78=1,1,IF(CdTrp1!N78=2,2,IF(CdTrp1!N78=3,2,0)))</f>
        <v>2</v>
      </c>
      <c r="BI50" s="168">
        <f>IF(CdTrp1!O78=1,1,IF(CdTrp1!O78=2,2,IF(CdTrp1!O78=3,2,0)))</f>
        <v>2</v>
      </c>
      <c r="BJ50" s="168">
        <f>IF(CdTrp1!P78=1,1,IF(CdTrp1!P78=2,2,IF(CdTrp1!P78=3,2,0)))</f>
        <v>2</v>
      </c>
      <c r="BK50" s="168">
        <f>IF(CdTrp1!Q78=1,1,IF(CdTrp1!Q78=2,2,IF(CdTrp1!Q78=3,2,0)))</f>
        <v>2</v>
      </c>
      <c r="BL50" s="168">
        <f>IF(CdTrp1!R78=1,1,IF(CdTrp1!R78=2,2,IF(CdTrp1!R78=3,2,0)))</f>
        <v>2</v>
      </c>
      <c r="BM50" s="168">
        <f>IF(CdTrp1!S78=1,1,IF(CdTrp1!S78=2,2,IF(CdTrp1!S78=3,2,0)))</f>
        <v>2</v>
      </c>
      <c r="BN50" s="168">
        <f>IF(CdTrp1!T78=1,1,IF(CdTrp1!T78=2,2,IF(CdTrp1!T78=3,2,0)))</f>
        <v>2</v>
      </c>
      <c r="BO50" s="168">
        <f>IF(CdTrp1!U78=1,1,IF(CdTrp1!U78=2,2,IF(CdTrp1!U78=3,2,0)))</f>
        <v>2</v>
      </c>
      <c r="BP50" s="168">
        <f>IF(CdTrp1!V78=1,1,IF(CdTrp1!V78=2,2,IF(CdTrp1!V78=3,2,0)))</f>
        <v>2</v>
      </c>
      <c r="BQ50" s="168">
        <f>IF(CdTrp1!W78=1,1,IF(CdTrp1!W78=2,2,IF(CdTrp1!W78=3,2,0)))</f>
        <v>2</v>
      </c>
      <c r="BR50" s="168">
        <f>IF(CdTrp1!X78=1,1,IF(CdTrp1!X78=2,2,IF(CdTrp1!X78=3,2,0)))</f>
        <v>2</v>
      </c>
      <c r="BS50" s="168">
        <f>IF(CdTrp1!Y78=1,1,IF(CdTrp1!Y78=2,2,IF(CdTrp1!Y78=3,2,0)))</f>
        <v>2</v>
      </c>
      <c r="BU50" s="189">
        <v>4</v>
      </c>
      <c r="BV50" t="s">
        <v>796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759</v>
      </c>
      <c r="AT51" s="182" t="str">
        <f t="shared" si="31"/>
        <v>béliers</v>
      </c>
      <c r="AU51" s="32"/>
      <c r="AV51" s="168">
        <f>IF(CdTrp1!B79=1,1,IF(CdTrp1!B79=2,2,IF(CdTrp1!B79=3,2,0)))</f>
        <v>2</v>
      </c>
      <c r="AW51" s="168">
        <f>IF(CdTrp1!C79=1,1,IF(CdTrp1!C79=2,2,IF(CdTrp1!C79=3,2,0)))</f>
        <v>2</v>
      </c>
      <c r="AX51" s="168">
        <f>IF(CdTrp1!D79=1,1,IF(CdTrp1!D79=2,2,IF(CdTrp1!D79=3,2,0)))</f>
        <v>2</v>
      </c>
      <c r="AY51" s="168">
        <f>IF(CdTrp1!E79=1,1,IF(CdTrp1!E79=2,2,IF(CdTrp1!E79=3,2,0)))</f>
        <v>2</v>
      </c>
      <c r="AZ51" s="168">
        <f>IF(CdTrp1!F79=1,1,IF(CdTrp1!F79=2,2,IF(CdTrp1!F79=3,2,0)))</f>
        <v>2</v>
      </c>
      <c r="BA51" s="168">
        <f>IF(CdTrp1!G79=1,1,IF(CdTrp1!G79=2,2,IF(CdTrp1!G79=3,2,0)))</f>
        <v>2</v>
      </c>
      <c r="BB51" s="168">
        <f>IF(CdTrp1!H79=1,1,IF(CdTrp1!H79=2,2,IF(CdTrp1!H79=3,2,0)))</f>
        <v>2</v>
      </c>
      <c r="BC51" s="168">
        <f>IF(CdTrp1!I79=1,1,IF(CdTrp1!I79=2,2,IF(CdTrp1!I79=3,2,0)))</f>
        <v>2</v>
      </c>
      <c r="BD51" s="168">
        <f>IF(CdTrp1!J79=1,1,IF(CdTrp1!J79=2,2,IF(CdTrp1!J79=3,2,0)))</f>
        <v>2</v>
      </c>
      <c r="BE51" s="168">
        <f>IF(CdTrp1!K79=1,1,IF(CdTrp1!K79=2,2,IF(CdTrp1!K79=3,2,0)))</f>
        <v>2</v>
      </c>
      <c r="BF51" s="168">
        <f>IF(CdTrp1!L79=1,1,IF(CdTrp1!L79=2,2,IF(CdTrp1!L79=3,2,0)))</f>
        <v>2</v>
      </c>
      <c r="BG51" s="168">
        <f>IF(CdTrp1!M79=1,1,IF(CdTrp1!M79=2,2,IF(CdTrp1!M79=3,2,0)))</f>
        <v>2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2</v>
      </c>
      <c r="BS51" s="168">
        <f>IF(CdTrp1!Y79=1,1,IF(CdTrp1!Y79=2,2,IF(CdTrp1!Y79=3,2,0)))</f>
        <v>2</v>
      </c>
      <c r="BU51">
        <v>0</v>
      </c>
      <c r="BV51" t="s">
        <v>798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799</v>
      </c>
      <c r="B52" s="168">
        <f>Scénario!K40/[1]Trav!$B$124</f>
        <v>0.32500000000000001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759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800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801</v>
      </c>
      <c r="B54" s="168">
        <f>SUM(Scénario!K40:K42)</f>
        <v>18.400000000000002</v>
      </c>
      <c r="C54" s="183">
        <f>IF(B54&gt;[1]Trav!E119,[1]Trav!C119,[1]Trav!B119)</f>
        <v>1.4</v>
      </c>
      <c r="D54"/>
      <c r="E54" s="167"/>
      <c r="F54" s="168">
        <f t="shared" si="32"/>
        <v>26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802</v>
      </c>
      <c r="B55" s="168">
        <f>Scénario!M28*(1-Scénario!K31/100)</f>
        <v>10.710000000000003</v>
      </c>
      <c r="C55" s="183">
        <f>IF(B55&gt;[1]Trav!E121,[1]Trav!C121,[1]Trav!B121)</f>
        <v>7.2</v>
      </c>
      <c r="D55"/>
      <c r="E55" s="167"/>
      <c r="F55" s="168">
        <f t="shared" si="32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803</v>
      </c>
      <c r="B56" s="168">
        <f>Scénario!M29</f>
        <v>9.4</v>
      </c>
      <c r="C56" s="183">
        <f>IF(B56&gt;[1]Trav!E121,[1]Trav!C121,[1]Trav!B121)</f>
        <v>7.2</v>
      </c>
      <c r="D56"/>
      <c r="E56" s="167"/>
      <c r="F56" s="168">
        <f t="shared" si="32"/>
        <v>68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804</v>
      </c>
      <c r="B57" s="168">
        <f>Scénario!M30</f>
        <v>0</v>
      </c>
      <c r="C57" s="183">
        <f>IF(B57&gt;[1]Trav!E121,[1]Trav!C121,[1]Trav!B121)</f>
        <v>7.2</v>
      </c>
      <c r="D57"/>
      <c r="E57" s="167"/>
      <c r="F57" s="16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805</v>
      </c>
      <c r="B58" s="172">
        <f>Scénario!M28-Travail!B55</f>
        <v>1.1899999999999995</v>
      </c>
      <c r="C58" s="183">
        <f>IF(B58&gt;[1]Trav!E122,[1]Trav!C122,[1]Trav!B122)</f>
        <v>4.4000000000000004</v>
      </c>
      <c r="E58" s="167"/>
      <c r="F58" s="168">
        <f t="shared" si="32"/>
        <v>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759</v>
      </c>
      <c r="AT58" s="40" t="s">
        <v>806</v>
      </c>
      <c r="AU58" s="14"/>
      <c r="BZ58" s="40" t="s">
        <v>806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807</v>
      </c>
      <c r="B59" s="172">
        <f>Scénario!K32</f>
        <v>10</v>
      </c>
      <c r="C59" s="183">
        <f>[1]Trav!$B$123</f>
        <v>7.2</v>
      </c>
      <c r="E59" s="167"/>
      <c r="F59" s="168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759</v>
      </c>
      <c r="AT59" s="14" t="s">
        <v>808</v>
      </c>
      <c r="AU59" s="30">
        <f>VALUE(CONCATENATE(Scénario!K8,Travail!AU2))</f>
        <v>11</v>
      </c>
      <c r="BZ59" s="14" t="s">
        <v>808</v>
      </c>
      <c r="CA59" s="30">
        <f>VALUE(CONCATENATE(Scénario!K8,Travail!CA2))</f>
        <v>10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808</v>
      </c>
      <c r="DD59" s="30">
        <f>VALUE(CONCATENATE(Scénario!K8,Travail!DD2))</f>
        <v>10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759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221</v>
      </c>
      <c r="BH60" s="168">
        <f>IF(BH15=0,0,IF(BH37=3,0,VALUE(CONCATENATE(Travail!BH26,Travail!BH37,Travail!BH48))))</f>
        <v>221</v>
      </c>
      <c r="BI60" s="168">
        <f>IF(BI15=0,0,IF(BI37=3,0,VALUE(CONCATENATE(Travail!BI26,Travail!BI37,Travail!BI48))))</f>
        <v>221</v>
      </c>
      <c r="BJ60" s="168">
        <f>IF(BJ15=0,0,IF(BJ37=3,0,VALUE(CONCATENATE(Travail!BJ26,Travail!BJ37,Travail!BJ48))))</f>
        <v>221</v>
      </c>
      <c r="BK60" s="168">
        <f>IF(BK15=0,0,IF(BK37=3,0,VALUE(CONCATENATE(Travail!BK26,Travail!BK37,Travail!BK48))))</f>
        <v>221</v>
      </c>
      <c r="BL60" s="168">
        <f>IF(BL15=0,0,IF(BL37=3,0,VALUE(CONCATENATE(Travail!BL26,Travail!BL37,Travail!BL48))))</f>
        <v>221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221</v>
      </c>
      <c r="BS60" s="168">
        <f>IF(BS15=0,0,IF(BS37=3,0,VALUE(CONCATENATE(Travail!BS26,Travail!BS37,Travail!BS48))))</f>
        <v>0</v>
      </c>
      <c r="BU60">
        <v>1</v>
      </c>
      <c r="BV60" t="s">
        <v>810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759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222</v>
      </c>
      <c r="BC61" s="168">
        <f>IF(BC16=0,0,IF(BC38=3,0,VALUE(CONCATENATE(Travail!BC27,Travail!BC38,Travail!BC49))))</f>
        <v>222</v>
      </c>
      <c r="BD61" s="168">
        <f>IF(BD16=0,0,IF(BD38=3,0,VALUE(CONCATENATE(Travail!BD27,Travail!BD38,Travail!BD49))))</f>
        <v>222</v>
      </c>
      <c r="BE61" s="168">
        <f>IF(BE16=0,0,IF(BE38=3,0,VALUE(CONCATENATE(Travail!BE27,Travail!BE38,Travail!BE49))))</f>
        <v>222</v>
      </c>
      <c r="BF61" s="168">
        <f>IF(BF16=0,0,IF(BF38=3,0,VALUE(CONCATENATE(Travail!BF27,Travail!BF38,Travail!BF49))))</f>
        <v>222</v>
      </c>
      <c r="BG61" s="168">
        <f>IF(BG16=0,0,IF(BG38=3,0,VALUE(CONCATENATE(Travail!BG27,Travail!BG38,Travail!BG49))))</f>
        <v>222</v>
      </c>
      <c r="BH61" s="168">
        <f>IF(BH16=0,0,IF(BH38=3,0,VALUE(CONCATENATE(Travail!BH27,Travail!BH38,Travail!BH49))))</f>
        <v>222</v>
      </c>
      <c r="BI61" s="168">
        <f>IF(BI16=0,0,IF(BI38=3,0,VALUE(CONCATENATE(Travail!BI27,Travail!BI38,Travail!BI49))))</f>
        <v>222</v>
      </c>
      <c r="BJ61" s="168">
        <f>IF(BJ16=0,0,IF(BJ38=3,0,VALUE(CONCATENATE(Travail!BJ27,Travail!BJ38,Travail!BJ49))))</f>
        <v>222</v>
      </c>
      <c r="BK61" s="168">
        <f>IF(BK16=0,0,IF(BK38=3,0,VALUE(CONCATENATE(Travail!BK27,Travail!BK38,Travail!BK49))))</f>
        <v>222</v>
      </c>
      <c r="BL61" s="168">
        <f>IF(BL16=0,0,IF(BL38=3,0,VALUE(CONCATENATE(Travail!BL27,Travail!BL38,Travail!BL49))))</f>
        <v>222</v>
      </c>
      <c r="BM61" s="168">
        <f>IF(BM16=0,0,IF(BM38=3,0,VALUE(CONCATENATE(Travail!BM27,Travail!BM38,Travail!BM49))))</f>
        <v>222</v>
      </c>
      <c r="BN61" s="168">
        <f>IF(BN16=0,0,IF(BN38=3,0,VALUE(CONCATENATE(Travail!BN27,Travail!BN38,Travail!BN49))))</f>
        <v>222</v>
      </c>
      <c r="BO61" s="168">
        <f>IF(BO16=0,0,IF(BO38=3,0,VALUE(CONCATENATE(Travail!BO27,Travail!BO38,Travail!BO49))))</f>
        <v>222</v>
      </c>
      <c r="BP61" s="168">
        <f>IF(BP16=0,0,IF(BP38=3,0,VALUE(CONCATENATE(Travail!BP27,Travail!BP38,Travail!BP49))))</f>
        <v>221</v>
      </c>
      <c r="BQ61" s="168">
        <f>IF(BQ16=0,0,IF(BQ38=3,0,VALUE(CONCATENATE(Travail!BQ27,Travail!BQ38,Travail!BQ49))))</f>
        <v>221</v>
      </c>
      <c r="BR61" s="168">
        <f>IF(BR16=0,0,IF(BR38=3,0,VALUE(CONCATENATE(Travail!BR27,Travail!BR38,Travail!BR49))))</f>
        <v>221</v>
      </c>
      <c r="BS61" s="168">
        <f>IF(BS16=0,0,IF(BS38=3,0,VALUE(CONCATENATE(Travail!BS27,Travail!BS38,Travail!BS49))))</f>
        <v>221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759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222</v>
      </c>
      <c r="AW62" s="168">
        <f>IF(AW17=0,0,IF(AW39=3,0,VALUE(CONCATENATE(Travail!AW28,Travail!AW39,Travail!AW50))))</f>
        <v>222</v>
      </c>
      <c r="AX62" s="168">
        <f>IF(AX17=0,0,IF(AX39=3,0,VALUE(CONCATENATE(Travail!AX28,Travail!AX39,Travail!AX50))))</f>
        <v>222</v>
      </c>
      <c r="AY62" s="168">
        <f>IF(AY17=0,0,IF(AY39=3,0,VALUE(CONCATENATE(Travail!AY28,Travail!AY39,Travail!AY50))))</f>
        <v>222</v>
      </c>
      <c r="AZ62" s="168">
        <f>IF(AZ17=0,0,IF(AZ39=3,0,VALUE(CONCATENATE(Travail!AZ28,Travail!AZ39,Travail!AZ50))))</f>
        <v>222</v>
      </c>
      <c r="BA62" s="168">
        <f>IF(BA17=0,0,IF(BA39=3,0,VALUE(CONCATENATE(Travail!BA28,Travail!BA39,Travail!BA50))))</f>
        <v>222</v>
      </c>
      <c r="BB62" s="168">
        <f>IF(BB17=0,0,IF(BB39=3,0,VALUE(CONCATENATE(Travail!BB28,Travail!BB39,Travail!BB50))))</f>
        <v>222</v>
      </c>
      <c r="BC62" s="168">
        <f>IF(BC17=0,0,IF(BC39=3,0,VALUE(CONCATENATE(Travail!BC28,Travail!BC39,Travail!BC50))))</f>
        <v>222</v>
      </c>
      <c r="BD62" s="168">
        <f>IF(BD17=0,0,IF(BD39=3,0,VALUE(CONCATENATE(Travail!BD28,Travail!BD39,Travail!BD50))))</f>
        <v>222</v>
      </c>
      <c r="BE62" s="168">
        <f>IF(BE17=0,0,IF(BE39=3,0,VALUE(CONCATENATE(Travail!BE28,Travail!BE39,Travail!BE50))))</f>
        <v>222</v>
      </c>
      <c r="BF62" s="168">
        <f>IF(BF17=0,0,IF(BF39=3,0,VALUE(CONCATENATE(Travail!BF28,Travail!BF39,Travail!BF50))))</f>
        <v>222</v>
      </c>
      <c r="BG62" s="168">
        <f>IF(BG17=0,0,IF(BG39=3,0,VALUE(CONCATENATE(Travail!BG28,Travail!BG39,Travail!BG50))))</f>
        <v>222</v>
      </c>
      <c r="BH62" s="168">
        <f>IF(BH17=0,0,IF(BH39=3,0,VALUE(CONCATENATE(Travail!BH28,Travail!BH39,Travail!BH50))))</f>
        <v>222</v>
      </c>
      <c r="BI62" s="168">
        <f>IF(BI17=0,0,IF(BI39=3,0,VALUE(CONCATENATE(Travail!BI28,Travail!BI39,Travail!BI50))))</f>
        <v>222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222</v>
      </c>
      <c r="AW63" s="168">
        <f>IF(AW18=0,0,IF(AW40=3,0,VALUE(CONCATENATE(Travail!AW29,Travail!AW40,Travail!AW51))))</f>
        <v>222</v>
      </c>
      <c r="AX63" s="168">
        <f>IF(AX18=0,0,IF(AX40=3,0,VALUE(CONCATENATE(Travail!AX29,Travail!AX40,Travail!AX51))))</f>
        <v>222</v>
      </c>
      <c r="AY63" s="168">
        <f>IF(AY18=0,0,IF(AY40=3,0,VALUE(CONCATENATE(Travail!AY29,Travail!AY40,Travail!AY51))))</f>
        <v>222</v>
      </c>
      <c r="AZ63" s="168">
        <f>IF(AZ18=0,0,IF(AZ40=3,0,VALUE(CONCATENATE(Travail!AZ29,Travail!AZ40,Travail!AZ51))))</f>
        <v>222</v>
      </c>
      <c r="BA63" s="168">
        <f>IF(BA18=0,0,IF(BA40=3,0,VALUE(CONCATENATE(Travail!BA29,Travail!BA40,Travail!BA51))))</f>
        <v>222</v>
      </c>
      <c r="BB63" s="168">
        <f>IF(BB18=0,0,IF(BB40=3,0,VALUE(CONCATENATE(Travail!BB29,Travail!BB40,Travail!BB51))))</f>
        <v>222</v>
      </c>
      <c r="BC63" s="168">
        <f>IF(BC18=0,0,IF(BC40=3,0,VALUE(CONCATENATE(Travail!BC29,Travail!BC40,Travail!BC51))))</f>
        <v>222</v>
      </c>
      <c r="BD63" s="168">
        <f>IF(BD18=0,0,IF(BD40=3,0,VALUE(CONCATENATE(Travail!BD29,Travail!BD40,Travail!BD51))))</f>
        <v>222</v>
      </c>
      <c r="BE63" s="168">
        <f>IF(BE18=0,0,IF(BE40=3,0,VALUE(CONCATENATE(Travail!BE29,Travail!BE40,Travail!BE51))))</f>
        <v>222</v>
      </c>
      <c r="BF63" s="168">
        <f>IF(BF18=0,0,IF(BF40=3,0,VALUE(CONCATENATE(Travail!BF29,Travail!BF40,Travail!BF51))))</f>
        <v>222</v>
      </c>
      <c r="BG63" s="168">
        <f>IF(BG18=0,0,IF(BG40=3,0,VALUE(CONCATENATE(Travail!BG29,Travail!BG40,Travail!BG51))))</f>
        <v>222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220</v>
      </c>
      <c r="BR63" s="168">
        <f>IF(BR18=0,0,IF(BR40=3,0,VALUE(CONCATENATE(Travail!BR29,Travail!BR40,Travail!BR51))))</f>
        <v>222</v>
      </c>
      <c r="BS63" s="168">
        <f>IF(BS18=0,0,IF(BS40=3,0,VALUE(CONCATENATE(Travail!BS29,Travail!BS40,Travail!BS51))))</f>
        <v>222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814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759</v>
      </c>
      <c r="AT70" s="40" t="s">
        <v>819</v>
      </c>
      <c r="BZ70" s="40" t="s">
        <v>819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820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759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22</v>
      </c>
      <c r="BH71" s="168">
        <f t="shared" si="36"/>
        <v>22</v>
      </c>
      <c r="BI71" s="168">
        <f t="shared" si="36"/>
        <v>22</v>
      </c>
      <c r="BJ71" s="168">
        <f t="shared" si="36"/>
        <v>22</v>
      </c>
      <c r="BK71" s="168">
        <f t="shared" si="36"/>
        <v>22</v>
      </c>
      <c r="BL71" s="168">
        <f t="shared" si="36"/>
        <v>22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22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821</v>
      </c>
      <c r="B72" s="5"/>
      <c r="C72" s="5"/>
      <c r="F72" s="168">
        <f t="shared" ref="F72:F73" si="39">ROUND(SUM(G72:AD72),0)</f>
        <v>380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15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15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20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15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15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15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15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15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15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15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15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20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759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22</v>
      </c>
      <c r="BF72" s="168">
        <f t="shared" si="36"/>
        <v>22</v>
      </c>
      <c r="BG72" s="168">
        <f t="shared" si="36"/>
        <v>22</v>
      </c>
      <c r="BH72" s="168">
        <f t="shared" si="36"/>
        <v>22</v>
      </c>
      <c r="BI72" s="168">
        <f t="shared" si="36"/>
        <v>22</v>
      </c>
      <c r="BJ72" s="168">
        <f t="shared" si="36"/>
        <v>22</v>
      </c>
      <c r="BK72" s="168">
        <f t="shared" si="36"/>
        <v>22</v>
      </c>
      <c r="BL72" s="168">
        <f t="shared" si="36"/>
        <v>22</v>
      </c>
      <c r="BM72" s="168">
        <f t="shared" si="36"/>
        <v>22</v>
      </c>
      <c r="BN72" s="168">
        <f t="shared" si="36"/>
        <v>22</v>
      </c>
      <c r="BO72" s="168">
        <f t="shared" si="36"/>
        <v>22</v>
      </c>
      <c r="BP72" s="168">
        <f t="shared" si="36"/>
        <v>22</v>
      </c>
      <c r="BQ72" s="168">
        <f t="shared" si="36"/>
        <v>22</v>
      </c>
      <c r="BR72" s="168">
        <f t="shared" si="36"/>
        <v>22</v>
      </c>
      <c r="BS72" s="168">
        <f t="shared" si="36"/>
        <v>22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759</v>
      </c>
      <c r="AT73" s="182" t="str">
        <f t="shared" si="40"/>
        <v>vides + mammites</v>
      </c>
      <c r="AV73" s="168">
        <f t="shared" si="36"/>
        <v>22</v>
      </c>
      <c r="AW73" s="168">
        <f t="shared" si="36"/>
        <v>22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22</v>
      </c>
      <c r="BH73" s="168">
        <f t="shared" si="36"/>
        <v>22</v>
      </c>
      <c r="BI73" s="168">
        <f t="shared" si="36"/>
        <v>22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759</v>
      </c>
      <c r="AT74" s="182" t="str">
        <f t="shared" si="40"/>
        <v>béliers</v>
      </c>
      <c r="AV74" s="168">
        <f t="shared" si="36"/>
        <v>22</v>
      </c>
      <c r="AW74" s="168">
        <f t="shared" si="36"/>
        <v>22</v>
      </c>
      <c r="AX74" s="168">
        <f t="shared" si="36"/>
        <v>22</v>
      </c>
      <c r="AY74" s="168">
        <f t="shared" si="36"/>
        <v>22</v>
      </c>
      <c r="AZ74" s="168">
        <f t="shared" si="36"/>
        <v>22</v>
      </c>
      <c r="BA74" s="168">
        <f t="shared" si="36"/>
        <v>22</v>
      </c>
      <c r="BB74" s="168">
        <f t="shared" si="36"/>
        <v>22</v>
      </c>
      <c r="BC74" s="168">
        <f t="shared" si="36"/>
        <v>22</v>
      </c>
      <c r="BD74" s="168">
        <f t="shared" si="36"/>
        <v>22</v>
      </c>
      <c r="BE74" s="168">
        <f t="shared" si="36"/>
        <v>22</v>
      </c>
      <c r="BF74" s="168">
        <f t="shared" si="36"/>
        <v>22</v>
      </c>
      <c r="BG74" s="168">
        <f t="shared" si="36"/>
        <v>22</v>
      </c>
      <c r="BH74" s="168">
        <f t="shared" si="36"/>
        <v>23</v>
      </c>
      <c r="BI74" s="168">
        <f t="shared" si="36"/>
        <v>23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22</v>
      </c>
      <c r="BR74" s="168">
        <f t="shared" si="36"/>
        <v>22</v>
      </c>
      <c r="BS74" s="168">
        <f t="shared" si="36"/>
        <v>22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824</v>
      </c>
      <c r="F75" s="191">
        <f>IF(Scénario!K87=0,0,SUM(G75:AD75))</f>
        <v>84</v>
      </c>
      <c r="G75" s="191">
        <f>IF(Protection!C195=0,0,[1]Protect!$B$9*Protection!C195*14)</f>
        <v>3.5</v>
      </c>
      <c r="H75" s="191">
        <f>IF(Protection!D195=0,0,[1]Protect!$B$9*Protection!D195*14)</f>
        <v>3.5</v>
      </c>
      <c r="I75" s="191">
        <f>IF(Protection!E195=0,0,[1]Protect!$B$9*Protection!E195*14)</f>
        <v>3.5</v>
      </c>
      <c r="J75" s="191">
        <f>IF(Protection!F195=0,0,[1]Protect!$B$9*Protection!F195*14)</f>
        <v>3.5</v>
      </c>
      <c r="K75" s="191">
        <f>IF(Protection!G195=0,0,[1]Protect!$B$9*Protection!G195*14)</f>
        <v>3.5</v>
      </c>
      <c r="L75" s="191">
        <f>IF(Protection!H195=0,0,[1]Protect!$B$9*Protection!H195*14)</f>
        <v>3.5</v>
      </c>
      <c r="M75" s="191">
        <f>IF(Protection!I195=0,0,[1]Protect!$B$9*Protection!I195*14)</f>
        <v>3.5</v>
      </c>
      <c r="N75" s="191">
        <f>IF(Protection!J195=0,0,[1]Protect!$B$9*Protection!J195*14)</f>
        <v>3.5</v>
      </c>
      <c r="O75" s="191">
        <f>IF(Protection!K195=0,0,[1]Protect!$B$9*Protection!K195*14)</f>
        <v>3.5</v>
      </c>
      <c r="P75" s="191">
        <f>IF(Protection!L195=0,0,[1]Protect!$B$9*Protection!L195*14)</f>
        <v>3.5</v>
      </c>
      <c r="Q75" s="191">
        <f>IF(Protection!M195=0,0,[1]Protect!$B$9*Protection!M195*14)</f>
        <v>3.5</v>
      </c>
      <c r="R75" s="191">
        <f>IF(Protection!N195=0,0,[1]Protect!$B$9*Protection!N195*14)</f>
        <v>3.5</v>
      </c>
      <c r="S75" s="191">
        <f>IF(Protection!O195=0,0,[1]Protect!$B$9*Protection!O195*14)</f>
        <v>3.5</v>
      </c>
      <c r="T75" s="191">
        <f>IF(Protection!P195=0,0,[1]Protect!$B$9*Protection!P195*14)</f>
        <v>3.5</v>
      </c>
      <c r="U75" s="191">
        <f>IF(Protection!Q195=0,0,[1]Protect!$B$9*Protection!Q195*14)</f>
        <v>3.5</v>
      </c>
      <c r="V75" s="191">
        <f>IF(Protection!R195=0,0,[1]Protect!$B$9*Protection!R195*14)</f>
        <v>3.5</v>
      </c>
      <c r="W75" s="191">
        <f>IF(Protection!S195=0,0,[1]Protect!$B$9*Protection!S195*14)</f>
        <v>3.5</v>
      </c>
      <c r="X75" s="191">
        <f>IF(Protection!T195=0,0,[1]Protect!$B$9*Protection!T195*14)</f>
        <v>3.5</v>
      </c>
      <c r="Y75" s="191">
        <f>IF(Protection!U195=0,0,[1]Protect!$B$9*Protection!U195*14)</f>
        <v>3.5</v>
      </c>
      <c r="Z75" s="191">
        <f>IF(Protection!V195=0,0,[1]Protect!$B$9*Protection!V195*14)</f>
        <v>3.5</v>
      </c>
      <c r="AA75" s="191">
        <f>IF(Protection!W195=0,0,[1]Protect!$B$9*Protection!W195*14)</f>
        <v>3.5</v>
      </c>
      <c r="AB75" s="191">
        <f>IF(Protection!X195=0,0,[1]Protect!$B$9*Protection!X195*14)</f>
        <v>3.5</v>
      </c>
      <c r="AC75" s="191">
        <f>IF(Protection!Y195=0,0,[1]Protect!$B$9*Protection!Y195*14)</f>
        <v>3.5</v>
      </c>
      <c r="AD75" s="19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825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464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18.5</v>
      </c>
      <c r="K77" s="46">
        <f t="shared" si="43"/>
        <v>18.5</v>
      </c>
      <c r="L77" s="46">
        <f t="shared" si="43"/>
        <v>18.5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23.5</v>
      </c>
      <c r="Q77" s="46">
        <f t="shared" si="43"/>
        <v>23.5</v>
      </c>
      <c r="R77" s="46">
        <f t="shared" si="43"/>
        <v>23.5</v>
      </c>
      <c r="S77" s="46">
        <f t="shared" si="43"/>
        <v>18.5</v>
      </c>
      <c r="T77" s="46">
        <f t="shared" si="43"/>
        <v>18.5</v>
      </c>
      <c r="U77" s="46">
        <f t="shared" si="43"/>
        <v>18.5</v>
      </c>
      <c r="V77" s="46">
        <f t="shared" si="43"/>
        <v>18.5</v>
      </c>
      <c r="W77" s="46">
        <f t="shared" si="43"/>
        <v>18.5</v>
      </c>
      <c r="X77" s="46">
        <f t="shared" si="43"/>
        <v>18.5</v>
      </c>
      <c r="Y77" s="46">
        <f t="shared" si="43"/>
        <v>18.5</v>
      </c>
      <c r="Z77" s="46">
        <f t="shared" si="43"/>
        <v>18.5</v>
      </c>
      <c r="AA77" s="46">
        <f t="shared" si="43"/>
        <v>18.5</v>
      </c>
      <c r="AB77" s="46">
        <f t="shared" si="43"/>
        <v>18.5</v>
      </c>
      <c r="AC77" s="46">
        <f t="shared" si="43"/>
        <v>23.5</v>
      </c>
      <c r="AD77" s="46">
        <f t="shared" si="43"/>
        <v>18.5</v>
      </c>
      <c r="AG77" s="5"/>
      <c r="AH77" s="5"/>
      <c r="AI77" s="5"/>
      <c r="AJ77" s="5"/>
      <c r="AK77" s="5"/>
      <c r="AL77" s="5"/>
      <c r="AM77" s="5"/>
      <c r="AN77" s="5"/>
      <c r="AR77" s="181" t="s">
        <v>759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827</v>
      </c>
      <c r="B80" s="166" t="s">
        <v>828</v>
      </c>
      <c r="C80" s="166" t="s">
        <v>829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830</v>
      </c>
      <c r="B81" s="172">
        <f>ROUND(Protection!AJ8/[1]Protect!$B$11,2)</f>
        <v>1.1399999999999999</v>
      </c>
      <c r="C81" s="183">
        <f>[1]Protect!$B$10</f>
        <v>4</v>
      </c>
      <c r="D81" s="167"/>
      <c r="E81" s="167"/>
      <c r="F81" s="168">
        <f>ROUND(C81*B81*8,0)</f>
        <v>36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759</v>
      </c>
      <c r="AT81" s="19" t="s">
        <v>831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2</v>
      </c>
      <c r="AY81" s="168">
        <f t="shared" si="44"/>
        <v>1</v>
      </c>
      <c r="AZ81" s="168">
        <f t="shared" si="44"/>
        <v>1</v>
      </c>
      <c r="BA81" s="168">
        <f t="shared" si="44"/>
        <v>1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1</v>
      </c>
      <c r="BI81" s="168">
        <f t="shared" si="44"/>
        <v>1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0</v>
      </c>
      <c r="BQ81" s="168">
        <f t="shared" si="44"/>
        <v>0</v>
      </c>
      <c r="BR81" s="168">
        <f t="shared" si="44"/>
        <v>0</v>
      </c>
      <c r="BS81" s="168">
        <f t="shared" si="44"/>
        <v>1</v>
      </c>
      <c r="BZ81" s="19" t="s">
        <v>831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832</v>
      </c>
      <c r="C82" t="s">
        <v>833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759</v>
      </c>
      <c r="AT82" s="19" t="s">
        <v>834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834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835</v>
      </c>
      <c r="B83" s="172">
        <f>Protection!AK25/1000</f>
        <v>4.4370000000000003</v>
      </c>
      <c r="C83" s="183">
        <f>[1]Protect!$B$24+[1]Protect!$B$26</f>
        <v>0.33</v>
      </c>
      <c r="D83" s="167"/>
      <c r="E83" s="167"/>
      <c r="F83" s="168">
        <f>ROUND(B83*C83,1)</f>
        <v>1.5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759</v>
      </c>
      <c r="AT83" s="19" t="s">
        <v>836</v>
      </c>
      <c r="AV83" s="168">
        <f>COUNTIF(AV$71:AV$80,22)</f>
        <v>2</v>
      </c>
      <c r="AW83" s="168">
        <f t="shared" ref="AW83:BS83" si="50">COUNTIF(AW$71:AW$80,22)</f>
        <v>2</v>
      </c>
      <c r="AX83" s="168">
        <f t="shared" si="50"/>
        <v>2</v>
      </c>
      <c r="AY83" s="168">
        <f t="shared" si="50"/>
        <v>3</v>
      </c>
      <c r="AZ83" s="168">
        <f t="shared" si="50"/>
        <v>3</v>
      </c>
      <c r="BA83" s="168">
        <f t="shared" si="50"/>
        <v>3</v>
      </c>
      <c r="BB83" s="168">
        <f t="shared" si="50"/>
        <v>4</v>
      </c>
      <c r="BC83" s="168">
        <f t="shared" si="50"/>
        <v>4</v>
      </c>
      <c r="BD83" s="168">
        <f t="shared" si="50"/>
        <v>4</v>
      </c>
      <c r="BE83" s="168">
        <f t="shared" si="50"/>
        <v>4</v>
      </c>
      <c r="BF83" s="168">
        <f t="shared" si="50"/>
        <v>4</v>
      </c>
      <c r="BG83" s="168">
        <f t="shared" si="50"/>
        <v>4</v>
      </c>
      <c r="BH83" s="168">
        <f t="shared" si="50"/>
        <v>3</v>
      </c>
      <c r="BI83" s="168">
        <f t="shared" si="50"/>
        <v>3</v>
      </c>
      <c r="BJ83" s="168">
        <f t="shared" si="50"/>
        <v>2</v>
      </c>
      <c r="BK83" s="168">
        <f t="shared" si="50"/>
        <v>2</v>
      </c>
      <c r="BL83" s="168">
        <f t="shared" si="50"/>
        <v>2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3</v>
      </c>
      <c r="BR83" s="168">
        <f t="shared" si="50"/>
        <v>3</v>
      </c>
      <c r="BS83" s="168">
        <f t="shared" si="50"/>
        <v>2</v>
      </c>
      <c r="BZ83" s="19" t="s">
        <v>836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837</v>
      </c>
      <c r="B84" s="5"/>
      <c r="C84" s="183">
        <f>[1]Protect!$B$25*8</f>
        <v>8</v>
      </c>
      <c r="D84" s="167"/>
      <c r="E84" s="167"/>
      <c r="F84" s="168">
        <f>ROUND(B83*C84/10,1)</f>
        <v>3.5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759</v>
      </c>
      <c r="AT84" s="19" t="s">
        <v>838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759</v>
      </c>
      <c r="AT85" s="40" t="s">
        <v>840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22</v>
      </c>
      <c r="BS85" s="62">
        <f t="shared" si="56"/>
        <v>23</v>
      </c>
      <c r="BZ85" s="40" t="s">
        <v>840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759</v>
      </c>
      <c r="AT86" s="40" t="s">
        <v>842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21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21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21</v>
      </c>
      <c r="BQ86" s="183">
        <f>IF(BQ85=0,0,HLOOKUP(BQ85,[1]Trav!$C$39:$G$59,$AU$105))</f>
        <v>21</v>
      </c>
      <c r="BR86" s="183">
        <f>IF(BR85=0,0,HLOOKUP(BR85,[1]Trav!$C$39:$G$59,$AU$105))</f>
        <v>21</v>
      </c>
      <c r="BS86" s="183">
        <f>IF(BS85=0,0,HLOOKUP(BS85,[1]Trav!$C$39:$G$59,$AU$105))</f>
        <v>42</v>
      </c>
      <c r="BZ86" s="40" t="s">
        <v>842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759</v>
      </c>
      <c r="AT87" s="40" t="s">
        <v>844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846</v>
      </c>
      <c r="B90" s="5" t="s">
        <v>847</v>
      </c>
      <c r="C90" s="5"/>
      <c r="D90" s="5" t="s">
        <v>848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192.96</v>
      </c>
      <c r="AW90" s="168">
        <f t="shared" si="60"/>
        <v>192.96</v>
      </c>
      <c r="AX90" s="168">
        <f t="shared" si="60"/>
        <v>192.96</v>
      </c>
      <c r="AY90" s="168">
        <f t="shared" si="60"/>
        <v>192.96</v>
      </c>
      <c r="AZ90" s="168">
        <f t="shared" si="60"/>
        <v>254.06399999999999</v>
      </c>
      <c r="BA90" s="168">
        <f t="shared" si="60"/>
        <v>252.99199999999999</v>
      </c>
      <c r="BB90" s="168">
        <f t="shared" si="60"/>
        <v>251.92</v>
      </c>
      <c r="BC90" s="168">
        <f t="shared" si="60"/>
        <v>250.84800000000001</v>
      </c>
      <c r="BD90" s="168">
        <f t="shared" si="60"/>
        <v>232.624</v>
      </c>
      <c r="BE90" s="168">
        <f t="shared" si="60"/>
        <v>231.55199999999999</v>
      </c>
      <c r="BF90" s="168">
        <f t="shared" si="60"/>
        <v>230.48</v>
      </c>
      <c r="BG90" s="168">
        <f t="shared" si="60"/>
        <v>228.33600000000001</v>
      </c>
      <c r="BH90" s="168">
        <f t="shared" si="60"/>
        <v>226.19200000000001</v>
      </c>
      <c r="BI90" s="168">
        <f t="shared" si="60"/>
        <v>224.048</v>
      </c>
      <c r="BJ90" s="168">
        <f t="shared" si="60"/>
        <v>226.19200000000001</v>
      </c>
      <c r="BK90" s="168">
        <f t="shared" si="60"/>
        <v>226.19200000000001</v>
      </c>
      <c r="BL90" s="168">
        <f t="shared" si="60"/>
        <v>226.19200000000001</v>
      </c>
      <c r="BM90" s="168">
        <f t="shared" si="60"/>
        <v>209.04</v>
      </c>
      <c r="BN90" s="168">
        <f t="shared" si="60"/>
        <v>209.04</v>
      </c>
      <c r="BO90" s="168">
        <f t="shared" si="60"/>
        <v>209.04</v>
      </c>
      <c r="BP90" s="168">
        <f t="shared" si="60"/>
        <v>209.04</v>
      </c>
      <c r="BQ90" s="168">
        <f t="shared" si="60"/>
        <v>203.68</v>
      </c>
      <c r="BR90" s="168">
        <f t="shared" si="60"/>
        <v>203.68</v>
      </c>
      <c r="BS90" s="168">
        <f t="shared" si="60"/>
        <v>203.68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849</v>
      </c>
      <c r="B91" s="194">
        <f>F5+F9</f>
        <v>2117.4199199999998</v>
      </c>
      <c r="C91" s="5"/>
      <c r="D91" s="195">
        <f>B91/Troupeau!$B$17</f>
        <v>7.900820597014925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64.319999999999993</v>
      </c>
      <c r="AW91" s="168">
        <f t="shared" si="60"/>
        <v>64.319999999999993</v>
      </c>
      <c r="AX91" s="168">
        <f t="shared" si="60"/>
        <v>64.319999999999993</v>
      </c>
      <c r="AY91" s="168">
        <f t="shared" si="60"/>
        <v>64.319999999999993</v>
      </c>
      <c r="AZ91" s="168">
        <f t="shared" si="60"/>
        <v>64.319999999999993</v>
      </c>
      <c r="BA91" s="168">
        <f t="shared" si="60"/>
        <v>64.319999999999993</v>
      </c>
      <c r="BB91" s="168">
        <f t="shared" si="60"/>
        <v>64.319999999999993</v>
      </c>
      <c r="BC91" s="168">
        <f t="shared" si="60"/>
        <v>64.319999999999993</v>
      </c>
      <c r="BD91" s="168">
        <f t="shared" si="60"/>
        <v>64.319999999999993</v>
      </c>
      <c r="BE91" s="168">
        <f t="shared" si="60"/>
        <v>64.319999999999993</v>
      </c>
      <c r="BF91" s="168">
        <f t="shared" si="60"/>
        <v>64.319999999999993</v>
      </c>
      <c r="BG91" s="168">
        <f t="shared" si="60"/>
        <v>64.319999999999993</v>
      </c>
      <c r="BH91" s="168">
        <f t="shared" si="60"/>
        <v>64.319999999999993</v>
      </c>
      <c r="BI91" s="168">
        <f t="shared" si="60"/>
        <v>64.319999999999993</v>
      </c>
      <c r="BJ91" s="168">
        <f t="shared" si="60"/>
        <v>64.319999999999993</v>
      </c>
      <c r="BK91" s="168">
        <f t="shared" si="60"/>
        <v>64.319999999999993</v>
      </c>
      <c r="BL91" s="168">
        <f t="shared" si="60"/>
        <v>64.319999999999993</v>
      </c>
      <c r="BM91" s="168">
        <f t="shared" si="60"/>
        <v>64.319999999999993</v>
      </c>
      <c r="BN91" s="168">
        <f t="shared" si="60"/>
        <v>64.319999999999993</v>
      </c>
      <c r="BO91" s="168">
        <f t="shared" si="60"/>
        <v>64.319999999999993</v>
      </c>
      <c r="BP91" s="168">
        <f t="shared" si="60"/>
        <v>64.319999999999993</v>
      </c>
      <c r="BQ91" s="168">
        <f t="shared" si="60"/>
        <v>64.319999999999993</v>
      </c>
      <c r="BR91" s="168">
        <f t="shared" si="60"/>
        <v>64.319999999999993</v>
      </c>
      <c r="BS91" s="168">
        <f t="shared" si="60"/>
        <v>64.319999999999993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850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10.72</v>
      </c>
      <c r="AW92" s="168">
        <f t="shared" si="60"/>
        <v>10.72</v>
      </c>
      <c r="AX92" s="168">
        <f t="shared" si="60"/>
        <v>10.72</v>
      </c>
      <c r="AY92" s="168">
        <f t="shared" si="60"/>
        <v>10.72</v>
      </c>
      <c r="AZ92" s="168">
        <f t="shared" si="60"/>
        <v>13.936</v>
      </c>
      <c r="BA92" s="168">
        <f t="shared" si="60"/>
        <v>13.936</v>
      </c>
      <c r="BB92" s="168">
        <f t="shared" si="60"/>
        <v>13.936</v>
      </c>
      <c r="BC92" s="168">
        <f t="shared" si="60"/>
        <v>13.936</v>
      </c>
      <c r="BD92" s="168">
        <f t="shared" si="60"/>
        <v>13.936</v>
      </c>
      <c r="BE92" s="168">
        <f t="shared" si="60"/>
        <v>13.936</v>
      </c>
      <c r="BF92" s="168">
        <f t="shared" si="60"/>
        <v>13.936</v>
      </c>
      <c r="BG92" s="168">
        <f t="shared" si="60"/>
        <v>13.936</v>
      </c>
      <c r="BH92" s="168">
        <f t="shared" si="60"/>
        <v>13.936</v>
      </c>
      <c r="BI92" s="168">
        <f t="shared" si="60"/>
        <v>13.936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851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5.36</v>
      </c>
      <c r="AW93" s="168">
        <f t="shared" si="60"/>
        <v>5.36</v>
      </c>
      <c r="AX93" s="168">
        <f t="shared" si="60"/>
        <v>5.36</v>
      </c>
      <c r="AY93" s="168">
        <f t="shared" si="60"/>
        <v>5.36</v>
      </c>
      <c r="AZ93" s="168">
        <f t="shared" si="60"/>
        <v>5.36</v>
      </c>
      <c r="BA93" s="168">
        <f t="shared" si="60"/>
        <v>5.36</v>
      </c>
      <c r="BB93" s="168">
        <f t="shared" si="60"/>
        <v>5.36</v>
      </c>
      <c r="BC93" s="168">
        <f t="shared" si="60"/>
        <v>5.36</v>
      </c>
      <c r="BD93" s="168">
        <f t="shared" si="60"/>
        <v>5.36</v>
      </c>
      <c r="BE93" s="168">
        <f t="shared" si="60"/>
        <v>5.36</v>
      </c>
      <c r="BF93" s="168">
        <f t="shared" si="60"/>
        <v>5.36</v>
      </c>
      <c r="BG93" s="168">
        <f t="shared" si="60"/>
        <v>5.36</v>
      </c>
      <c r="BH93" s="168">
        <f t="shared" si="60"/>
        <v>5.36</v>
      </c>
      <c r="BI93" s="168">
        <f t="shared" si="60"/>
        <v>5.36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5.36</v>
      </c>
      <c r="BR93" s="168">
        <f t="shared" si="60"/>
        <v>5.36</v>
      </c>
      <c r="BS93" s="168">
        <f t="shared" si="60"/>
        <v>5.36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852</v>
      </c>
      <c r="B94" s="196">
        <f>SUM(B91:B93)</f>
        <v>2117.4199199999998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853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854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855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856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857</v>
      </c>
      <c r="B99" s="30">
        <f>F31+F35</f>
        <v>1285.7566666666667</v>
      </c>
      <c r="C99" s="5"/>
      <c r="D99" s="195">
        <f>B99/Troupeau!$B$17</f>
        <v>4.7975995024875617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273.36</v>
      </c>
      <c r="AW99" s="62">
        <f t="shared" ref="AW99:BS99" si="68">SUM(AW90:AW98)</f>
        <v>273.36</v>
      </c>
      <c r="AX99" s="62">
        <f t="shared" si="68"/>
        <v>273.36</v>
      </c>
      <c r="AY99" s="62">
        <f t="shared" si="68"/>
        <v>273.36</v>
      </c>
      <c r="AZ99" s="62">
        <f t="shared" si="68"/>
        <v>337.68</v>
      </c>
      <c r="BA99" s="62">
        <f t="shared" si="68"/>
        <v>336.608</v>
      </c>
      <c r="BB99" s="62">
        <f t="shared" si="68"/>
        <v>335.536</v>
      </c>
      <c r="BC99" s="62">
        <f t="shared" si="68"/>
        <v>334.464</v>
      </c>
      <c r="BD99" s="62">
        <f t="shared" si="68"/>
        <v>316.23999999999995</v>
      </c>
      <c r="BE99" s="62">
        <f t="shared" si="68"/>
        <v>315.16799999999995</v>
      </c>
      <c r="BF99" s="62">
        <f t="shared" si="68"/>
        <v>314.09599999999995</v>
      </c>
      <c r="BG99" s="62">
        <f t="shared" si="68"/>
        <v>311.952</v>
      </c>
      <c r="BH99" s="62">
        <f t="shared" si="68"/>
        <v>309.80799999999999</v>
      </c>
      <c r="BI99" s="62">
        <f t="shared" si="68"/>
        <v>307.66399999999999</v>
      </c>
      <c r="BJ99" s="62">
        <f t="shared" si="68"/>
        <v>290.512</v>
      </c>
      <c r="BK99" s="62">
        <f t="shared" si="68"/>
        <v>290.512</v>
      </c>
      <c r="BL99" s="62">
        <f t="shared" si="68"/>
        <v>290.512</v>
      </c>
      <c r="BM99" s="62">
        <f t="shared" si="68"/>
        <v>273.36</v>
      </c>
      <c r="BN99" s="62">
        <f t="shared" si="68"/>
        <v>273.36</v>
      </c>
      <c r="BO99" s="62">
        <f t="shared" si="68"/>
        <v>273.36</v>
      </c>
      <c r="BP99" s="62">
        <f t="shared" si="68"/>
        <v>273.36</v>
      </c>
      <c r="BQ99" s="62">
        <f t="shared" si="68"/>
        <v>273.36</v>
      </c>
      <c r="BR99" s="62">
        <f t="shared" si="68"/>
        <v>273.36</v>
      </c>
      <c r="BS99" s="62">
        <f t="shared" si="68"/>
        <v>273.36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858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859</v>
      </c>
      <c r="AV100" s="168">
        <f>IF($AT$2="OL",AV99/50,AV99/10)</f>
        <v>5.4672000000000001</v>
      </c>
      <c r="AW100" s="168">
        <f t="shared" ref="AW100:BS100" si="71">IF($AT$2="OL",AW99/50,AW99/10)</f>
        <v>5.4672000000000001</v>
      </c>
      <c r="AX100" s="168">
        <f t="shared" si="71"/>
        <v>5.4672000000000001</v>
      </c>
      <c r="AY100" s="168">
        <f t="shared" si="71"/>
        <v>5.4672000000000001</v>
      </c>
      <c r="AZ100" s="168">
        <f t="shared" si="71"/>
        <v>6.7536000000000005</v>
      </c>
      <c r="BA100" s="168">
        <f t="shared" si="71"/>
        <v>6.7321600000000004</v>
      </c>
      <c r="BB100" s="168">
        <f t="shared" si="71"/>
        <v>6.7107200000000002</v>
      </c>
      <c r="BC100" s="168">
        <f t="shared" si="71"/>
        <v>6.6892800000000001</v>
      </c>
      <c r="BD100" s="168">
        <f t="shared" si="71"/>
        <v>6.3247999999999989</v>
      </c>
      <c r="BE100" s="168">
        <f t="shared" si="71"/>
        <v>6.3033599999999987</v>
      </c>
      <c r="BF100" s="168">
        <f t="shared" si="71"/>
        <v>6.2819199999999986</v>
      </c>
      <c r="BG100" s="168">
        <f t="shared" si="71"/>
        <v>6.2390400000000001</v>
      </c>
      <c r="BH100" s="168">
        <f t="shared" si="71"/>
        <v>6.1961599999999999</v>
      </c>
      <c r="BI100" s="168">
        <f t="shared" si="71"/>
        <v>6.1532799999999996</v>
      </c>
      <c r="BJ100" s="168">
        <f t="shared" si="71"/>
        <v>5.8102400000000003</v>
      </c>
      <c r="BK100" s="168">
        <f t="shared" si="71"/>
        <v>5.8102400000000003</v>
      </c>
      <c r="BL100" s="168">
        <f t="shared" si="71"/>
        <v>5.8102400000000003</v>
      </c>
      <c r="BM100" s="168">
        <f t="shared" si="71"/>
        <v>5.4672000000000001</v>
      </c>
      <c r="BN100" s="168">
        <f t="shared" si="71"/>
        <v>5.4672000000000001</v>
      </c>
      <c r="BO100" s="168">
        <f t="shared" si="71"/>
        <v>5.4672000000000001</v>
      </c>
      <c r="BP100" s="168">
        <f t="shared" si="71"/>
        <v>5.4672000000000001</v>
      </c>
      <c r="BQ100" s="168">
        <f t="shared" si="71"/>
        <v>5.4672000000000001</v>
      </c>
      <c r="BR100" s="168">
        <f t="shared" si="71"/>
        <v>5.4672000000000001</v>
      </c>
      <c r="BS100" s="168">
        <f t="shared" si="71"/>
        <v>5.4672000000000001</v>
      </c>
      <c r="BZ100" s="32" t="s">
        <v>859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860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861</v>
      </c>
      <c r="AV101" s="168">
        <f>IF(AV100&gt;1,AV100-1,0)</f>
        <v>4.4672000000000001</v>
      </c>
      <c r="AW101" s="168">
        <f t="shared" ref="AW101:BS101" si="74">IF(AW100&gt;1,AW100-1,0)</f>
        <v>4.4672000000000001</v>
      </c>
      <c r="AX101" s="168">
        <f t="shared" si="74"/>
        <v>4.4672000000000001</v>
      </c>
      <c r="AY101" s="168">
        <f t="shared" si="74"/>
        <v>4.4672000000000001</v>
      </c>
      <c r="AZ101" s="168">
        <f t="shared" si="74"/>
        <v>5.7536000000000005</v>
      </c>
      <c r="BA101" s="168">
        <f t="shared" si="74"/>
        <v>5.7321600000000004</v>
      </c>
      <c r="BB101" s="168">
        <f t="shared" si="74"/>
        <v>5.7107200000000002</v>
      </c>
      <c r="BC101" s="168">
        <f t="shared" si="74"/>
        <v>5.6892800000000001</v>
      </c>
      <c r="BD101" s="168">
        <f t="shared" si="74"/>
        <v>5.3247999999999989</v>
      </c>
      <c r="BE101" s="168">
        <f t="shared" si="74"/>
        <v>5.3033599999999987</v>
      </c>
      <c r="BF101" s="168">
        <f t="shared" si="74"/>
        <v>5.2819199999999986</v>
      </c>
      <c r="BG101" s="168">
        <f t="shared" si="74"/>
        <v>5.2390400000000001</v>
      </c>
      <c r="BH101" s="168">
        <f t="shared" si="74"/>
        <v>5.1961599999999999</v>
      </c>
      <c r="BI101" s="168">
        <f t="shared" si="74"/>
        <v>5.1532799999999996</v>
      </c>
      <c r="BJ101" s="168">
        <f t="shared" si="74"/>
        <v>4.8102400000000003</v>
      </c>
      <c r="BK101" s="168">
        <f t="shared" si="74"/>
        <v>4.8102400000000003</v>
      </c>
      <c r="BL101" s="168">
        <f t="shared" si="74"/>
        <v>4.8102400000000003</v>
      </c>
      <c r="BM101" s="168">
        <f t="shared" si="74"/>
        <v>4.4672000000000001</v>
      </c>
      <c r="BN101" s="168">
        <f t="shared" si="74"/>
        <v>4.4672000000000001</v>
      </c>
      <c r="BO101" s="168">
        <f t="shared" si="74"/>
        <v>4.4672000000000001</v>
      </c>
      <c r="BP101" s="168">
        <f t="shared" si="74"/>
        <v>4.4672000000000001</v>
      </c>
      <c r="BQ101" s="168">
        <f t="shared" si="74"/>
        <v>4.4672000000000001</v>
      </c>
      <c r="BR101" s="168">
        <f t="shared" si="74"/>
        <v>4.4672000000000001</v>
      </c>
      <c r="BS101" s="168">
        <f t="shared" si="74"/>
        <v>4.4672000000000001</v>
      </c>
      <c r="BZ101" s="32" t="s">
        <v>861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862</v>
      </c>
      <c r="B102" s="46">
        <f>SUM(B99:B101)</f>
        <v>1285.7566666666667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863</v>
      </c>
      <c r="AV102" s="62">
        <f>AV86+AV87*AV101</f>
        <v>49.817599999999999</v>
      </c>
      <c r="AW102" s="62">
        <f t="shared" ref="AW102:BS102" si="77">AW86+AW87*AW101</f>
        <v>49.817599999999999</v>
      </c>
      <c r="AX102" s="62">
        <f t="shared" si="77"/>
        <v>49.817599999999999</v>
      </c>
      <c r="AY102" s="62">
        <f t="shared" si="77"/>
        <v>49.817599999999999</v>
      </c>
      <c r="AZ102" s="62">
        <f t="shared" si="77"/>
        <v>52.068800000000003</v>
      </c>
      <c r="BA102" s="62">
        <f t="shared" si="77"/>
        <v>52.031280000000002</v>
      </c>
      <c r="BB102" s="62">
        <f t="shared" si="77"/>
        <v>30.993760000000002</v>
      </c>
      <c r="BC102" s="62">
        <f t="shared" si="77"/>
        <v>30.956240000000001</v>
      </c>
      <c r="BD102" s="62">
        <f t="shared" si="77"/>
        <v>30.318399999999997</v>
      </c>
      <c r="BE102" s="62">
        <f t="shared" si="77"/>
        <v>30.280879999999996</v>
      </c>
      <c r="BF102" s="62">
        <f t="shared" si="77"/>
        <v>30.243359999999996</v>
      </c>
      <c r="BG102" s="62">
        <f t="shared" si="77"/>
        <v>30.168320000000001</v>
      </c>
      <c r="BH102" s="62">
        <f t="shared" si="77"/>
        <v>51.09328</v>
      </c>
      <c r="BI102" s="62">
        <f t="shared" si="77"/>
        <v>51.018239999999999</v>
      </c>
      <c r="BJ102" s="62">
        <f t="shared" si="77"/>
        <v>29.417920000000002</v>
      </c>
      <c r="BK102" s="62">
        <f t="shared" si="77"/>
        <v>29.417920000000002</v>
      </c>
      <c r="BL102" s="62">
        <f t="shared" si="77"/>
        <v>29.417920000000002</v>
      </c>
      <c r="BM102" s="62">
        <f t="shared" si="77"/>
        <v>28.817599999999999</v>
      </c>
      <c r="BN102" s="62">
        <f t="shared" si="77"/>
        <v>28.817599999999999</v>
      </c>
      <c r="BO102" s="62">
        <f t="shared" si="77"/>
        <v>28.817599999999999</v>
      </c>
      <c r="BP102" s="62">
        <f t="shared" si="77"/>
        <v>28.817599999999999</v>
      </c>
      <c r="BQ102" s="62">
        <f t="shared" si="77"/>
        <v>28.817599999999999</v>
      </c>
      <c r="BR102" s="62">
        <f t="shared" si="77"/>
        <v>28.817599999999999</v>
      </c>
      <c r="BS102" s="62">
        <f t="shared" si="77"/>
        <v>49.817599999999999</v>
      </c>
      <c r="BZ102" s="40" t="s">
        <v>863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864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865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867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868</v>
      </c>
      <c r="AU105" s="17">
        <f>VLOOKUP(AU59,[1]Trav!$B$12:$C$31,2)</f>
        <v>2</v>
      </c>
      <c r="BZ105" s="147" t="s">
        <v>868</v>
      </c>
      <c r="CA105" s="17" t="e">
        <f>VLOOKUP(CA59,[1]Trav!$B$12:$C$31,2)</f>
        <v>#N/A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868</v>
      </c>
      <c r="DD105" s="17" t="e">
        <f>VLOOKUP(DD59,[1]Trav!$B$12:$C$31,2)</f>
        <v>#N/A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869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14</v>
      </c>
      <c r="BH106" s="183">
        <f>IF(BH60&gt;0,HLOOKUP(BH60,[1]Trav!$C$11:$O$31,$AU$105),0)</f>
        <v>14</v>
      </c>
      <c r="BI106" s="183">
        <f>IF(BI60&gt;0,HLOOKUP(BI60,[1]Trav!$C$11:$O$31,$AU$105),0)</f>
        <v>14</v>
      </c>
      <c r="BJ106" s="183">
        <f>IF(BJ60&gt;0,HLOOKUP(BJ60,[1]Trav!$C$11:$O$31,$AU$105),0)</f>
        <v>14</v>
      </c>
      <c r="BK106" s="183">
        <f>IF(BK60&gt;0,HLOOKUP(BK60,[1]Trav!$C$11:$O$31,$AU$105),0)</f>
        <v>14</v>
      </c>
      <c r="BL106" s="183">
        <f>IF(BL60&gt;0,HLOOKUP(BL60,[1]Trav!$C$11:$O$31,$AU$105),0)</f>
        <v>14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14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870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21</v>
      </c>
      <c r="BC107" s="183">
        <f>IF(BC61&gt;0,HLOOKUP(BC61,[1]Trav!$C$11:$O$31,$AU$105),0)</f>
        <v>21</v>
      </c>
      <c r="BD107" s="183">
        <f>IF(BD61&gt;0,HLOOKUP(BD61,[1]Trav!$C$11:$O$31,$AU$105),0)</f>
        <v>21</v>
      </c>
      <c r="BE107" s="183">
        <f>IF(BE61&gt;0,HLOOKUP(BE61,[1]Trav!$C$11:$O$31,$AU$105),0)</f>
        <v>21</v>
      </c>
      <c r="BF107" s="183">
        <f>IF(BF61&gt;0,HLOOKUP(BF61,[1]Trav!$C$11:$O$31,$AU$105),0)</f>
        <v>21</v>
      </c>
      <c r="BG107" s="183">
        <f>IF(BG61&gt;0,HLOOKUP(BG61,[1]Trav!$C$11:$O$31,$AU$105),0)</f>
        <v>21</v>
      </c>
      <c r="BH107" s="183">
        <f>IF(BH61&gt;0,HLOOKUP(BH61,[1]Trav!$C$11:$O$31,$AU$105),0)</f>
        <v>21</v>
      </c>
      <c r="BI107" s="183">
        <f>IF(BI61&gt;0,HLOOKUP(BI61,[1]Trav!$C$11:$O$31,$AU$105),0)</f>
        <v>21</v>
      </c>
      <c r="BJ107" s="183">
        <f>IF(BJ61&gt;0,HLOOKUP(BJ61,[1]Trav!$C$11:$O$31,$AU$105),0)</f>
        <v>21</v>
      </c>
      <c r="BK107" s="183">
        <f>IF(BK61&gt;0,HLOOKUP(BK61,[1]Trav!$C$11:$O$31,$AU$105),0)</f>
        <v>21</v>
      </c>
      <c r="BL107" s="183">
        <f>IF(BL61&gt;0,HLOOKUP(BL61,[1]Trav!$C$11:$O$31,$AU$105),0)</f>
        <v>21</v>
      </c>
      <c r="BM107" s="183">
        <f>IF(BM61&gt;0,HLOOKUP(BM61,[1]Trav!$C$11:$O$31,$AU$105),0)</f>
        <v>21</v>
      </c>
      <c r="BN107" s="183">
        <f>IF(BN61&gt;0,HLOOKUP(BN61,[1]Trav!$C$11:$O$31,$AU$105),0)</f>
        <v>21</v>
      </c>
      <c r="BO107" s="183">
        <f>IF(BO61&gt;0,HLOOKUP(BO61,[1]Trav!$C$11:$O$31,$AU$105),0)</f>
        <v>21</v>
      </c>
      <c r="BP107" s="183">
        <f>IF(BP61&gt;0,HLOOKUP(BP61,[1]Trav!$C$11:$O$31,$AU$105),0)</f>
        <v>14</v>
      </c>
      <c r="BQ107" s="183">
        <f>IF(BQ61&gt;0,HLOOKUP(BQ61,[1]Trav!$C$11:$O$31,$AU$105),0)</f>
        <v>14</v>
      </c>
      <c r="BR107" s="183">
        <f>IF(BR61&gt;0,HLOOKUP(BR61,[1]Trav!$C$11:$O$31,$AU$105),0)</f>
        <v>14</v>
      </c>
      <c r="BS107" s="183">
        <f>IF(BS61&gt;0,HLOOKUP(BS61,[1]Trav!$C$11:$O$31,$AU$105),0)</f>
        <v>14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871</v>
      </c>
      <c r="B108" s="46">
        <f>SUM(F50:F59)</f>
        <v>248</v>
      </c>
      <c r="D108" s="190"/>
      <c r="AT108" s="182" t="str">
        <f t="shared" si="80"/>
        <v>vides + mammites</v>
      </c>
      <c r="AV108" s="183">
        <f>IF(AV62&gt;0,HLOOKUP(AV62,[1]Trav!$C$11:$O$31,$AU$105),0)</f>
        <v>21</v>
      </c>
      <c r="AW108" s="183">
        <f>IF(AW62&gt;0,HLOOKUP(AW62,[1]Trav!$C$11:$O$31,$AU$105),0)</f>
        <v>21</v>
      </c>
      <c r="AX108" s="183">
        <f>IF(AX62&gt;0,HLOOKUP(AX62,[1]Trav!$C$11:$O$31,$AU$105),0)</f>
        <v>21</v>
      </c>
      <c r="AY108" s="183">
        <f>IF(AY62&gt;0,HLOOKUP(AY62,[1]Trav!$C$11:$O$31,$AU$105),0)</f>
        <v>21</v>
      </c>
      <c r="AZ108" s="183">
        <f>IF(AZ62&gt;0,HLOOKUP(AZ62,[1]Trav!$C$11:$O$31,$AU$105),0)</f>
        <v>21</v>
      </c>
      <c r="BA108" s="183">
        <f>IF(BA62&gt;0,HLOOKUP(BA62,[1]Trav!$C$11:$O$31,$AU$105),0)</f>
        <v>21</v>
      </c>
      <c r="BB108" s="183">
        <f>IF(BB62&gt;0,HLOOKUP(BB62,[1]Trav!$C$11:$O$31,$AU$105),0)</f>
        <v>21</v>
      </c>
      <c r="BC108" s="183">
        <f>IF(BC62&gt;0,HLOOKUP(BC62,[1]Trav!$C$11:$O$31,$AU$105),0)</f>
        <v>21</v>
      </c>
      <c r="BD108" s="183">
        <f>IF(BD62&gt;0,HLOOKUP(BD62,[1]Trav!$C$11:$O$31,$AU$105),0)</f>
        <v>21</v>
      </c>
      <c r="BE108" s="183">
        <f>IF(BE62&gt;0,HLOOKUP(BE62,[1]Trav!$C$11:$O$31,$AU$105),0)</f>
        <v>21</v>
      </c>
      <c r="BF108" s="183">
        <f>IF(BF62&gt;0,HLOOKUP(BF62,[1]Trav!$C$11:$O$31,$AU$105),0)</f>
        <v>21</v>
      </c>
      <c r="BG108" s="183">
        <f>IF(BG62&gt;0,HLOOKUP(BG62,[1]Trav!$C$11:$O$31,$AU$105),0)</f>
        <v>21</v>
      </c>
      <c r="BH108" s="183">
        <f>IF(BH62&gt;0,HLOOKUP(BH62,[1]Trav!$C$11:$O$31,$AU$105),0)</f>
        <v>21</v>
      </c>
      <c r="BI108" s="183">
        <f>IF(BI62&gt;0,HLOOKUP(BI62,[1]Trav!$C$11:$O$31,$AU$105),0)</f>
        <v>21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872</v>
      </c>
      <c r="B109" s="30">
        <f>F69+F72</f>
        <v>380</v>
      </c>
      <c r="D109" s="190"/>
      <c r="AT109" s="182" t="str">
        <f t="shared" si="80"/>
        <v>béliers</v>
      </c>
      <c r="AV109" s="183">
        <f>IF(AV63&gt;0,HLOOKUP(AV63,[1]Trav!$C$11:$O$31,$AU$105),0)</f>
        <v>21</v>
      </c>
      <c r="AW109" s="183">
        <f>IF(AW63&gt;0,HLOOKUP(AW63,[1]Trav!$C$11:$O$31,$AU$105),0)</f>
        <v>21</v>
      </c>
      <c r="AX109" s="183">
        <f>IF(AX63&gt;0,HLOOKUP(AX63,[1]Trav!$C$11:$O$31,$AU$105),0)</f>
        <v>21</v>
      </c>
      <c r="AY109" s="183">
        <f>IF(AY63&gt;0,HLOOKUP(AY63,[1]Trav!$C$11:$O$31,$AU$105),0)</f>
        <v>21</v>
      </c>
      <c r="AZ109" s="183">
        <f>IF(AZ63&gt;0,HLOOKUP(AZ63,[1]Trav!$C$11:$O$31,$AU$105),0)</f>
        <v>21</v>
      </c>
      <c r="BA109" s="183">
        <f>IF(BA63&gt;0,HLOOKUP(BA63,[1]Trav!$C$11:$O$31,$AU$105),0)</f>
        <v>21</v>
      </c>
      <c r="BB109" s="183">
        <f>IF(BB63&gt;0,HLOOKUP(BB63,[1]Trav!$C$11:$O$31,$AU$105),0)</f>
        <v>21</v>
      </c>
      <c r="BC109" s="183">
        <f>IF(BC63&gt;0,HLOOKUP(BC63,[1]Trav!$C$11:$O$31,$AU$105),0)</f>
        <v>21</v>
      </c>
      <c r="BD109" s="183">
        <f>IF(BD63&gt;0,HLOOKUP(BD63,[1]Trav!$C$11:$O$31,$AU$105),0)</f>
        <v>21</v>
      </c>
      <c r="BE109" s="183">
        <f>IF(BE63&gt;0,HLOOKUP(BE63,[1]Trav!$C$11:$O$31,$AU$105),0)</f>
        <v>21</v>
      </c>
      <c r="BF109" s="183">
        <f>IF(BF63&gt;0,HLOOKUP(BF63,[1]Trav!$C$11:$O$31,$AU$105),0)</f>
        <v>21</v>
      </c>
      <c r="BG109" s="183">
        <f>IF(BG63&gt;0,HLOOKUP(BG63,[1]Trav!$C$11:$O$31,$AU$105),0)</f>
        <v>21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21</v>
      </c>
      <c r="BS109" s="183">
        <f>IF(BS63&gt;0,HLOOKUP(BS63,[1]Trav!$C$11:$O$31,$AU$105),0)</f>
        <v>21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873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874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875</v>
      </c>
      <c r="B112" s="46">
        <f>SUM(B109:B111)</f>
        <v>380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876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877</v>
      </c>
      <c r="B114" s="30">
        <f>F81</f>
        <v>36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878</v>
      </c>
      <c r="B115" s="30">
        <f>F83+F84</f>
        <v>5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879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880</v>
      </c>
      <c r="AV117" s="168">
        <f>SUM(AV106:AV115)</f>
        <v>42</v>
      </c>
      <c r="AW117" s="168">
        <f t="shared" ref="AW117:BS117" si="83">SUM(AW106:AW115)</f>
        <v>42</v>
      </c>
      <c r="AX117" s="168">
        <f t="shared" si="83"/>
        <v>42</v>
      </c>
      <c r="AY117" s="168">
        <f t="shared" si="83"/>
        <v>56</v>
      </c>
      <c r="AZ117" s="168">
        <f t="shared" si="83"/>
        <v>56</v>
      </c>
      <c r="BA117" s="168">
        <f t="shared" si="83"/>
        <v>56</v>
      </c>
      <c r="BB117" s="168">
        <f t="shared" si="83"/>
        <v>77</v>
      </c>
      <c r="BC117" s="168">
        <f t="shared" si="83"/>
        <v>77</v>
      </c>
      <c r="BD117" s="168">
        <f t="shared" si="83"/>
        <v>77</v>
      </c>
      <c r="BE117" s="168">
        <f t="shared" si="83"/>
        <v>77</v>
      </c>
      <c r="BF117" s="168">
        <f t="shared" si="83"/>
        <v>77</v>
      </c>
      <c r="BG117" s="168">
        <f t="shared" si="83"/>
        <v>77</v>
      </c>
      <c r="BH117" s="168">
        <f t="shared" si="83"/>
        <v>56</v>
      </c>
      <c r="BI117" s="168">
        <f t="shared" si="83"/>
        <v>56</v>
      </c>
      <c r="BJ117" s="168">
        <f t="shared" si="83"/>
        <v>35</v>
      </c>
      <c r="BK117" s="168">
        <f t="shared" si="83"/>
        <v>35</v>
      </c>
      <c r="BL117" s="168">
        <f t="shared" si="83"/>
        <v>35</v>
      </c>
      <c r="BM117" s="168">
        <f t="shared" si="83"/>
        <v>35</v>
      </c>
      <c r="BN117" s="168">
        <f t="shared" si="83"/>
        <v>35</v>
      </c>
      <c r="BO117" s="168">
        <f t="shared" si="83"/>
        <v>35</v>
      </c>
      <c r="BP117" s="168">
        <f t="shared" si="83"/>
        <v>28</v>
      </c>
      <c r="BQ117" s="168">
        <f t="shared" si="83"/>
        <v>28</v>
      </c>
      <c r="BR117" s="168">
        <f t="shared" si="83"/>
        <v>49</v>
      </c>
      <c r="BS117" s="168">
        <f t="shared" si="83"/>
        <v>35</v>
      </c>
      <c r="CA117" s="40" t="s">
        <v>880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880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881</v>
      </c>
      <c r="B118" s="194">
        <f>B91+B95+B99+B103</f>
        <v>3403.1765866666665</v>
      </c>
      <c r="D118" s="195">
        <f>B118/Troupeau!$B$17</f>
        <v>12.698420099502487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882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883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884</v>
      </c>
      <c r="B122" s="194">
        <f>SUM(B118:B120)</f>
        <v>3403.1765866666665</v>
      </c>
    </row>
    <row r="123" spans="1:132" x14ac:dyDescent="0.25">
      <c r="A123" s="2" t="s">
        <v>871</v>
      </c>
      <c r="B123" s="30">
        <f>B108</f>
        <v>248</v>
      </c>
    </row>
    <row r="124" spans="1:132" x14ac:dyDescent="0.25">
      <c r="A124" s="2" t="s">
        <v>885</v>
      </c>
      <c r="B124" s="30">
        <f>B107</f>
        <v>440</v>
      </c>
    </row>
    <row r="125" spans="1:132" x14ac:dyDescent="0.25">
      <c r="A125" s="2" t="s">
        <v>886</v>
      </c>
      <c r="B125" s="30">
        <f>B112+B113</f>
        <v>380</v>
      </c>
    </row>
    <row r="126" spans="1:132" x14ac:dyDescent="0.25">
      <c r="A126" s="2" t="s">
        <v>887</v>
      </c>
      <c r="B126" s="30">
        <f>B114+B115+B116</f>
        <v>41</v>
      </c>
    </row>
    <row r="128" spans="1:132" x14ac:dyDescent="0.25">
      <c r="A128" s="2" t="s">
        <v>888</v>
      </c>
      <c r="B128" s="194">
        <f>SUM(B122:B126)</f>
        <v>4512.1765866666665</v>
      </c>
    </row>
    <row r="129" spans="1:2" x14ac:dyDescent="0.25">
      <c r="A129" s="2" t="s">
        <v>889</v>
      </c>
      <c r="B129" s="30">
        <f>IF(Scénario!K129=1,Travail!F77+Travail!F86,F86)</f>
        <v>464</v>
      </c>
    </row>
    <row r="130" spans="1:2" x14ac:dyDescent="0.25">
      <c r="A130" s="2" t="s">
        <v>890</v>
      </c>
      <c r="B130" s="194">
        <f>ROUND((B128-B129)/(Scénario!K4+Scénario!K6),0)</f>
        <v>4048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P233" zoomScale="90" zoomScaleNormal="90" workbookViewId="0">
      <selection activeCell="T246" sqref="T24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892</v>
      </c>
      <c r="R2" s="23" t="s">
        <v>893</v>
      </c>
      <c r="S2" s="23"/>
      <c r="T2" t="s">
        <v>894</v>
      </c>
    </row>
    <row r="3" spans="1:59" ht="18.75" x14ac:dyDescent="0.3">
      <c r="A3" s="200"/>
      <c r="B3" s="33" t="s">
        <v>895</v>
      </c>
      <c r="C3" s="33" t="s">
        <v>896</v>
      </c>
      <c r="D3" s="33" t="s">
        <v>897</v>
      </c>
      <c r="E3" s="166"/>
      <c r="F3" s="33" t="s">
        <v>898</v>
      </c>
      <c r="G3" s="33" t="s">
        <v>899</v>
      </c>
      <c r="H3" s="33" t="s">
        <v>900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901</v>
      </c>
      <c r="U4" s="14"/>
      <c r="V4" s="14"/>
      <c r="W4" s="14"/>
      <c r="AB4" s="2" t="s">
        <v>902</v>
      </c>
    </row>
    <row r="5" spans="1:59" x14ac:dyDescent="0.25">
      <c r="A5" t="s">
        <v>903</v>
      </c>
      <c r="B5" s="168">
        <f>T6-(T5/100*T6)</f>
        <v>50128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53336</v>
      </c>
      <c r="K5" s="168">
        <f>ROUND(B5*F5/1000,0)</f>
        <v>53336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904</v>
      </c>
      <c r="T5" s="30">
        <f>Scénario!K16</f>
        <v>0</v>
      </c>
      <c r="U5" s="14"/>
      <c r="V5" s="14"/>
      <c r="X5" s="14" t="s">
        <v>905</v>
      </c>
      <c r="Y5" s="30">
        <f>IF(Scénario!K17=1,[1]Eco!$B$51,[1]Eco!$B$52)</f>
        <v>1064</v>
      </c>
      <c r="AB5" t="s">
        <v>906</v>
      </c>
      <c r="AC5" t="s">
        <v>17</v>
      </c>
      <c r="AD5" t="s">
        <v>280</v>
      </c>
      <c r="AF5" s="166" t="s">
        <v>907</v>
      </c>
      <c r="AG5" s="166" t="s">
        <v>908</v>
      </c>
      <c r="AH5" s="166" t="s">
        <v>909</v>
      </c>
      <c r="AI5" s="166" t="s">
        <v>910</v>
      </c>
      <c r="AJ5" s="166" t="s">
        <v>911</v>
      </c>
    </row>
    <row r="6" spans="1:59" x14ac:dyDescent="0.25">
      <c r="A6" t="s">
        <v>912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913</v>
      </c>
      <c r="T6" s="30">
        <f>Troupeau!B35</f>
        <v>50128</v>
      </c>
      <c r="U6" s="14"/>
      <c r="V6" s="14"/>
      <c r="X6" s="14" t="s">
        <v>914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915</v>
      </c>
      <c r="B9" s="168">
        <f>Troupeau!B43</f>
        <v>168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6544</v>
      </c>
      <c r="K9" s="168">
        <f>ROUND(B9*F9,0)</f>
        <v>6544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916</v>
      </c>
      <c r="T9" s="36" t="s">
        <v>901</v>
      </c>
      <c r="U9" s="166" t="s">
        <v>917</v>
      </c>
      <c r="V9" s="36" t="s">
        <v>918</v>
      </c>
      <c r="W9" s="166" t="s">
        <v>919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920</v>
      </c>
      <c r="B10" s="168">
        <f>Troupeau!B39</f>
        <v>104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4051</v>
      </c>
      <c r="K10" s="168">
        <f t="shared" ref="K10:K16" si="7">ROUND(B10*F10,0)</f>
        <v>4051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923</v>
      </c>
      <c r="T11" s="168">
        <f>Troupeau!B37</f>
        <v>51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926</v>
      </c>
      <c r="B13" s="168">
        <f>T11-B14</f>
        <v>51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1352</v>
      </c>
      <c r="K13" s="168">
        <f t="shared" si="7"/>
        <v>1352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929</v>
      </c>
      <c r="S15" s="32" t="s">
        <v>930</v>
      </c>
      <c r="T15" s="5" t="s">
        <v>931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907</v>
      </c>
      <c r="R16" s="30">
        <f>'Alim -Surf'!K13</f>
        <v>-36.400000000000006</v>
      </c>
      <c r="S16" s="5">
        <f>IF(R16&gt;0,R16,0)</f>
        <v>0</v>
      </c>
      <c r="T16" s="5">
        <f>IF(R16&lt;0,-R16,0)</f>
        <v>36.400000000000006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933</v>
      </c>
      <c r="R17" s="30">
        <f>'Alim -Surf'!K14</f>
        <v>-8.1</v>
      </c>
      <c r="S17" s="5">
        <f>IF(R17&gt;0,R17,0)</f>
        <v>0</v>
      </c>
      <c r="T17" s="5">
        <f t="shared" ref="T17:T18" si="12">IF(R17&lt;0,-R17,0)</f>
        <v>8.1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929</v>
      </c>
      <c r="AE17" s="168" t="s">
        <v>934</v>
      </c>
      <c r="AF17" s="168" t="s">
        <v>935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936</v>
      </c>
      <c r="B18" s="166"/>
      <c r="C18" s="36" t="s">
        <v>937</v>
      </c>
      <c r="D18" s="33" t="s">
        <v>938</v>
      </c>
      <c r="E18" s="167"/>
      <c r="F18" s="36" t="s">
        <v>939</v>
      </c>
      <c r="G18" s="36" t="s">
        <v>940</v>
      </c>
      <c r="H18" s="167"/>
      <c r="I18" s="167"/>
      <c r="J18" s="5"/>
      <c r="K18" s="5"/>
      <c r="L18" s="5"/>
      <c r="M18" s="5"/>
      <c r="N18" s="5"/>
      <c r="P18" s="5"/>
      <c r="Q18" s="5" t="s">
        <v>941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907</v>
      </c>
      <c r="AC18" s="168">
        <f>SUM(AF6:AF15)</f>
        <v>0</v>
      </c>
      <c r="AD18" s="168">
        <f>'Alim -Surf'!K13</f>
        <v>-36.400000000000006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942</v>
      </c>
      <c r="AC19" s="168">
        <f>SUM(AG6:AI15)</f>
        <v>0</v>
      </c>
      <c r="AD19" s="168">
        <f>'Alim -Surf'!K14</f>
        <v>-8.1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944</v>
      </c>
      <c r="AA22"/>
      <c r="AB22"/>
      <c r="AC22"/>
      <c r="AD22"/>
      <c r="AE22" t="s">
        <v>945</v>
      </c>
      <c r="AF22"/>
      <c r="AG22"/>
      <c r="AH22"/>
      <c r="AI22" t="s">
        <v>946</v>
      </c>
      <c r="AJ22"/>
      <c r="AK22"/>
      <c r="AM22"/>
      <c r="AN22" t="s">
        <v>947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949</v>
      </c>
      <c r="S24" s="18"/>
      <c r="T24" s="5" t="s">
        <v>950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951</v>
      </c>
      <c r="X26" t="s">
        <v>952</v>
      </c>
      <c r="AA26" s="166" t="s">
        <v>953</v>
      </c>
      <c r="AB26" s="166" t="s">
        <v>954</v>
      </c>
      <c r="AC26" s="166" t="s">
        <v>704</v>
      </c>
      <c r="AD26" s="5"/>
      <c r="AE26" s="166" t="s">
        <v>953</v>
      </c>
      <c r="AF26" s="166" t="s">
        <v>955</v>
      </c>
      <c r="AG26" s="166" t="s">
        <v>704</v>
      </c>
      <c r="AI26" s="166" t="s">
        <v>953</v>
      </c>
      <c r="AJ26" s="166" t="s">
        <v>956</v>
      </c>
      <c r="AK26" s="166" t="s">
        <v>704</v>
      </c>
      <c r="AL26" s="167"/>
      <c r="AN26" s="166" t="s">
        <v>953</v>
      </c>
      <c r="AO26" s="166" t="s">
        <v>957</v>
      </c>
      <c r="AP26" s="166" t="s">
        <v>704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901</v>
      </c>
      <c r="S27" s="166" t="s">
        <v>917</v>
      </c>
      <c r="T27" s="166" t="s">
        <v>918</v>
      </c>
      <c r="U27" s="166" t="s">
        <v>919</v>
      </c>
      <c r="V27" s="166" t="s">
        <v>13</v>
      </c>
      <c r="X27" s="15" t="s">
        <v>958</v>
      </c>
      <c r="Z27" s="206" t="s">
        <v>959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960</v>
      </c>
      <c r="AE27" s="183">
        <f>[1]Eco!$F$9</f>
        <v>24.3</v>
      </c>
      <c r="AF27" s="207">
        <f>IF(X30&gt;500,500,X30)</f>
        <v>268</v>
      </c>
      <c r="AG27" s="207">
        <f>AE27*AF27</f>
        <v>6512.4000000000005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962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963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964</v>
      </c>
      <c r="AK28" s="62">
        <f>AK27*T25</f>
        <v>0</v>
      </c>
      <c r="AL28" s="36"/>
      <c r="AM28" s="14" t="s">
        <v>965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967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964</v>
      </c>
      <c r="AG29" s="62">
        <f>SUM(AG27:AG28)*T25</f>
        <v>6512.4000000000005</v>
      </c>
      <c r="AO29" s="40" t="s">
        <v>964</v>
      </c>
      <c r="AP29" s="62">
        <f>IF(Scénario!K10=1,'Calcul éco'!AP27,'Calcul éco'!AP28)*T25</f>
        <v>0</v>
      </c>
    </row>
    <row r="30" spans="1:143" x14ac:dyDescent="0.25">
      <c r="A30" s="15" t="s">
        <v>968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268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268</v>
      </c>
      <c r="W30" s="14" t="s">
        <v>969</v>
      </c>
      <c r="X30" s="168">
        <f>(V30+V31)/$T$25</f>
        <v>268</v>
      </c>
      <c r="AB30" s="40" t="s">
        <v>964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970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971</v>
      </c>
      <c r="AH31" s="209"/>
      <c r="AI31" s="209"/>
      <c r="AJ31" s="209" t="s">
        <v>972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973</v>
      </c>
      <c r="Q32" s="14" t="s">
        <v>974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974</v>
      </c>
      <c r="X32" s="168">
        <f>V32/T25</f>
        <v>0</v>
      </c>
      <c r="AE32" s="208"/>
      <c r="AF32" s="208"/>
      <c r="AG32" s="208" t="s">
        <v>975</v>
      </c>
      <c r="AH32" s="208" t="s">
        <v>976</v>
      </c>
      <c r="AI32" s="208" t="s">
        <v>171</v>
      </c>
      <c r="AJ32" s="208" t="s">
        <v>977</v>
      </c>
      <c r="AL32"/>
    </row>
    <row r="33" spans="1:143" x14ac:dyDescent="0.25">
      <c r="A33" s="2" t="s">
        <v>978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979</v>
      </c>
      <c r="J34" s="168">
        <f>AC30</f>
        <v>0</v>
      </c>
      <c r="K34" s="168"/>
      <c r="L34" s="168"/>
      <c r="M34" s="168"/>
      <c r="N34" s="168"/>
      <c r="O34" s="203"/>
      <c r="Q34" s="197" t="s">
        <v>980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981</v>
      </c>
      <c r="J35" s="168">
        <f>AP29</f>
        <v>0</v>
      </c>
      <c r="K35" s="168"/>
      <c r="L35" s="168"/>
      <c r="M35" s="168"/>
      <c r="N35" s="168"/>
      <c r="O35" s="203"/>
      <c r="X35" s="2" t="s">
        <v>982</v>
      </c>
      <c r="Y35" s="14" t="s">
        <v>983</v>
      </c>
      <c r="Z35" s="62" t="str">
        <f>Scénario!K9</f>
        <v>M1</v>
      </c>
      <c r="AE35" s="208"/>
      <c r="AF35" s="208" t="s">
        <v>487</v>
      </c>
      <c r="AG35" s="208">
        <f t="shared" si="18"/>
        <v>268</v>
      </c>
      <c r="AH35" s="208"/>
      <c r="AI35" s="208">
        <f>AG35*0.15</f>
        <v>40.199999999999996</v>
      </c>
      <c r="AJ35" s="208"/>
      <c r="AL35"/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M1O</v>
      </c>
      <c r="AA36" s="5"/>
      <c r="AB36" s="14" t="s">
        <v>986</v>
      </c>
      <c r="AC36" s="183">
        <f>VLOOKUP(Z36,[1]Eco!$A$36:$B$45,2)</f>
        <v>258</v>
      </c>
      <c r="AD36" s="5"/>
      <c r="AE36" s="208"/>
      <c r="AF36" s="210" t="s">
        <v>987</v>
      </c>
      <c r="AG36" s="208"/>
      <c r="AH36" s="208"/>
      <c r="AI36" s="208">
        <f>SUM(AI33:AI35)</f>
        <v>40.199999999999996</v>
      </c>
      <c r="AJ36" s="210">
        <f>ROUND(AI36/V46,2)</f>
        <v>1.65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68">
        <f>AG29</f>
        <v>6512.4000000000005</v>
      </c>
      <c r="K37" s="168"/>
      <c r="L37" s="168"/>
      <c r="M37" s="168"/>
      <c r="N37" s="168"/>
      <c r="O37" s="203"/>
      <c r="S37" s="40" t="s">
        <v>989</v>
      </c>
      <c r="T37" t="s">
        <v>990</v>
      </c>
      <c r="U37" t="s">
        <v>991</v>
      </c>
      <c r="V37" t="s">
        <v>992</v>
      </c>
      <c r="X37" s="167"/>
      <c r="AB37" s="166" t="s">
        <v>993</v>
      </c>
      <c r="AC37" s="166" t="s">
        <v>953</v>
      </c>
      <c r="AD37" s="166" t="s">
        <v>704</v>
      </c>
      <c r="AE37" s="211" t="s">
        <v>994</v>
      </c>
      <c r="AF37" s="208"/>
      <c r="AG37" s="208"/>
      <c r="AH37" s="208"/>
      <c r="AI37" s="208"/>
      <c r="AJ37" s="209" t="s">
        <v>995</v>
      </c>
      <c r="AL37"/>
    </row>
    <row r="38" spans="1:143" x14ac:dyDescent="0.25">
      <c r="A38" t="s">
        <v>996</v>
      </c>
      <c r="J38" s="168">
        <f>AK28</f>
        <v>0</v>
      </c>
      <c r="K38" s="168"/>
      <c r="L38" s="168"/>
      <c r="M38" s="168"/>
      <c r="N38" s="168"/>
      <c r="O38" s="203"/>
      <c r="S38" s="14" t="s">
        <v>997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998</v>
      </c>
      <c r="Z38" s="30">
        <f>V46</f>
        <v>24.4</v>
      </c>
      <c r="AA38" s="14" t="s">
        <v>999</v>
      </c>
      <c r="AB38" s="168">
        <f>IF(Z39&gt;25, 25,Z39)</f>
        <v>24.4</v>
      </c>
      <c r="AC38" s="168">
        <f>AC40+AC36</f>
        <v>328</v>
      </c>
      <c r="AD38" s="168">
        <f>AB38*AC38</f>
        <v>8003.2</v>
      </c>
      <c r="AE38" s="210">
        <f>IF($AJ$40=0,AB38*$AC$40,AD38*$AJ$40/100)</f>
        <v>8003.2</v>
      </c>
      <c r="AF38" s="208"/>
      <c r="AG38" s="208"/>
      <c r="AH38" s="208"/>
      <c r="AI38" s="212" t="s">
        <v>1000</v>
      </c>
      <c r="AJ38" s="210">
        <f>VLOOKUP(Z35,[1]Eco!$I$37:$K$41,2)</f>
        <v>1.7</v>
      </c>
      <c r="AL38"/>
    </row>
    <row r="39" spans="1:143" x14ac:dyDescent="0.25">
      <c r="A39" t="s">
        <v>1001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12.9</v>
      </c>
      <c r="U39" s="168">
        <f>[1]Eco!$B$20/100</f>
        <v>1</v>
      </c>
      <c r="V39" s="168">
        <f t="shared" ref="V39:V41" si="20">T39*U39</f>
        <v>12.9</v>
      </c>
      <c r="Y39" s="14" t="s">
        <v>1002</v>
      </c>
      <c r="Z39" s="30">
        <f>Z38/T25</f>
        <v>24.4</v>
      </c>
      <c r="AA39" s="14" t="s">
        <v>1003</v>
      </c>
      <c r="AB39" s="168">
        <f>IF(Z39&gt;50,25,IF(Z39&gt;25,Z39-25,0))</f>
        <v>0</v>
      </c>
      <c r="AC39" s="168">
        <f>AC40+0.66*AC36</f>
        <v>240.28</v>
      </c>
      <c r="AD39" s="168">
        <f t="shared" ref="AD39:AD40" si="21">AB39*AC39</f>
        <v>0</v>
      </c>
      <c r="AE39" s="210">
        <f>IF($AJ$40=0,AB39*$AC$40,AD39*$AJ$40/100)</f>
        <v>0</v>
      </c>
      <c r="AF39" s="208"/>
      <c r="AG39" s="208"/>
      <c r="AH39" s="208"/>
      <c r="AI39" s="212" t="s">
        <v>1004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5.5</v>
      </c>
      <c r="U40" s="168">
        <f>[1]Eco!$B$21/100</f>
        <v>1</v>
      </c>
      <c r="V40" s="168">
        <f t="shared" si="20"/>
        <v>5.5</v>
      </c>
      <c r="AA40" s="14" t="s">
        <v>1005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1006</v>
      </c>
      <c r="AJ40" s="210">
        <f>IF(AJ36&lt;=AJ38,100,IF(AJ36&lt;=AJ39,90,0))</f>
        <v>100</v>
      </c>
      <c r="AL40"/>
    </row>
    <row r="41" spans="1:143" x14ac:dyDescent="0.25">
      <c r="A41" s="23" t="s">
        <v>1007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10</v>
      </c>
      <c r="U41" s="168">
        <f>[1]Eco!$B$22/100</f>
        <v>0.6</v>
      </c>
      <c r="V41" s="168">
        <f t="shared" si="20"/>
        <v>6</v>
      </c>
      <c r="AC41" s="40" t="s">
        <v>964</v>
      </c>
      <c r="AD41" s="62">
        <f>SUM(AD38:AD40)*T25</f>
        <v>8003.2</v>
      </c>
      <c r="AE41" s="214">
        <f>ROUND(SUM(AE38:AE40)*T25,0)</f>
        <v>8003</v>
      </c>
      <c r="AF41" s="208"/>
      <c r="AG41" s="208"/>
      <c r="AH41" s="208"/>
      <c r="AI41" s="208"/>
      <c r="AJ41" s="208"/>
      <c r="AL41"/>
    </row>
    <row r="42" spans="1:143" x14ac:dyDescent="0.25">
      <c r="A42" t="s">
        <v>1008</v>
      </c>
      <c r="B42" s="30">
        <f>V46</f>
        <v>24.4</v>
      </c>
      <c r="C42" s="213">
        <f>[1]Eco!$B$24</f>
        <v>97</v>
      </c>
      <c r="J42" s="168">
        <f>B42*C42</f>
        <v>2366.7999999999997</v>
      </c>
      <c r="K42" s="168"/>
      <c r="L42" s="168"/>
      <c r="M42" s="168"/>
      <c r="N42" s="168"/>
      <c r="O42" s="203"/>
      <c r="R42" s="215"/>
      <c r="S42" s="204" t="s">
        <v>1009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1010</v>
      </c>
      <c r="AG42" s="216" t="s">
        <v>1011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1012</v>
      </c>
      <c r="B43" s="30">
        <f>IF(Z39&gt;52,52,Z39)*T25</f>
        <v>24.4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1195.5999999999999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1013</v>
      </c>
      <c r="B44" s="30">
        <f>B42</f>
        <v>24.4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1634.8</v>
      </c>
      <c r="K44" s="168"/>
      <c r="L44" s="168"/>
      <c r="M44" s="168"/>
      <c r="N44" s="168"/>
      <c r="O44" s="203"/>
      <c r="U44" s="40" t="s">
        <v>1014</v>
      </c>
      <c r="V44" s="62">
        <f>SUM(V38:V41)-T42</f>
        <v>24.4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1015</v>
      </c>
      <c r="J45" s="210">
        <f>IF(Scénario!K9=0,0,AE41)</f>
        <v>8003</v>
      </c>
      <c r="K45" s="168"/>
      <c r="L45" s="168"/>
      <c r="M45" s="168"/>
      <c r="N45" s="168"/>
      <c r="O45" s="203"/>
      <c r="U45" s="14" t="s">
        <v>1016</v>
      </c>
      <c r="V45" s="168">
        <f>S55</f>
        <v>0</v>
      </c>
      <c r="X45" s="216" t="s">
        <v>1017</v>
      </c>
      <c r="Y45" s="216"/>
      <c r="Z45" s="216"/>
      <c r="AA45" s="216"/>
      <c r="AB45" s="216"/>
      <c r="AC45" s="216"/>
      <c r="AD45" s="216"/>
      <c r="AE45" s="216"/>
      <c r="AF45" s="218" t="s">
        <v>553</v>
      </c>
      <c r="AG45" s="216"/>
      <c r="AH45" s="216" t="s">
        <v>1018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567</v>
      </c>
      <c r="BH45" s="216"/>
      <c r="BI45" s="216" t="s">
        <v>1018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574</v>
      </c>
      <c r="CJ45" s="218"/>
      <c r="CK45" s="218" t="s">
        <v>1018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1019</v>
      </c>
      <c r="DL45" s="218"/>
      <c r="DM45" s="218" t="s">
        <v>1018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1020</v>
      </c>
      <c r="B46"/>
      <c r="C46"/>
      <c r="D46"/>
      <c r="E46"/>
      <c r="F46"/>
      <c r="G46"/>
      <c r="H46"/>
      <c r="I46"/>
      <c r="J46" s="168">
        <f>V263</f>
        <v>7234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1021</v>
      </c>
      <c r="V46" s="62">
        <f>V44+V45</f>
        <v>24.4</v>
      </c>
      <c r="W46"/>
      <c r="X46" s="216"/>
      <c r="Y46" s="220" t="s">
        <v>901</v>
      </c>
      <c r="Z46" s="220" t="s">
        <v>917</v>
      </c>
      <c r="AA46" s="220" t="s">
        <v>918</v>
      </c>
      <c r="AB46" s="220" t="s">
        <v>919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1022</v>
      </c>
      <c r="AG47" s="216" t="str">
        <f>CdTrp1!A39</f>
        <v>laitiéres</v>
      </c>
      <c r="AH47" s="220">
        <f>CdTrp1!B39</f>
        <v>27.014400000000002</v>
      </c>
      <c r="AI47" s="220">
        <f>CdTrp1!C39</f>
        <v>27.014400000000002</v>
      </c>
      <c r="AJ47" s="220">
        <f>CdTrp1!D39</f>
        <v>27.014400000000002</v>
      </c>
      <c r="AK47" s="220">
        <f>CdTrp1!E39</f>
        <v>27.014400000000002</v>
      </c>
      <c r="AL47" s="220">
        <f>CdTrp1!F39</f>
        <v>35.568960000000004</v>
      </c>
      <c r="AM47" s="220">
        <f>CdTrp1!G39</f>
        <v>35.418880000000001</v>
      </c>
      <c r="AN47" s="220">
        <f>CdTrp1!H39</f>
        <v>35.268799999999999</v>
      </c>
      <c r="AO47" s="220">
        <f>CdTrp1!I39</f>
        <v>35.118720000000003</v>
      </c>
      <c r="AP47" s="220">
        <f>CdTrp1!J39</f>
        <v>32.567360000000001</v>
      </c>
      <c r="AQ47" s="220">
        <f>CdTrp1!K39</f>
        <v>32.417280000000005</v>
      </c>
      <c r="AR47" s="220">
        <f>CdTrp1!L39</f>
        <v>32.267200000000003</v>
      </c>
      <c r="AS47" s="220">
        <f>CdTrp1!M39</f>
        <v>31.967040000000004</v>
      </c>
      <c r="AT47" s="220">
        <f>CdTrp1!N39</f>
        <v>31.666880000000003</v>
      </c>
      <c r="AU47" s="220">
        <f>CdTrp1!O39</f>
        <v>31.366720000000004</v>
      </c>
      <c r="AV47" s="220">
        <f>CdTrp1!P39</f>
        <v>31.666880000000003</v>
      </c>
      <c r="AW47" s="220">
        <f>CdTrp1!Q39</f>
        <v>31.666880000000003</v>
      </c>
      <c r="AX47" s="220">
        <f>CdTrp1!R39</f>
        <v>31.666880000000003</v>
      </c>
      <c r="AY47" s="220">
        <f>CdTrp1!S39</f>
        <v>29.265600000000003</v>
      </c>
      <c r="AZ47" s="220">
        <f>CdTrp1!T39</f>
        <v>29.265600000000003</v>
      </c>
      <c r="BA47" s="220">
        <f>CdTrp1!U39</f>
        <v>29.265600000000003</v>
      </c>
      <c r="BB47" s="220">
        <f>CdTrp1!V39</f>
        <v>29.265600000000003</v>
      </c>
      <c r="BC47" s="220">
        <f>CdTrp1!W39</f>
        <v>28.515200000000004</v>
      </c>
      <c r="BD47" s="220">
        <f>CdTrp1!X39</f>
        <v>28.515200000000004</v>
      </c>
      <c r="BE47" s="220">
        <f>CdTrp1!Y39</f>
        <v>28.515200000000004</v>
      </c>
      <c r="BF47" s="216"/>
      <c r="BG47" s="217" t="s">
        <v>1022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1022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1022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1023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93659.6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9.0047999999999995</v>
      </c>
      <c r="AI48" s="220">
        <f>CdTrp1!C40</f>
        <v>9.0047999999999995</v>
      </c>
      <c r="AJ48" s="220">
        <f>CdTrp1!D40</f>
        <v>9.0047999999999995</v>
      </c>
      <c r="AK48" s="220">
        <f>CdTrp1!E40</f>
        <v>9.0047999999999995</v>
      </c>
      <c r="AL48" s="220">
        <f>CdTrp1!F40</f>
        <v>1.8009599999999999</v>
      </c>
      <c r="AM48" s="220">
        <f>CdTrp1!G40</f>
        <v>1.8009599999999999</v>
      </c>
      <c r="AN48" s="220">
        <f>CdTrp1!H40</f>
        <v>1.8009599999999999</v>
      </c>
      <c r="AO48" s="220">
        <f>CdTrp1!I40</f>
        <v>1.8009599999999999</v>
      </c>
      <c r="AP48" s="220">
        <f>CdTrp1!J40</f>
        <v>1.8009599999999999</v>
      </c>
      <c r="AQ48" s="220">
        <f>CdTrp1!K40</f>
        <v>1.8009599999999999</v>
      </c>
      <c r="AR48" s="220">
        <f>CdTrp1!L40</f>
        <v>4.5023999999999997</v>
      </c>
      <c r="AS48" s="220">
        <f>CdTrp1!M40</f>
        <v>4.5023999999999997</v>
      </c>
      <c r="AT48" s="220">
        <f>CdTrp1!N40</f>
        <v>4.5023999999999997</v>
      </c>
      <c r="AU48" s="220">
        <f>CdTrp1!O40</f>
        <v>4.5023999999999997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1024</v>
      </c>
      <c r="X49" s="217" t="s">
        <v>487</v>
      </c>
      <c r="Y49" s="220">
        <f>IF(Troupeau!B$3="OL",Troupeau!B$49,0)</f>
        <v>49.112000000000009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49.112000000000009</v>
      </c>
      <c r="AD49" s="216"/>
      <c r="AE49" s="216"/>
      <c r="AF49" s="216"/>
      <c r="AG49" s="272" t="str">
        <f>CdTrp1!A41</f>
        <v>vides + mammites</v>
      </c>
      <c r="AH49" s="220">
        <f>CdTrp1!B41</f>
        <v>1.5008000000000001</v>
      </c>
      <c r="AI49" s="220">
        <f>CdTrp1!C41</f>
        <v>1.5008000000000001</v>
      </c>
      <c r="AJ49" s="220">
        <f>CdTrp1!D41</f>
        <v>1.5008000000000001</v>
      </c>
      <c r="AK49" s="220">
        <f>CdTrp1!E41</f>
        <v>1.5008000000000001</v>
      </c>
      <c r="AL49" s="220">
        <f>CdTrp1!F41</f>
        <v>1.9510400000000001</v>
      </c>
      <c r="AM49" s="220">
        <f>CdTrp1!G41</f>
        <v>1.9510400000000001</v>
      </c>
      <c r="AN49" s="220">
        <f>CdTrp1!H41</f>
        <v>1.9510400000000001</v>
      </c>
      <c r="AO49" s="220">
        <f>CdTrp1!I41</f>
        <v>1.9510400000000001</v>
      </c>
      <c r="AP49" s="220">
        <f>CdTrp1!J41</f>
        <v>1.9510400000000001</v>
      </c>
      <c r="AQ49" s="220">
        <f>CdTrp1!K41</f>
        <v>1.9510400000000001</v>
      </c>
      <c r="AR49" s="220">
        <f>CdTrp1!L41</f>
        <v>1.9510400000000001</v>
      </c>
      <c r="AS49" s="220">
        <f>CdTrp1!M41</f>
        <v>1.9510400000000001</v>
      </c>
      <c r="AT49" s="220">
        <f>CdTrp1!N41</f>
        <v>1.9510400000000001</v>
      </c>
      <c r="AU49" s="220">
        <f>CdTrp1!O41</f>
        <v>1.9510400000000001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2</v>
      </c>
      <c r="BC49" s="220">
        <f>IF(CdTrp1!I77=1,1,IF(CdTrp1!I77=2,2,IF(CdTrp1!I77=3,2,0)))</f>
        <v>2</v>
      </c>
      <c r="BD49" s="220">
        <f>IF(CdTrp1!J77=1,1,IF(CdTrp1!J77=2,2,IF(CdTrp1!J77=3,2,0)))</f>
        <v>2</v>
      </c>
      <c r="BE49" s="220">
        <f>IF(CdTrp1!K77=1,1,IF(CdTrp1!K77=2,2,IF(CdTrp1!K77=3,2,0)))</f>
        <v>2</v>
      </c>
      <c r="BF49" s="220">
        <f>IF(CdTrp1!L77=1,1,IF(CdTrp1!L77=2,2,IF(CdTrp1!L77=3,2,0)))</f>
        <v>2</v>
      </c>
      <c r="BG49" s="220">
        <f>IF(CdTrp1!M77=1,1,IF(CdTrp1!M77=2,2,IF(CdTrp1!M77=3,2,0)))</f>
        <v>2</v>
      </c>
      <c r="BH49" s="220">
        <f>IF(CdTrp1!N77=1,1,IF(CdTrp1!N77=2,2,IF(CdTrp1!N77=3,2,0)))</f>
        <v>2</v>
      </c>
      <c r="BI49" s="220">
        <f>IF(CdTrp1!O77=1,1,IF(CdTrp1!O77=2,2,IF(CdTrp1!O77=3,2,0)))</f>
        <v>2</v>
      </c>
      <c r="BJ49" s="220">
        <f>IF(CdTrp1!P77=1,1,IF(CdTrp1!P77=2,2,IF(CdTrp1!P77=3,2,0)))</f>
        <v>2</v>
      </c>
      <c r="BK49" s="220">
        <f>IF(CdTrp1!Q77=1,1,IF(CdTrp1!Q77=2,2,IF(CdTrp1!Q77=3,2,0)))</f>
        <v>2</v>
      </c>
      <c r="BL49" s="220">
        <f>IF(CdTrp1!R77=1,1,IF(CdTrp1!R77=2,2,IF(CdTrp1!R77=3,2,0)))</f>
        <v>2</v>
      </c>
      <c r="BM49" s="220">
        <f>IF(CdTrp1!S77=1,1,IF(CdTrp1!S77=2,2,IF(CdTrp1!S77=3,2,0)))</f>
        <v>2</v>
      </c>
      <c r="BN49" s="220">
        <f>IF(CdTrp1!T77=1,1,IF(CdTrp1!T77=2,2,IF(CdTrp1!T77=3,2,0)))</f>
        <v>2</v>
      </c>
      <c r="BO49" s="220">
        <f>IF(CdTrp1!U77=1,1,IF(CdTrp1!U77=2,2,IF(CdTrp1!U77=3,2,0)))</f>
        <v>2</v>
      </c>
      <c r="BP49" s="220">
        <f>IF(CdTrp1!V77=1,1,IF(CdTrp1!V77=2,2,IF(CdTrp1!V77=3,2,0)))</f>
        <v>1</v>
      </c>
      <c r="BQ49" s="220">
        <f>IF(CdTrp1!W77=1,1,IF(CdTrp1!W77=2,2,IF(CdTrp1!W77=3,2,0)))</f>
        <v>1</v>
      </c>
      <c r="BR49" s="220">
        <f>IF(CdTrp1!X77=1,1,IF(CdTrp1!X77=2,2,IF(CdTrp1!X77=3,2,0)))</f>
        <v>1</v>
      </c>
      <c r="BS49" s="220">
        <f>IF(CdTrp1!Y77=1,1,IF(CdTrp1!Y77=2,2,IF(CdTrp1!Y77=3,2,0)))</f>
        <v>1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553</v>
      </c>
      <c r="R50" t="str">
        <f>Troupeau!B3</f>
        <v>OL</v>
      </c>
      <c r="S50" s="30">
        <f>Scénario!K54*Scénario!K55+Scénario!K76*Scénario!K77</f>
        <v>0</v>
      </c>
      <c r="X50" s="217" t="s">
        <v>970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0.75040000000000007</v>
      </c>
      <c r="AI50" s="220">
        <f>CdTrp1!C42</f>
        <v>0.75040000000000007</v>
      </c>
      <c r="AJ50" s="220">
        <f>CdTrp1!D42</f>
        <v>0.75040000000000007</v>
      </c>
      <c r="AK50" s="220">
        <f>CdTrp1!E42</f>
        <v>0.75040000000000007</v>
      </c>
      <c r="AL50" s="220">
        <f>CdTrp1!F42</f>
        <v>0.75040000000000007</v>
      </c>
      <c r="AM50" s="220">
        <f>CdTrp1!G42</f>
        <v>0.75040000000000007</v>
      </c>
      <c r="AN50" s="220">
        <f>CdTrp1!H42</f>
        <v>0.75040000000000007</v>
      </c>
      <c r="AO50" s="220">
        <f>CdTrp1!I42</f>
        <v>0.75040000000000007</v>
      </c>
      <c r="AP50" s="220">
        <f>CdTrp1!J42</f>
        <v>0.75040000000000007</v>
      </c>
      <c r="AQ50" s="220">
        <f>CdTrp1!K42</f>
        <v>0.75040000000000007</v>
      </c>
      <c r="AR50" s="220">
        <f>CdTrp1!L42</f>
        <v>0.75040000000000007</v>
      </c>
      <c r="AS50" s="220">
        <f>CdTrp1!M42</f>
        <v>0.75040000000000007</v>
      </c>
      <c r="AT50" s="220">
        <f>CdTrp1!N42</f>
        <v>0.75040000000000007</v>
      </c>
      <c r="AU50" s="220">
        <f>CdTrp1!O42</f>
        <v>0.75040000000000007</v>
      </c>
      <c r="AV50" s="220">
        <f>IF(CdTrp1!B78=1,1,IF(CdTrp1!B78=2,2,IF(CdTrp1!B78=3,2,0)))</f>
        <v>2</v>
      </c>
      <c r="AW50" s="220">
        <f>IF(CdTrp1!C78=1,1,IF(CdTrp1!C78=2,2,IF(CdTrp1!C78=3,2,0)))</f>
        <v>2</v>
      </c>
      <c r="AX50" s="220">
        <f>IF(CdTrp1!D78=1,1,IF(CdTrp1!D78=2,2,IF(CdTrp1!D78=3,2,0)))</f>
        <v>2</v>
      </c>
      <c r="AY50" s="220">
        <f>IF(CdTrp1!E78=1,1,IF(CdTrp1!E78=2,2,IF(CdTrp1!E78=3,2,0)))</f>
        <v>2</v>
      </c>
      <c r="AZ50" s="220">
        <f>IF(CdTrp1!F78=1,1,IF(CdTrp1!F78=2,2,IF(CdTrp1!F78=3,2,0)))</f>
        <v>2</v>
      </c>
      <c r="BA50" s="220">
        <f>IF(CdTrp1!G78=1,1,IF(CdTrp1!G78=2,2,IF(CdTrp1!G78=3,2,0)))</f>
        <v>2</v>
      </c>
      <c r="BB50" s="220">
        <f>IF(CdTrp1!H78=1,1,IF(CdTrp1!H78=2,2,IF(CdTrp1!H78=3,2,0)))</f>
        <v>2</v>
      </c>
      <c r="BC50" s="220">
        <f>IF(CdTrp1!I78=1,1,IF(CdTrp1!I78=2,2,IF(CdTrp1!I78=3,2,0)))</f>
        <v>2</v>
      </c>
      <c r="BD50" s="220">
        <f>IF(CdTrp1!J78=1,1,IF(CdTrp1!J78=2,2,IF(CdTrp1!J78=3,2,0)))</f>
        <v>2</v>
      </c>
      <c r="BE50" s="220">
        <f>IF(CdTrp1!K78=1,1,IF(CdTrp1!K78=2,2,IF(CdTrp1!K78=3,2,0)))</f>
        <v>2</v>
      </c>
      <c r="BF50" s="220">
        <f>IF(CdTrp1!L78=1,1,IF(CdTrp1!L78=2,2,IF(CdTrp1!L78=3,2,0)))</f>
        <v>2</v>
      </c>
      <c r="BG50" s="220">
        <f>IF(CdTrp1!M78=1,1,IF(CdTrp1!M78=2,2,IF(CdTrp1!M78=3,2,0)))</f>
        <v>2</v>
      </c>
      <c r="BH50" s="220">
        <f>IF(CdTrp1!N78=1,1,IF(CdTrp1!N78=2,2,IF(CdTrp1!N78=3,2,0)))</f>
        <v>2</v>
      </c>
      <c r="BI50" s="220">
        <f>IF(CdTrp1!O78=1,1,IF(CdTrp1!O78=2,2,IF(CdTrp1!O78=3,2,0)))</f>
        <v>2</v>
      </c>
      <c r="BJ50" s="220">
        <f>IF(CdTrp1!P78=1,1,IF(CdTrp1!P78=2,2,IF(CdTrp1!P78=3,2,0)))</f>
        <v>2</v>
      </c>
      <c r="BK50" s="220">
        <f>IF(CdTrp1!Q78=1,1,IF(CdTrp1!Q78=2,2,IF(CdTrp1!Q78=3,2,0)))</f>
        <v>2</v>
      </c>
      <c r="BL50" s="220">
        <f>IF(CdTrp1!R78=1,1,IF(CdTrp1!R78=2,2,IF(CdTrp1!R78=3,2,0)))</f>
        <v>2</v>
      </c>
      <c r="BM50" s="220">
        <f>IF(CdTrp1!S78=1,1,IF(CdTrp1!S78=2,2,IF(CdTrp1!S78=3,2,0)))</f>
        <v>2</v>
      </c>
      <c r="BN50" s="220">
        <f>IF(CdTrp1!T78=1,1,IF(CdTrp1!T78=2,2,IF(CdTrp1!T78=3,2,0)))</f>
        <v>2</v>
      </c>
      <c r="BO50" s="220">
        <f>IF(CdTrp1!U78=1,1,IF(CdTrp1!U78=2,2,IF(CdTrp1!U78=3,2,0)))</f>
        <v>2</v>
      </c>
      <c r="BP50" s="220">
        <f>IF(CdTrp1!V78=1,1,IF(CdTrp1!V78=2,2,IF(CdTrp1!V78=3,2,0)))</f>
        <v>2</v>
      </c>
      <c r="BQ50" s="220">
        <f>IF(CdTrp1!W78=1,1,IF(CdTrp1!W78=2,2,IF(CdTrp1!W78=3,2,0)))</f>
        <v>2</v>
      </c>
      <c r="BR50" s="220">
        <f>IF(CdTrp1!X78=1,1,IF(CdTrp1!X78=2,2,IF(CdTrp1!X78=3,2,0)))</f>
        <v>2</v>
      </c>
      <c r="BS50" s="220">
        <f>IF(CdTrp1!Y78=1,1,IF(CdTrp1!Y78=2,2,IF(CdTrp1!Y78=3,2,0)))</f>
        <v>2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567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974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2</v>
      </c>
      <c r="AW51" s="220">
        <f>IF(CdTrp1!C79=1,1,IF(CdTrp1!C79=2,2,IF(CdTrp1!C79=3,2,0)))</f>
        <v>2</v>
      </c>
      <c r="AX51" s="220">
        <f>IF(CdTrp1!D79=1,1,IF(CdTrp1!D79=2,2,IF(CdTrp1!D79=3,2,0)))</f>
        <v>2</v>
      </c>
      <c r="AY51" s="220">
        <f>IF(CdTrp1!E79=1,1,IF(CdTrp1!E79=2,2,IF(CdTrp1!E79=3,2,0)))</f>
        <v>2</v>
      </c>
      <c r="AZ51" s="220">
        <f>IF(CdTrp1!F79=1,1,IF(CdTrp1!F79=2,2,IF(CdTrp1!F79=3,2,0)))</f>
        <v>2</v>
      </c>
      <c r="BA51" s="220">
        <f>IF(CdTrp1!G79=1,1,IF(CdTrp1!G79=2,2,IF(CdTrp1!G79=3,2,0)))</f>
        <v>2</v>
      </c>
      <c r="BB51" s="220">
        <f>IF(CdTrp1!H79=1,1,IF(CdTrp1!H79=2,2,IF(CdTrp1!H79=3,2,0)))</f>
        <v>2</v>
      </c>
      <c r="BC51" s="220">
        <f>IF(CdTrp1!I79=1,1,IF(CdTrp1!I79=2,2,IF(CdTrp1!I79=3,2,0)))</f>
        <v>2</v>
      </c>
      <c r="BD51" s="220">
        <f>IF(CdTrp1!J79=1,1,IF(CdTrp1!J79=2,2,IF(CdTrp1!J79=3,2,0)))</f>
        <v>2</v>
      </c>
      <c r="BE51" s="220">
        <f>IF(CdTrp1!K79=1,1,IF(CdTrp1!K79=2,2,IF(CdTrp1!K79=3,2,0)))</f>
        <v>2</v>
      </c>
      <c r="BF51" s="220">
        <f>IF(CdTrp1!L79=1,1,IF(CdTrp1!L79=2,2,IF(CdTrp1!L79=3,2,0)))</f>
        <v>2</v>
      </c>
      <c r="BG51" s="220">
        <f>IF(CdTrp1!M79=1,1,IF(CdTrp1!M79=2,2,IF(CdTrp1!M79=3,2,0)))</f>
        <v>2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2</v>
      </c>
      <c r="BS51" s="220">
        <f>IF(CdTrp1!Y79=1,1,IF(CdTrp1!Y79=2,2,IF(CdTrp1!Y79=3,2,0)))</f>
        <v>2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574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1025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1026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1027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1028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1028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1028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1028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2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2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1029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1029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1029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1029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1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2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2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1030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987</v>
      </c>
      <c r="AG79" s="218">
        <f>SUM(AH69:BE78)</f>
        <v>0</v>
      </c>
      <c r="AH79" s="216" t="s">
        <v>1031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987</v>
      </c>
      <c r="BH79" s="216">
        <f>SUM(BI69:CF78)</f>
        <v>0</v>
      </c>
      <c r="BI79" s="216" t="s">
        <v>1031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987</v>
      </c>
      <c r="CJ79" s="216">
        <f>SUM(CK69:DH78)</f>
        <v>0</v>
      </c>
      <c r="CK79" s="216" t="s">
        <v>1031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987</v>
      </c>
      <c r="DL79" s="216">
        <f>SUM(DM69:EJ78)</f>
        <v>0</v>
      </c>
      <c r="DM79" s="216" t="s">
        <v>1031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1032</v>
      </c>
      <c r="D80" s="33" t="s">
        <v>1033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1034</v>
      </c>
      <c r="C81" s="36" t="s">
        <v>1035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36.400000000000006</v>
      </c>
      <c r="E82" s="168">
        <f t="shared" ref="E82:F97" si="33">BZ89+CD89</f>
        <v>0</v>
      </c>
      <c r="F82" s="168">
        <f t="shared" si="33"/>
        <v>0</v>
      </c>
      <c r="J82" s="168">
        <f>SUM(K82:M82)</f>
        <v>7280.0000000000009</v>
      </c>
      <c r="K82" s="168">
        <f>$C82*D82</f>
        <v>7280.0000000000009</v>
      </c>
      <c r="L82" s="168">
        <f t="shared" ref="L82:M97" si="34">$C82*E82</f>
        <v>0</v>
      </c>
      <c r="M82" s="168">
        <f t="shared" si="34"/>
        <v>0</v>
      </c>
      <c r="X82" s="14" t="s">
        <v>1036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8.1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1336.5</v>
      </c>
      <c r="K83" s="168">
        <f t="shared" ref="K83:M106" si="37">$C83*D83</f>
        <v>1336.5</v>
      </c>
      <c r="L83" s="168">
        <f t="shared" si="34"/>
        <v>0</v>
      </c>
      <c r="M83" s="168">
        <f t="shared" si="34"/>
        <v>0</v>
      </c>
      <c r="Q83" s="2" t="s">
        <v>1037</v>
      </c>
      <c r="X83" s="14" t="s">
        <v>1038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1039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1040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1041</v>
      </c>
      <c r="AB87" t="s">
        <v>87</v>
      </c>
      <c r="AL87"/>
      <c r="BG87"/>
      <c r="BY87" t="s">
        <v>927</v>
      </c>
      <c r="CC87" t="s">
        <v>1042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1043</v>
      </c>
      <c r="Z88" t="s">
        <v>704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901</v>
      </c>
      <c r="BZ88" s="166" t="s">
        <v>917</v>
      </c>
      <c r="CA88" s="166" t="s">
        <v>918</v>
      </c>
      <c r="CB88" s="166"/>
      <c r="CC88" s="166" t="s">
        <v>901</v>
      </c>
      <c r="CD88" s="166" t="s">
        <v>917</v>
      </c>
      <c r="CE88" s="166" t="s">
        <v>918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36.400000000000006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8.1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5.8</v>
      </c>
      <c r="E92" s="168">
        <f t="shared" si="33"/>
        <v>0</v>
      </c>
      <c r="F92" s="168">
        <f t="shared" si="33"/>
        <v>0</v>
      </c>
      <c r="J92" s="168">
        <f t="shared" si="36"/>
        <v>2412.7999999999997</v>
      </c>
      <c r="K92" s="168">
        <f t="shared" si="37"/>
        <v>2412.7999999999997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</v>
      </c>
      <c r="E94" s="168">
        <f t="shared" si="33"/>
        <v>0</v>
      </c>
      <c r="F94" s="168">
        <f t="shared" si="33"/>
        <v>0</v>
      </c>
      <c r="J94" s="168">
        <f t="shared" si="36"/>
        <v>1540</v>
      </c>
      <c r="K94" s="168">
        <f t="shared" si="37"/>
        <v>1540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8.5</v>
      </c>
      <c r="E95" s="168">
        <f t="shared" si="33"/>
        <v>0</v>
      </c>
      <c r="F95" s="168">
        <f t="shared" si="33"/>
        <v>0</v>
      </c>
      <c r="J95" s="168">
        <f t="shared" si="36"/>
        <v>2295</v>
      </c>
      <c r="K95" s="168">
        <f t="shared" si="37"/>
        <v>2295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5.8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8.5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1044</v>
      </c>
      <c r="J110" s="168">
        <f t="shared" ref="J110:J115" si="54">SUM(K110:N110)</f>
        <v>2573</v>
      </c>
      <c r="K110" s="172">
        <f t="shared" ref="K110:K115" si="55">ROUND(T132*U132,0)</f>
        <v>2573</v>
      </c>
      <c r="L110" s="172">
        <f>ROUND(V132*W132,0)</f>
        <v>0</v>
      </c>
      <c r="M110" s="172">
        <f t="shared" ref="M110:M115" si="56">ROUND(X132*Y132,0)</f>
        <v>0</v>
      </c>
      <c r="R110" s="40" t="s">
        <v>1045</v>
      </c>
      <c r="S110" s="166" t="str">
        <f>Troupeau!B3</f>
        <v>OL</v>
      </c>
      <c r="T110" s="61">
        <f>SUM(K82:K106)</f>
        <v>14864.3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1046</v>
      </c>
      <c r="J111" s="168">
        <f t="shared" si="54"/>
        <v>8410</v>
      </c>
      <c r="K111" s="172">
        <f t="shared" si="55"/>
        <v>8410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1047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1048</v>
      </c>
      <c r="J113" s="168">
        <f t="shared" si="54"/>
        <v>965</v>
      </c>
      <c r="K113" s="172">
        <f t="shared" si="55"/>
        <v>965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1049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1050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1051</v>
      </c>
      <c r="K116" s="62">
        <f>SUM(K110:K115)+SUM(K82:K106)</f>
        <v>26812.3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1052</v>
      </c>
      <c r="B118" s="172">
        <f>IF('Alim -Surf'!K27&lt;0,-'Alim -Surf'!K27,0)</f>
        <v>33.394999999999982</v>
      </c>
      <c r="C118" s="183">
        <f>IF(Scénario!$K$12="BV",[1]Eco!$B$78,IF(Scénario!$K$12="BL",[1]Eco!$B$77,[1]Eco!$B$76))</f>
        <v>223</v>
      </c>
      <c r="J118" s="168">
        <f>B118*C118</f>
        <v>7447.0849999999955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1053</v>
      </c>
      <c r="B119" s="172">
        <f>IF('Alim -Surf'!K9&lt;0,-'Alim -Surf'!K9,0)</f>
        <v>6.3960000000000008</v>
      </c>
      <c r="C119" s="183">
        <f>[1]Eco!$B$79</f>
        <v>80</v>
      </c>
      <c r="J119" s="168">
        <f>B119*C119</f>
        <v>511.68000000000006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1054</v>
      </c>
      <c r="B121" t="s">
        <v>1055</v>
      </c>
      <c r="C121" t="s">
        <v>37</v>
      </c>
      <c r="D121" t="s">
        <v>1056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10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553</v>
      </c>
      <c r="U122" s="2" t="s">
        <v>567</v>
      </c>
      <c r="V122" s="2" t="s">
        <v>574</v>
      </c>
      <c r="W122" s="2" t="s">
        <v>1019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1057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1059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553</v>
      </c>
      <c r="AG124" s="2" t="s">
        <v>567</v>
      </c>
      <c r="AH124" s="2" t="s">
        <v>574</v>
      </c>
      <c r="AI124" s="2" t="s">
        <v>1019</v>
      </c>
      <c r="AJ124" s="233" t="s">
        <v>1060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1061</v>
      </c>
      <c r="T125">
        <f>ROUND(Troupeau!B35/1000,2)</f>
        <v>50.13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1062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1064</v>
      </c>
      <c r="AE126" t="s">
        <v>1065</v>
      </c>
      <c r="AF126" s="30">
        <f>B9</f>
        <v>168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1066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1068</v>
      </c>
      <c r="AE128" t="s">
        <v>1069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1070</v>
      </c>
      <c r="AE129" t="s">
        <v>1065</v>
      </c>
      <c r="AF129" s="30">
        <f>B10</f>
        <v>104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553</v>
      </c>
      <c r="U130" s="2"/>
      <c r="V130" s="2" t="s">
        <v>567</v>
      </c>
      <c r="W130" s="2"/>
      <c r="X130" s="2" t="s">
        <v>574</v>
      </c>
      <c r="Y130" s="2"/>
      <c r="Z130" s="2" t="s">
        <v>1019</v>
      </c>
      <c r="AA130" s="2"/>
      <c r="AB130" s="201"/>
      <c r="AE130" t="s">
        <v>1067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1071</v>
      </c>
      <c r="U131" s="166" t="s">
        <v>1072</v>
      </c>
      <c r="V131" s="166" t="s">
        <v>1071</v>
      </c>
      <c r="W131" s="166" t="s">
        <v>1072</v>
      </c>
      <c r="X131" s="166" t="s">
        <v>1071</v>
      </c>
      <c r="Y131" s="166" t="s">
        <v>1072</v>
      </c>
      <c r="Z131" s="166" t="s">
        <v>1071</v>
      </c>
      <c r="AA131" s="166" t="s">
        <v>1072</v>
      </c>
      <c r="AB131" s="201" t="s">
        <v>1073</v>
      </c>
      <c r="AE131" t="s">
        <v>1069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1074</v>
      </c>
      <c r="B132" s="5"/>
      <c r="C132" s="168">
        <f>AH228</f>
        <v>16.5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594</v>
      </c>
      <c r="K132" s="167"/>
      <c r="L132" s="167"/>
      <c r="M132" s="167"/>
      <c r="N132" s="167"/>
      <c r="O132" s="232">
        <v>10</v>
      </c>
      <c r="S132" s="14" t="s">
        <v>1044</v>
      </c>
      <c r="T132" s="166">
        <f>$T$127</f>
        <v>268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1075</v>
      </c>
      <c r="AE132" t="s">
        <v>1065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1076</v>
      </c>
      <c r="B133" s="5"/>
      <c r="C133" s="168">
        <f>AI228</f>
        <v>2.5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155.39999999999998</v>
      </c>
      <c r="K133" s="167"/>
      <c r="L133" s="167"/>
      <c r="M133" s="167"/>
      <c r="N133" s="167"/>
      <c r="O133" s="232">
        <v>11</v>
      </c>
      <c r="S133" s="14" t="s">
        <v>1046</v>
      </c>
      <c r="T133" s="166">
        <f>$T$127</f>
        <v>268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1077</v>
      </c>
      <c r="B134" s="5"/>
      <c r="C134" s="168">
        <f>AJ228</f>
        <v>8.1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541.404</v>
      </c>
      <c r="K134" s="167"/>
      <c r="L134" s="167"/>
      <c r="M134" s="167"/>
      <c r="N134" s="167"/>
      <c r="O134" s="232">
        <v>12</v>
      </c>
      <c r="S134" s="14" t="s">
        <v>1047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1048</v>
      </c>
      <c r="T135" s="166">
        <f>$T$127</f>
        <v>268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1079</v>
      </c>
      <c r="AE135" t="s">
        <v>1065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1080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1081</v>
      </c>
      <c r="T136" s="166">
        <f>$T$127</f>
        <v>268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1082</v>
      </c>
      <c r="B137" s="5"/>
      <c r="C137" s="168">
        <f>AG228</f>
        <v>1.3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195.31200000000001</v>
      </c>
      <c r="K137" s="167"/>
      <c r="L137" s="167"/>
      <c r="M137" s="167"/>
      <c r="N137" s="167"/>
      <c r="O137" s="232">
        <v>15</v>
      </c>
      <c r="S137" s="32" t="s">
        <v>1083</v>
      </c>
      <c r="T137" s="166">
        <f>Troupeau!B22</f>
        <v>64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1084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1085</v>
      </c>
      <c r="AE138" t="s">
        <v>1065</v>
      </c>
      <c r="AF138" s="30">
        <f>B13</f>
        <v>51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1086</v>
      </c>
      <c r="J140" s="167"/>
      <c r="K140" s="167"/>
      <c r="L140" s="167"/>
      <c r="M140" s="167"/>
      <c r="N140" s="167"/>
      <c r="Y140" s="166"/>
      <c r="AE140" t="s">
        <v>1069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1087</v>
      </c>
      <c r="J141" s="168">
        <f>X245</f>
        <v>7234</v>
      </c>
      <c r="K141" s="167"/>
      <c r="L141" s="167"/>
      <c r="M141" s="167"/>
      <c r="N141" s="167"/>
      <c r="Y141" s="166"/>
      <c r="AD141" s="14" t="s">
        <v>1088</v>
      </c>
      <c r="AE141" t="s">
        <v>1065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1089</v>
      </c>
      <c r="J142" s="168">
        <f>SUM(X271:X275)</f>
        <v>399.33000000000004</v>
      </c>
      <c r="K142" s="167"/>
      <c r="L142" s="167"/>
      <c r="M142" s="167"/>
      <c r="N142" s="167"/>
      <c r="Y142" s="166"/>
      <c r="AE142" t="s">
        <v>1067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1090</v>
      </c>
      <c r="AE144" t="s">
        <v>1065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1091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43890.510999999999</v>
      </c>
      <c r="K145" s="225"/>
      <c r="L145" s="225"/>
      <c r="M145" s="225"/>
      <c r="N145" s="225"/>
      <c r="Y145" s="166"/>
      <c r="AE145" t="s">
        <v>1067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1093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1094</v>
      </c>
      <c r="B149" s="168">
        <f>B$154</f>
        <v>18.400000000000002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920.00000000000011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1095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1096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1097</v>
      </c>
    </row>
    <row r="152" spans="1:39" x14ac:dyDescent="0.25">
      <c r="A152" t="s">
        <v>1098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1099</v>
      </c>
    </row>
    <row r="153" spans="1:39" x14ac:dyDescent="0.25">
      <c r="A153" s="5" t="s">
        <v>1100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1101</v>
      </c>
      <c r="W153" s="168">
        <f>U$228</f>
        <v>11.900000000000002</v>
      </c>
      <c r="X153" t="s">
        <v>52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1102</v>
      </c>
      <c r="B154" s="168">
        <f>Scénario!K48</f>
        <v>18.400000000000002</v>
      </c>
      <c r="C154" s="183">
        <f>HLOOKUP(Troupeau!J$17,[1]Anx!$D$170:$CN$220,'Calcul éco'!O154)</f>
        <v>345</v>
      </c>
      <c r="D154" s="5"/>
      <c r="G154" s="166"/>
      <c r="J154" s="168">
        <f t="shared" si="67"/>
        <v>6348.0000000000009</v>
      </c>
      <c r="K154" s="168"/>
      <c r="L154" s="168"/>
      <c r="M154" s="168"/>
      <c r="N154" s="168"/>
      <c r="O154" s="232">
        <v>24</v>
      </c>
      <c r="V154" s="14" t="s">
        <v>1103</v>
      </c>
      <c r="W154" s="168">
        <f>V$228</f>
        <v>9.4</v>
      </c>
      <c r="X154" t="s">
        <v>52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1104</v>
      </c>
      <c r="B155" s="237">
        <f>B154</f>
        <v>18.400000000000002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1067.2</v>
      </c>
      <c r="O155" s="232">
        <v>25</v>
      </c>
      <c r="V155" s="14" t="s">
        <v>1105</v>
      </c>
      <c r="W155" s="168">
        <f>W$228</f>
        <v>0</v>
      </c>
      <c r="X155" t="s">
        <v>52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32"/>
      <c r="U156" t="s">
        <v>1106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1107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1109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1110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32">
        <v>4</v>
      </c>
      <c r="R161" s="2" t="s">
        <v>633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265</v>
      </c>
      <c r="S164" s="168">
        <f>'Alim -Surf'!R7</f>
        <v>4.9000000000000004</v>
      </c>
      <c r="T164" s="168">
        <f>VLOOKUP($R164,[1]MEP!$A$4:$M$300,13)</f>
        <v>2</v>
      </c>
      <c r="U164" s="168">
        <f>IF($T164&gt;0,$S164,0)</f>
        <v>4.9000000000000004</v>
      </c>
      <c r="V164" s="168">
        <f>IF($T164&gt;1,$S164,0)</f>
        <v>4.9000000000000004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0</v>
      </c>
      <c r="AD164" s="168">
        <f>S164-AC164-AA164</f>
        <v>4.9000000000000004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4.9000000000000004</v>
      </c>
      <c r="AO164" s="166" t="s">
        <v>52</v>
      </c>
    </row>
    <row r="165" spans="1:41" x14ac:dyDescent="0.25">
      <c r="A165" s="5" t="s">
        <v>1112</v>
      </c>
      <c r="B165" s="5"/>
      <c r="C165" s="190" t="s">
        <v>1113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264</v>
      </c>
      <c r="S165" s="168">
        <f>'Alim -Surf'!R8</f>
        <v>2.5</v>
      </c>
      <c r="T165" s="168">
        <f>VLOOKUP(R165,[1]MEP!$A$4:$M$300,13)</f>
        <v>1</v>
      </c>
      <c r="U165" s="168">
        <f t="shared" ref="U165:U227" si="72">IF($T165&gt;0,$S165,0)</f>
        <v>2.5</v>
      </c>
      <c r="V165" s="168">
        <f t="shared" ref="V165:V227" si="73">IF($T165&gt;1,$S165,0)</f>
        <v>0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2.5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2.5</v>
      </c>
      <c r="AJ165" s="168">
        <f t="shared" ref="AJ165:AJ227" si="82">IF(T165&gt;1,AD165,0)</f>
        <v>0</v>
      </c>
      <c r="AN165" s="32" t="s">
        <v>651</v>
      </c>
      <c r="AO165" s="168">
        <f>SUM(AD164:AD183)</f>
        <v>12.9</v>
      </c>
    </row>
    <row r="166" spans="1:41" x14ac:dyDescent="0.25">
      <c r="A166" s="5" t="s">
        <v>1114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266</v>
      </c>
      <c r="S166" s="168">
        <f>'Alim -Surf'!R9</f>
        <v>5.5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5.5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5.5</v>
      </c>
      <c r="AI166" s="168">
        <f t="shared" si="81"/>
        <v>0</v>
      </c>
      <c r="AJ166" s="168">
        <f t="shared" si="82"/>
        <v>0</v>
      </c>
      <c r="AN166" s="32" t="s">
        <v>652</v>
      </c>
      <c r="AO166" s="168">
        <f>SUM(AC164:AC183)</f>
        <v>0</v>
      </c>
    </row>
    <row r="167" spans="1:41" x14ac:dyDescent="0.25">
      <c r="A167" s="5" t="s">
        <v>1115</v>
      </c>
      <c r="B167" s="30">
        <f>IF(Scénario!K129=1,SUM(Travail!F69:F74)+Travail!F83+Travail!F84,0)</f>
        <v>385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4092.55</v>
      </c>
      <c r="K167" s="168"/>
      <c r="L167" s="168"/>
      <c r="M167" s="168"/>
      <c r="N167" s="168"/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72"/>
        <v>0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0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0</v>
      </c>
      <c r="AJ167" s="168">
        <f t="shared" si="82"/>
        <v>0</v>
      </c>
      <c r="AN167" s="32" t="s">
        <v>653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654</v>
      </c>
      <c r="AO168" s="168">
        <f>SUM(AD186:AD205)</f>
        <v>4.1999999999999993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655</v>
      </c>
      <c r="AO169" s="168">
        <f>SUM(AC186:AC205)</f>
        <v>1.3</v>
      </c>
    </row>
    <row r="170" spans="1:41" x14ac:dyDescent="0.25">
      <c r="A170" s="224" t="s">
        <v>1116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27674.55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656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657</v>
      </c>
      <c r="AO171" s="168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1117</v>
      </c>
      <c r="B174" s="225">
        <f>J48-J145-J170</f>
        <v>22094.539000000008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1118</v>
      </c>
      <c r="B175" s="225">
        <f>ROUND(B174/Scénario!K4,0)</f>
        <v>22095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1119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1120</v>
      </c>
      <c r="B178" s="239">
        <f>SUM(AF237:AF240)</f>
        <v>656.45030399137863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1121</v>
      </c>
      <c r="B180" s="225">
        <f>B174-B177-B178</f>
        <v>10438.08869600863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1122</v>
      </c>
      <c r="B181" s="225">
        <f>ROUND(B180/Scénario!K4,0)</f>
        <v>10438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266</v>
      </c>
      <c r="S186" s="168">
        <f>'Alim -Surf'!R29</f>
        <v>1</v>
      </c>
      <c r="T186" s="168">
        <f>VLOOKUP(R186,[1]MEP!$A$4:$M$300,13)</f>
        <v>0</v>
      </c>
      <c r="U186" s="168">
        <f t="shared" si="72"/>
        <v>0</v>
      </c>
      <c r="V186" s="168">
        <f t="shared" si="73"/>
        <v>0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1</v>
      </c>
      <c r="AI186" s="168">
        <f t="shared" si="81"/>
        <v>0</v>
      </c>
      <c r="AJ186" s="16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269</v>
      </c>
      <c r="S187" s="168">
        <f>'Alim -Surf'!R30</f>
        <v>1.8</v>
      </c>
      <c r="T187" s="168">
        <f>VLOOKUP(R187,[1]MEP!$A$4:$M$300,13)</f>
        <v>2</v>
      </c>
      <c r="U187" s="168">
        <f t="shared" si="72"/>
        <v>1.8</v>
      </c>
      <c r="V187" s="168">
        <f t="shared" si="73"/>
        <v>1.8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1.8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1.8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265</v>
      </c>
      <c r="S188" s="168">
        <f>'Alim -Surf'!R31</f>
        <v>1.4</v>
      </c>
      <c r="T188" s="168">
        <f>VLOOKUP(R188,[1]MEP!$A$4:$M$300,13)</f>
        <v>2</v>
      </c>
      <c r="U188" s="168">
        <f t="shared" si="72"/>
        <v>1.4</v>
      </c>
      <c r="V188" s="168">
        <f t="shared" si="73"/>
        <v>1.4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1.4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1.4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194</v>
      </c>
      <c r="S189" s="168">
        <f>'Alim -Surf'!R32</f>
        <v>1.3</v>
      </c>
      <c r="T189" s="168">
        <f>VLOOKUP(R189,[1]MEP!$A$4:$M$300,13)</f>
        <v>2</v>
      </c>
      <c r="U189" s="168">
        <f t="shared" si="72"/>
        <v>1.3</v>
      </c>
      <c r="V189" s="168">
        <f t="shared" si="73"/>
        <v>1.3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70"/>
        <v>0</v>
      </c>
      <c r="AB189" s="168">
        <f t="shared" si="71"/>
        <v>0</v>
      </c>
      <c r="AC189" s="168">
        <f t="shared" si="75"/>
        <v>1.3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1.3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47</v>
      </c>
      <c r="S208" s="168">
        <f>'Alim -Surf'!R51</f>
        <v>10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10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10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0</v>
      </c>
      <c r="S209" s="168">
        <f>'Alim -Surf'!R52</f>
        <v>0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0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0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658</v>
      </c>
      <c r="R228" s="2"/>
      <c r="S228" s="62">
        <f t="shared" ref="S228" si="83">SUM(S164:S227)</f>
        <v>28.400000000000002</v>
      </c>
      <c r="U228" s="62">
        <f>SUM(U164:U227)</f>
        <v>11.900000000000002</v>
      </c>
      <c r="V228" s="62">
        <f t="shared" ref="V228:W228" si="84">SUM(V164:V227)</f>
        <v>9.4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1.3</v>
      </c>
      <c r="AD228" s="62">
        <f>SUM(AD164:AD227)</f>
        <v>27.1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1.3</v>
      </c>
      <c r="AH228" s="62">
        <f t="shared" si="86"/>
        <v>16.5</v>
      </c>
      <c r="AI228" s="62">
        <f t="shared" si="86"/>
        <v>2.5</v>
      </c>
      <c r="AJ228" s="62">
        <f t="shared" si="86"/>
        <v>8.1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1123</v>
      </c>
      <c r="V232" t="s">
        <v>1124</v>
      </c>
      <c r="W232" t="s">
        <v>1125</v>
      </c>
      <c r="X232" t="s">
        <v>1126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1128</v>
      </c>
      <c r="T234" s="30">
        <f>Protection!AK25</f>
        <v>4437</v>
      </c>
      <c r="U234" t="s">
        <v>1129</v>
      </c>
      <c r="V234" s="168"/>
      <c r="W234" s="168">
        <f>[1]Protect!$B$4</f>
        <v>6</v>
      </c>
      <c r="X234" s="168">
        <f>T234*W234</f>
        <v>26622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1132</v>
      </c>
      <c r="AA236" t="s">
        <v>1133</v>
      </c>
      <c r="AB236" t="s">
        <v>1134</v>
      </c>
      <c r="AC236" t="s">
        <v>1135</v>
      </c>
      <c r="AD236" t="s">
        <v>1136</v>
      </c>
      <c r="AE236" t="s">
        <v>1137</v>
      </c>
      <c r="AF236" t="s">
        <v>1138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1139</v>
      </c>
      <c r="X237" s="46">
        <f>SUM(X233:X236)</f>
        <v>26622</v>
      </c>
      <c r="Z237" s="30">
        <f>IF(Scénario!K84=1,MIN(0.8*'Calcul éco'!X237,[1]Protect!$B$68),IF(Scénario!K84=2,MIN(0.8*'Calcul éco'!X237,[1]Protect!$B$67),0))</f>
        <v>21297.600000000002</v>
      </c>
      <c r="AA237" s="30">
        <f>X237-Z237</f>
        <v>5324.3999999999978</v>
      </c>
      <c r="AB237" s="30">
        <f>(Scénario!K127/100)*AA237</f>
        <v>0</v>
      </c>
      <c r="AC237" s="30">
        <f>AA237-AB237</f>
        <v>5324.3999999999978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656.45030399137863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1140</v>
      </c>
      <c r="T240" s="30">
        <f>IF(Scénario!K87=3,Protection!AE33,0)</f>
        <v>0</v>
      </c>
      <c r="U240" t="s">
        <v>1129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1141</v>
      </c>
      <c r="W244" t="s">
        <v>1072</v>
      </c>
      <c r="X244" t="s">
        <v>953</v>
      </c>
    </row>
    <row r="245" spans="17:31" x14ac:dyDescent="0.25">
      <c r="Q245" s="15"/>
      <c r="S245" s="14" t="s">
        <v>1142</v>
      </c>
      <c r="T245" s="30">
        <f>IF(Scénario!K87=0,0,Protection!AJ8)</f>
        <v>8</v>
      </c>
      <c r="X245" s="168">
        <f>ROUND((([1]Protect!$B$5/[1]Protect!$B$11)+[1]Protect!$B$8)*T245,0)</f>
        <v>7234</v>
      </c>
    </row>
    <row r="246" spans="17:31" x14ac:dyDescent="0.25">
      <c r="Q246" s="15"/>
      <c r="S246" s="14" t="s">
        <v>1143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1144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1145</v>
      </c>
      <c r="X248" s="168">
        <f>SUM(X245:X247)</f>
        <v>7234</v>
      </c>
    </row>
    <row r="249" spans="17:31" x14ac:dyDescent="0.25">
      <c r="AB249" t="s">
        <v>1146</v>
      </c>
    </row>
    <row r="250" spans="17:31" x14ac:dyDescent="0.25">
      <c r="AB250" t="s">
        <v>1147</v>
      </c>
    </row>
    <row r="254" spans="17:31" x14ac:dyDescent="0.25">
      <c r="S254" s="40" t="s">
        <v>1148</v>
      </c>
      <c r="T254" s="4">
        <f>IF(Scénario!K53="OL",Scénario!K55*(1/0.15)*Scénario!K56,0)</f>
        <v>0</v>
      </c>
      <c r="Y254" s="40" t="s">
        <v>1149</v>
      </c>
      <c r="Z254">
        <f>IF(Troupeau!B3="OL",Troupeau!B17,0)</f>
        <v>268</v>
      </c>
    </row>
    <row r="255" spans="17:31" x14ac:dyDescent="0.25">
      <c r="U255" t="s">
        <v>1150</v>
      </c>
      <c r="AA255" t="s">
        <v>1150</v>
      </c>
    </row>
    <row r="256" spans="17:31" x14ac:dyDescent="0.25">
      <c r="S256" s="14" t="s">
        <v>1151</v>
      </c>
      <c r="T256" s="30">
        <f>IF(T254&lt;151,1,0)</f>
        <v>1</v>
      </c>
      <c r="U256" s="168">
        <f>IF(T256=0,0,[1]Protect!$B76)</f>
        <v>7500</v>
      </c>
      <c r="Y256" s="14" t="s">
        <v>1152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1153</v>
      </c>
      <c r="T257" s="30">
        <f>IF(AND(150 &lt;T$254,T$254&lt;451),1,0)</f>
        <v>0</v>
      </c>
      <c r="U257" s="168">
        <f>IF(T257=0,0,[1]Protect!$B77)</f>
        <v>0</v>
      </c>
      <c r="Y257" s="14" t="s">
        <v>1154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1155</v>
      </c>
      <c r="T258" s="30">
        <f>IF(AND(540 &lt;T$254,T$254&lt;1201),1,0)</f>
        <v>0</v>
      </c>
      <c r="U258" s="168">
        <f>IF(T258=0,0,[1]Protect!$B78)</f>
        <v>0</v>
      </c>
      <c r="Y258" s="14" t="s">
        <v>1156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1157</v>
      </c>
      <c r="T259" s="30">
        <f>IF(AND(1200&lt;T$254,T$254&lt;1501),1,0)</f>
        <v>0</v>
      </c>
      <c r="U259" s="168">
        <f>IF(T259=0,0,[1]Protect!$B79)</f>
        <v>0</v>
      </c>
      <c r="Y259" s="14" t="s">
        <v>1158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1159</v>
      </c>
      <c r="T260" s="30">
        <f>IF(1500&lt;T$254,1,0)</f>
        <v>0</v>
      </c>
      <c r="U260" s="168">
        <f>IF(T260=0,0,[1]Protect!$B80)</f>
        <v>0</v>
      </c>
      <c r="Y260" s="14" t="s">
        <v>1160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1161</v>
      </c>
      <c r="V263" s="168">
        <f>IF(Scénario!K84=2,'Calcul éco'!V264,IF(Scénario!K84=1,'Calcul éco'!V265,0))</f>
        <v>7234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1162</v>
      </c>
      <c r="V264" s="168">
        <f>IF(X$248&lt;SUM(U256:U260),X$248,SUM(U256:U260))</f>
        <v>7234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1163</v>
      </c>
      <c r="V265" s="168">
        <f>IF(X$248&lt;SUM(AA256:AA260),X$248,SUM(AA256:AA260))</f>
        <v>7234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1164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1165</v>
      </c>
      <c r="U270" s="33"/>
      <c r="V270" s="33"/>
      <c r="W270" s="33" t="s">
        <v>1166</v>
      </c>
      <c r="X270" s="33" t="s">
        <v>987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1167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1168</v>
      </c>
      <c r="T272" s="168">
        <f>T234*[1]Protect!$B$17/100</f>
        <v>66.555000000000007</v>
      </c>
      <c r="U272" s="168"/>
      <c r="V272" s="168"/>
      <c r="W272" s="168">
        <f>W234</f>
        <v>6</v>
      </c>
      <c r="X272" s="168">
        <f>T272*W272</f>
        <v>399.33000000000004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1169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B290" sqref="B290:C31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Z1_OL_B_s1</v>
      </c>
      <c r="D1" s="256" t="str">
        <f>CONCATENATE(C1,"_corr")</f>
        <v>Z1_OL_B_s1_corr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</v>
      </c>
      <c r="D4" s="172">
        <f t="shared" si="0"/>
        <v>1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1</v>
      </c>
      <c r="D7" s="172">
        <f t="shared" si="0"/>
        <v>1</v>
      </c>
    </row>
    <row r="8" spans="2:4" x14ac:dyDescent="0.25">
      <c r="B8" s="14" t="s">
        <v>489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11.900000000000002</v>
      </c>
      <c r="D18" s="172">
        <f t="shared" si="0"/>
        <v>11.900000000000002</v>
      </c>
    </row>
    <row r="19" spans="2:5" x14ac:dyDescent="0.25">
      <c r="B19" s="14" t="s">
        <v>533</v>
      </c>
      <c r="C19" s="172">
        <f>Scénario!K29</f>
        <v>9.4</v>
      </c>
      <c r="D19" s="172">
        <f t="shared" si="0"/>
        <v>9.4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1170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555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556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557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560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563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565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551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567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570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572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573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1171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576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577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578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579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580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581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582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1172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587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589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1173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592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593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1174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596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599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609</v>
      </c>
      <c r="C51" s="172">
        <f>Scénario!K87</f>
        <v>1</v>
      </c>
      <c r="D51" s="172">
        <f t="shared" si="0"/>
        <v>1</v>
      </c>
      <c r="E51" s="14"/>
    </row>
    <row r="52" spans="1:132" x14ac:dyDescent="0.25">
      <c r="B52" s="19" t="s">
        <v>586</v>
      </c>
      <c r="C52" s="172">
        <f>Scénario!K84</f>
        <v>1</v>
      </c>
      <c r="D52" s="172">
        <f t="shared" si="0"/>
        <v>1</v>
      </c>
      <c r="E52" s="14"/>
    </row>
    <row r="53" spans="1:132" x14ac:dyDescent="0.25">
      <c r="B53" s="14" t="s">
        <v>597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614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614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595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1175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616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617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627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629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1176</v>
      </c>
      <c r="B62" s="14" t="s">
        <v>1177</v>
      </c>
      <c r="C62" s="168" t="str">
        <f>Scénario!K12</f>
        <v>OL</v>
      </c>
      <c r="D62" s="168" t="str">
        <f>C62</f>
        <v>OL</v>
      </c>
      <c r="AS62" s="40" t="s">
        <v>553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567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574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1178</v>
      </c>
      <c r="C63" s="168">
        <f>IF(Troupeau!B3="OL",Troupeau!B17,0)</f>
        <v>268</v>
      </c>
      <c r="D63" s="257">
        <f>ROUND(C63*$D$82/$C$82,3)</f>
        <v>0</v>
      </c>
      <c r="F63" s="258" t="s">
        <v>1179</v>
      </c>
      <c r="G63">
        <f>D82/C82</f>
        <v>0</v>
      </c>
      <c r="AT63" s="2" t="s">
        <v>761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1180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1181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1182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1183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1184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1185</v>
      </c>
      <c r="C67" s="168">
        <f>CdTrp1!AA49</f>
        <v>38.101559999999999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1186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1187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1188</v>
      </c>
      <c r="C70" s="168">
        <f>SUM(C67:C69)</f>
        <v>38.101559999999999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1189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1190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1191</v>
      </c>
      <c r="C73" s="168">
        <f>'Calcul éco'!$AC$228</f>
        <v>1.3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1192</v>
      </c>
      <c r="C74" s="168">
        <f>C71+C73</f>
        <v>1.3</v>
      </c>
      <c r="D74" s="257">
        <f t="shared" si="3"/>
        <v>0</v>
      </c>
      <c r="AT74" s="2" t="s">
        <v>765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1193</v>
      </c>
      <c r="C75" s="168">
        <f>'Alim -Surf'!$O$7+'Alim -Surf'!$O$29-C72-C73</f>
        <v>17.099999999999998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1194</v>
      </c>
      <c r="C76" s="168">
        <f>'Calcul éco'!AO166</f>
        <v>0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1195</v>
      </c>
      <c r="C77" s="168">
        <f>'Calcul éco'!AO169</f>
        <v>1.3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1196</v>
      </c>
      <c r="C78" s="168">
        <f>'Calcul éco'!AO165</f>
        <v>12.9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1197</v>
      </c>
      <c r="C79" s="168">
        <f>'Calcul éco'!AO168</f>
        <v>4.1999999999999993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1198</v>
      </c>
      <c r="C80" s="168">
        <f>'Calcul éco'!AO171</f>
        <v>10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1199</v>
      </c>
      <c r="C81" s="168">
        <f>C74+C75</f>
        <v>18.399999999999999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1200</v>
      </c>
      <c r="C82" s="168">
        <f>C81+C80</f>
        <v>28.4</v>
      </c>
      <c r="D82" s="80"/>
      <c r="E82" s="85" t="s">
        <v>1201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1202</v>
      </c>
      <c r="C83" s="168">
        <f>Scénario!K4+Scénario!K6</f>
        <v>1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1203</v>
      </c>
      <c r="C84" s="168">
        <f>ROUND(C70/C82,3)</f>
        <v>1.3420000000000001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1204</v>
      </c>
      <c r="B85" s="14" t="s">
        <v>1205</v>
      </c>
      <c r="C85" s="168">
        <f>'Calcul éco'!$U$228</f>
        <v>11.900000000000002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1206</v>
      </c>
      <c r="C86" s="168">
        <f>'Calcul éco'!$V$228</f>
        <v>9.4</v>
      </c>
      <c r="D86" s="260">
        <f t="shared" ref="D86:D97" si="14">ROUND(C86*$D$82/$C$82,3)</f>
        <v>0</v>
      </c>
      <c r="AT86" s="184" t="s">
        <v>774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1207</v>
      </c>
      <c r="C87" s="168">
        <f>'Calcul éco'!$W$228</f>
        <v>0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1.1900000000000004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623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10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624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1208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1209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1210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901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1211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2</v>
      </c>
      <c r="T95" s="30">
        <f>CdTrp1!N77</f>
        <v>2</v>
      </c>
      <c r="U95" s="30">
        <f>CdTrp1!O77</f>
        <v>2</v>
      </c>
      <c r="V95" s="30">
        <f>CdTrp1!P77</f>
        <v>2</v>
      </c>
      <c r="W95" s="30">
        <f>CdTrp1!Q77</f>
        <v>2</v>
      </c>
      <c r="X95" s="30">
        <f>CdTrp1!R77</f>
        <v>2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2</v>
      </c>
      <c r="T96" s="30">
        <f>CdTrp1!N78</f>
        <v>2</v>
      </c>
      <c r="U96" s="30">
        <f>CdTrp1!O78</f>
        <v>2</v>
      </c>
      <c r="V96" s="30">
        <f>CdTrp1!P78</f>
        <v>2</v>
      </c>
      <c r="W96" s="30">
        <f>CdTrp1!Q78</f>
        <v>2</v>
      </c>
      <c r="X96" s="30">
        <f>CdTrp1!R78</f>
        <v>2</v>
      </c>
      <c r="Y96" s="30">
        <f>CdTrp1!S78</f>
        <v>2</v>
      </c>
      <c r="Z96" s="30">
        <f>CdTrp1!T78</f>
        <v>2</v>
      </c>
      <c r="AA96" s="30">
        <f>CdTrp1!U78</f>
        <v>2</v>
      </c>
      <c r="AB96" s="30">
        <f>CdTrp1!V78</f>
        <v>2</v>
      </c>
      <c r="AC96" s="30">
        <f>CdTrp1!W78</f>
        <v>2</v>
      </c>
      <c r="AD96" s="30">
        <f>CdTrp1!X78</f>
        <v>2</v>
      </c>
      <c r="AE96" s="30">
        <f>CdTrp1!Y78</f>
        <v>2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1212</v>
      </c>
      <c r="B97" s="14" t="s">
        <v>1213</v>
      </c>
      <c r="C97" s="168">
        <f>C90+C75+C73</f>
        <v>18.399999999999999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2</v>
      </c>
      <c r="S97" s="30">
        <f>CdTrp1!M79</f>
        <v>2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2</v>
      </c>
      <c r="AE97" s="30">
        <f>CdTrp1!Y79</f>
        <v>2</v>
      </c>
      <c r="AT97" s="2" t="s">
        <v>736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736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736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1214</v>
      </c>
      <c r="B98" s="14" t="s">
        <v>1215</v>
      </c>
      <c r="C98" s="168">
        <f>MAX(H129:AE129)</f>
        <v>4</v>
      </c>
      <c r="D98" s="168">
        <f>C98</f>
        <v>4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2</v>
      </c>
      <c r="BH98" s="168">
        <f>IF(CdTrp1!N52=1,3,IF(CdTrp1!N52=0.5,2,IF(CdTrp1!N52=0,1,0)))</f>
        <v>2</v>
      </c>
      <c r="BI98" s="168">
        <f>IF(CdTrp1!O52=1,3,IF(CdTrp1!O52=0.5,2,IF(CdTrp1!O52=0,1,0)))</f>
        <v>2</v>
      </c>
      <c r="BJ98" s="168">
        <f>IF(CdTrp1!P52=1,3,IF(CdTrp1!P52=0.5,2,IF(CdTrp1!P52=0,1,0)))</f>
        <v>2</v>
      </c>
      <c r="BK98" s="168">
        <f>IF(CdTrp1!Q52=1,3,IF(CdTrp1!Q52=0.5,2,IF(CdTrp1!Q52=0,1,0)))</f>
        <v>2</v>
      </c>
      <c r="BL98" s="168">
        <f>IF(CdTrp1!R52=1,3,IF(CdTrp1!R52=0.5,2,IF(CdTrp1!R52=0,1,0)))</f>
        <v>2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2</v>
      </c>
      <c r="BS98" s="168">
        <f>IF(CdTrp1!Y52=1,3,IF(CdTrp1!Y52=0.5,2,IF(CdTrp1!Y52=0,1,0)))</f>
        <v>3</v>
      </c>
      <c r="BU98">
        <v>3</v>
      </c>
      <c r="BV98" t="s">
        <v>783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1216</v>
      </c>
      <c r="B99" s="14" t="s">
        <v>1217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2</v>
      </c>
      <c r="BF99" s="168">
        <f>IF(CdTrp1!L53=1,3,IF(CdTrp1!L53=0.5,2,IF(CdTrp1!L53=0,1,0)))</f>
        <v>2</v>
      </c>
      <c r="BG99" s="168">
        <f>IF(CdTrp1!M53=1,3,IF(CdTrp1!M53=0.5,2,IF(CdTrp1!M53=0,1,0)))</f>
        <v>2</v>
      </c>
      <c r="BH99" s="168">
        <f>IF(CdTrp1!N53=1,3,IF(CdTrp1!N53=0.5,2,IF(CdTrp1!N53=0,1,0)))</f>
        <v>2</v>
      </c>
      <c r="BI99" s="168">
        <f>IF(CdTrp1!O53=1,3,IF(CdTrp1!O53=0.5,2,IF(CdTrp1!O53=0,1,0)))</f>
        <v>2</v>
      </c>
      <c r="BJ99" s="168">
        <f>IF(CdTrp1!P53=1,3,IF(CdTrp1!P53=0.5,2,IF(CdTrp1!P53=0,1,0)))</f>
        <v>2</v>
      </c>
      <c r="BK99" s="168">
        <f>IF(CdTrp1!Q53=1,3,IF(CdTrp1!Q53=0.5,2,IF(CdTrp1!Q53=0,1,0)))</f>
        <v>2</v>
      </c>
      <c r="BL99" s="168">
        <f>IF(CdTrp1!R53=1,3,IF(CdTrp1!R53=0.5,2,IF(CdTrp1!R53=0,1,0)))</f>
        <v>2</v>
      </c>
      <c r="BM99" s="168">
        <f>IF(CdTrp1!S53=1,3,IF(CdTrp1!S53=0.5,2,IF(CdTrp1!S53=0,1,0)))</f>
        <v>2</v>
      </c>
      <c r="BN99" s="168">
        <f>IF(CdTrp1!T53=1,3,IF(CdTrp1!T53=0.5,2,IF(CdTrp1!T53=0,1,0)))</f>
        <v>2</v>
      </c>
      <c r="BO99" s="168">
        <f>IF(CdTrp1!U53=1,3,IF(CdTrp1!U53=0.5,2,IF(CdTrp1!U53=0,1,0)))</f>
        <v>2</v>
      </c>
      <c r="BP99" s="168">
        <f>IF(CdTrp1!V53=1,3,IF(CdTrp1!V53=0.5,2,IF(CdTrp1!V53=0,1,0)))</f>
        <v>2</v>
      </c>
      <c r="BQ99" s="168">
        <f>IF(CdTrp1!W53=1,3,IF(CdTrp1!W53=0.5,2,IF(CdTrp1!W53=0,1,0)))</f>
        <v>2</v>
      </c>
      <c r="BR99" s="168">
        <f>IF(CdTrp1!X53=1,3,IF(CdTrp1!X53=0.5,2,IF(CdTrp1!X53=0,1,0)))</f>
        <v>2</v>
      </c>
      <c r="BS99" s="168">
        <f>IF(CdTrp1!Y53=1,3,IF(CdTrp1!Y53=0.5,2,IF(CdTrp1!Y53=0,1,0)))</f>
        <v>2</v>
      </c>
      <c r="BU99">
        <v>2</v>
      </c>
      <c r="BV99" t="s">
        <v>787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1218</v>
      </c>
      <c r="B100" s="14" t="s">
        <v>1219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2</v>
      </c>
      <c r="AW100" s="168">
        <f>IF(CdTrp1!C54=1,3,IF(CdTrp1!C54=0.5,2,IF(CdTrp1!C54=0,1,0)))</f>
        <v>2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2</v>
      </c>
      <c r="BH100" s="168">
        <f>IF(CdTrp1!N54=1,3,IF(CdTrp1!N54=0.5,2,IF(CdTrp1!N54=0,1,0)))</f>
        <v>2</v>
      </c>
      <c r="BI100" s="168">
        <f>IF(CdTrp1!O54=1,3,IF(CdTrp1!O54=0.5,2,IF(CdTrp1!O54=0,1,0)))</f>
        <v>2</v>
      </c>
      <c r="BJ100" s="168">
        <f>IF(CdTrp1!P54=1,3,IF(CdTrp1!P54=0.5,2,IF(CdTrp1!P54=0,1,0)))</f>
        <v>0</v>
      </c>
      <c r="BK100" s="168">
        <f>IF(CdTrp1!Q54=1,3,IF(CdTrp1!Q54=0.5,2,IF(CdTrp1!Q54=0,1,0)))</f>
        <v>0</v>
      </c>
      <c r="BL100" s="168">
        <f>IF(CdTrp1!R54=1,3,IF(CdTrp1!R54=0.5,2,IF(CdTrp1!R54=0,1,0)))</f>
        <v>0</v>
      </c>
      <c r="BM100" s="168">
        <f>IF(CdTrp1!S54=1,3,IF(CdTrp1!S54=0.5,2,IF(CdTrp1!S54=0,1,0)))</f>
        <v>0</v>
      </c>
      <c r="BN100" s="168">
        <f>IF(CdTrp1!T54=1,3,IF(CdTrp1!T54=0.5,2,IF(CdTrp1!T54=0,1,0)))</f>
        <v>0</v>
      </c>
      <c r="BO100" s="168">
        <f>IF(CdTrp1!U54=1,3,IF(CdTrp1!U54=0.5,2,IF(CdTrp1!U54=0,1,0)))</f>
        <v>0</v>
      </c>
      <c r="BP100" s="168">
        <f>IF(CdTrp1!V54=1,3,IF(CdTrp1!V54=0.5,2,IF(CdTrp1!V54=0,1,0)))</f>
        <v>0</v>
      </c>
      <c r="BQ100" s="168">
        <f>IF(CdTrp1!W54=1,3,IF(CdTrp1!W54=0.5,2,IF(CdTrp1!W54=0,1,0)))</f>
        <v>0</v>
      </c>
      <c r="BR100" s="168">
        <f>IF(CdTrp1!X54=1,3,IF(CdTrp1!X54=0.5,2,IF(CdTrp1!X54=0,1,0)))</f>
        <v>0</v>
      </c>
      <c r="BS100" s="168">
        <f>IF(CdTrp1!Y54=1,3,IF(CdTrp1!Y54=0.5,2,IF(CdTrp1!Y54=0,1,0)))</f>
        <v>0</v>
      </c>
      <c r="BU100">
        <v>1</v>
      </c>
      <c r="BV100" t="s">
        <v>788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1220</v>
      </c>
      <c r="C101" s="168">
        <f>MAX(H132:AE132)</f>
        <v>4</v>
      </c>
      <c r="D101" s="168">
        <f t="shared" si="25"/>
        <v>4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2</v>
      </c>
      <c r="AW101" s="168">
        <f>IF(CdTrp1!C55=1,3,IF(CdTrp1!C55=0.5,2,IF(CdTrp1!C55=0,1,0)))</f>
        <v>2</v>
      </c>
      <c r="AX101" s="168">
        <f>IF(CdTrp1!D55=1,3,IF(CdTrp1!D55=0.5,2,IF(CdTrp1!D55=0,1,0)))</f>
        <v>2</v>
      </c>
      <c r="AY101" s="168">
        <f>IF(CdTrp1!E55=1,3,IF(CdTrp1!E55=0.5,2,IF(CdTrp1!E55=0,1,0)))</f>
        <v>2</v>
      </c>
      <c r="AZ101" s="168">
        <f>IF(CdTrp1!F55=1,3,IF(CdTrp1!F55=0.5,2,IF(CdTrp1!F55=0,1,0)))</f>
        <v>2</v>
      </c>
      <c r="BA101" s="168">
        <f>IF(CdTrp1!G55=1,3,IF(CdTrp1!G55=0.5,2,IF(CdTrp1!G55=0,1,0)))</f>
        <v>2</v>
      </c>
      <c r="BB101" s="168">
        <f>IF(CdTrp1!H55=1,3,IF(CdTrp1!H55=0.5,2,IF(CdTrp1!H55=0,1,0)))</f>
        <v>2</v>
      </c>
      <c r="BC101" s="168">
        <f>IF(CdTrp1!I55=1,3,IF(CdTrp1!I55=0.5,2,IF(CdTrp1!I55=0,1,0)))</f>
        <v>2</v>
      </c>
      <c r="BD101" s="168">
        <f>IF(CdTrp1!J55=1,3,IF(CdTrp1!J55=0.5,2,IF(CdTrp1!J55=0,1,0)))</f>
        <v>2</v>
      </c>
      <c r="BE101" s="168">
        <f>IF(CdTrp1!K55=1,3,IF(CdTrp1!K55=0.5,2,IF(CdTrp1!K55=0,1,0)))</f>
        <v>2</v>
      </c>
      <c r="BF101" s="168">
        <f>IF(CdTrp1!L55=1,3,IF(CdTrp1!L55=0.5,2,IF(CdTrp1!L55=0,1,0)))</f>
        <v>2</v>
      </c>
      <c r="BG101" s="168">
        <f>IF(CdTrp1!M55=1,3,IF(CdTrp1!M55=0.5,2,IF(CdTrp1!M55=0,1,0)))</f>
        <v>2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2</v>
      </c>
      <c r="BR101" s="168">
        <f>IF(CdTrp1!X55=1,3,IF(CdTrp1!X55=0.5,2,IF(CdTrp1!X55=0,1,0)))</f>
        <v>2</v>
      </c>
      <c r="BS101" s="168">
        <f>IF(CdTrp1!Y55=1,3,IF(CdTrp1!Y55=0.5,2,IF(CdTrp1!Y55=0,1,0)))</f>
        <v>2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1221</v>
      </c>
      <c r="C102" s="168">
        <f>(24-COUNTIF(H129:AE129,0))/2</f>
        <v>12</v>
      </c>
      <c r="D102" s="16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1222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1223</v>
      </c>
      <c r="C104" s="168">
        <f>(24-COUNTIF(H131:AE131,0))/2</f>
        <v>0</v>
      </c>
      <c r="D104" s="168">
        <f t="shared" si="25"/>
        <v>0</v>
      </c>
      <c r="F104" s="14" t="s">
        <v>917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1224</v>
      </c>
      <c r="C105" s="168">
        <f>(24-COUNTIF(H132:AE132,0))/2</f>
        <v>12</v>
      </c>
      <c r="D105" s="168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1225</v>
      </c>
      <c r="C106" s="168">
        <f>SUM(H129:AE129)/2</f>
        <v>38</v>
      </c>
      <c r="D106" s="168">
        <f t="shared" si="25"/>
        <v>38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1226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1227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790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790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1228</v>
      </c>
      <c r="C109" s="168">
        <f>SUM(H132:AE132)/2</f>
        <v>38</v>
      </c>
      <c r="D109" s="168">
        <f t="shared" si="25"/>
        <v>38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1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1229</v>
      </c>
      <c r="C110" s="168">
        <f>COUNTIF($H$94:$AE$103,1)/2</f>
        <v>12</v>
      </c>
      <c r="D110" s="168">
        <f t="shared" si="25"/>
        <v>12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2</v>
      </c>
      <c r="BC110" s="168">
        <f>IF(CdTrp1!I77=1,1,IF(CdTrp1!I77=2,2,IF(CdTrp1!I77=3,2,IF(CdTrp1!I77=4,4,0))))</f>
        <v>2</v>
      </c>
      <c r="BD110" s="168">
        <f>IF(CdTrp1!J77=1,1,IF(CdTrp1!J77=2,2,IF(CdTrp1!J77=3,2,IF(CdTrp1!J77=4,4,0))))</f>
        <v>2</v>
      </c>
      <c r="BE110" s="168">
        <f>IF(CdTrp1!K77=1,1,IF(CdTrp1!K77=2,2,IF(CdTrp1!K77=3,2,IF(CdTrp1!K77=4,4,0))))</f>
        <v>2</v>
      </c>
      <c r="BF110" s="168">
        <f>IF(CdTrp1!L77=1,1,IF(CdTrp1!L77=2,2,IF(CdTrp1!L77=3,2,IF(CdTrp1!L77=4,4,0))))</f>
        <v>2</v>
      </c>
      <c r="BG110" s="168">
        <f>IF(CdTrp1!M77=1,1,IF(CdTrp1!M77=2,2,IF(CdTrp1!M77=3,2,IF(CdTrp1!M77=4,4,0))))</f>
        <v>2</v>
      </c>
      <c r="BH110" s="168">
        <f>IF(CdTrp1!N77=1,1,IF(CdTrp1!N77=2,2,IF(CdTrp1!N77=3,2,IF(CdTrp1!N77=4,4,0))))</f>
        <v>2</v>
      </c>
      <c r="BI110" s="168">
        <f>IF(CdTrp1!O77=1,1,IF(CdTrp1!O77=2,2,IF(CdTrp1!O77=3,2,IF(CdTrp1!O77=4,4,0))))</f>
        <v>2</v>
      </c>
      <c r="BJ110" s="168">
        <f>IF(CdTrp1!P77=1,1,IF(CdTrp1!P77=2,2,IF(CdTrp1!P77=3,2,IF(CdTrp1!P77=4,4,0))))</f>
        <v>2</v>
      </c>
      <c r="BK110" s="168">
        <f>IF(CdTrp1!Q77=1,1,IF(CdTrp1!Q77=2,2,IF(CdTrp1!Q77=3,2,IF(CdTrp1!Q77=4,4,0))))</f>
        <v>2</v>
      </c>
      <c r="BL110" s="168">
        <f>IF(CdTrp1!R77=1,1,IF(CdTrp1!R77=2,2,IF(CdTrp1!R77=3,2,IF(CdTrp1!R77=4,4,0))))</f>
        <v>2</v>
      </c>
      <c r="BM110" s="168">
        <f>IF(CdTrp1!S77=1,1,IF(CdTrp1!S77=2,2,IF(CdTrp1!S77=3,2,IF(CdTrp1!S77=4,4,0))))</f>
        <v>2</v>
      </c>
      <c r="BN110" s="168">
        <f>IF(CdTrp1!T77=1,1,IF(CdTrp1!T77=2,2,IF(CdTrp1!T77=3,2,IF(CdTrp1!T77=4,4,0))))</f>
        <v>2</v>
      </c>
      <c r="BO110" s="168">
        <f>IF(CdTrp1!U77=1,1,IF(CdTrp1!U77=2,2,IF(CdTrp1!U77=3,2,IF(CdTrp1!U77=4,4,0))))</f>
        <v>2</v>
      </c>
      <c r="BP110" s="168">
        <f>IF(CdTrp1!V77=1,1,IF(CdTrp1!V77=2,2,IF(CdTrp1!V77=3,2,IF(CdTrp1!V77=4,4,0))))</f>
        <v>1</v>
      </c>
      <c r="BQ110" s="168">
        <f>IF(CdTrp1!W77=1,1,IF(CdTrp1!W77=2,2,IF(CdTrp1!W77=3,2,IF(CdTrp1!W77=4,4,0))))</f>
        <v>1</v>
      </c>
      <c r="BR110" s="168">
        <f>IF(CdTrp1!X77=1,1,IF(CdTrp1!X77=2,2,IF(CdTrp1!X77=3,2,IF(CdTrp1!X77=4,4,0))))</f>
        <v>1</v>
      </c>
      <c r="BS110" s="168">
        <f>IF(CdTrp1!Y77=1,1,IF(CdTrp1!Y77=2,2,IF(CdTrp1!Y77=3,2,IF(CdTrp1!Y77=4,4,0))))</f>
        <v>1</v>
      </c>
      <c r="BU110">
        <v>2</v>
      </c>
      <c r="BV110" t="s">
        <v>794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1230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2</v>
      </c>
      <c r="AW111" s="168">
        <f>IF(CdTrp1!C78=1,1,IF(CdTrp1!C78=2,2,IF(CdTrp1!C78=3,2,IF(CdTrp1!C78=4,4,0))))</f>
        <v>2</v>
      </c>
      <c r="AX111" s="168">
        <f>IF(CdTrp1!D78=1,1,IF(CdTrp1!D78=2,2,IF(CdTrp1!D78=3,2,IF(CdTrp1!D78=4,4,0))))</f>
        <v>2</v>
      </c>
      <c r="AY111" s="168">
        <f>IF(CdTrp1!E78=1,1,IF(CdTrp1!E78=2,2,IF(CdTrp1!E78=3,2,IF(CdTrp1!E78=4,4,0))))</f>
        <v>2</v>
      </c>
      <c r="AZ111" s="168">
        <f>IF(CdTrp1!F78=1,1,IF(CdTrp1!F78=2,2,IF(CdTrp1!F78=3,2,IF(CdTrp1!F78=4,4,0))))</f>
        <v>2</v>
      </c>
      <c r="BA111" s="168">
        <f>IF(CdTrp1!G78=1,1,IF(CdTrp1!G78=2,2,IF(CdTrp1!G78=3,2,IF(CdTrp1!G78=4,4,0))))</f>
        <v>2</v>
      </c>
      <c r="BB111" s="168">
        <f>IF(CdTrp1!H78=1,1,IF(CdTrp1!H78=2,2,IF(CdTrp1!H78=3,2,IF(CdTrp1!H78=4,4,0))))</f>
        <v>2</v>
      </c>
      <c r="BC111" s="168">
        <f>IF(CdTrp1!I78=1,1,IF(CdTrp1!I78=2,2,IF(CdTrp1!I78=3,2,IF(CdTrp1!I78=4,4,0))))</f>
        <v>2</v>
      </c>
      <c r="BD111" s="168">
        <f>IF(CdTrp1!J78=1,1,IF(CdTrp1!J78=2,2,IF(CdTrp1!J78=3,2,IF(CdTrp1!J78=4,4,0))))</f>
        <v>2</v>
      </c>
      <c r="BE111" s="168">
        <f>IF(CdTrp1!K78=1,1,IF(CdTrp1!K78=2,2,IF(CdTrp1!K78=3,2,IF(CdTrp1!K78=4,4,0))))</f>
        <v>2</v>
      </c>
      <c r="BF111" s="168">
        <f>IF(CdTrp1!L78=1,1,IF(CdTrp1!L78=2,2,IF(CdTrp1!L78=3,2,IF(CdTrp1!L78=4,4,0))))</f>
        <v>2</v>
      </c>
      <c r="BG111" s="168">
        <f>IF(CdTrp1!M78=1,1,IF(CdTrp1!M78=2,2,IF(CdTrp1!M78=3,2,IF(CdTrp1!M78=4,4,0))))</f>
        <v>2</v>
      </c>
      <c r="BH111" s="168">
        <f>IF(CdTrp1!N78=1,1,IF(CdTrp1!N78=2,2,IF(CdTrp1!N78=3,2,IF(CdTrp1!N78=4,4,0))))</f>
        <v>2</v>
      </c>
      <c r="BI111" s="168">
        <f>IF(CdTrp1!O78=1,1,IF(CdTrp1!O78=2,2,IF(CdTrp1!O78=3,2,IF(CdTrp1!O78=4,4,0))))</f>
        <v>2</v>
      </c>
      <c r="BJ111" s="168">
        <f>IF(CdTrp1!P78=1,1,IF(CdTrp1!P78=2,2,IF(CdTrp1!P78=3,2,IF(CdTrp1!P78=4,4,0))))</f>
        <v>2</v>
      </c>
      <c r="BK111" s="168">
        <f>IF(CdTrp1!Q78=1,1,IF(CdTrp1!Q78=2,2,IF(CdTrp1!Q78=3,2,IF(CdTrp1!Q78=4,4,0))))</f>
        <v>2</v>
      </c>
      <c r="BL111" s="168">
        <f>IF(CdTrp1!R78=1,1,IF(CdTrp1!R78=2,2,IF(CdTrp1!R78=3,2,IF(CdTrp1!R78=4,4,0))))</f>
        <v>2</v>
      </c>
      <c r="BM111" s="168">
        <f>IF(CdTrp1!S78=1,1,IF(CdTrp1!S78=2,2,IF(CdTrp1!S78=3,2,IF(CdTrp1!S78=4,4,0))))</f>
        <v>2</v>
      </c>
      <c r="BN111" s="168">
        <f>IF(CdTrp1!T78=1,1,IF(CdTrp1!T78=2,2,IF(CdTrp1!T78=3,2,IF(CdTrp1!T78=4,4,0))))</f>
        <v>2</v>
      </c>
      <c r="BO111" s="168">
        <f>IF(CdTrp1!U78=1,1,IF(CdTrp1!U78=2,2,IF(CdTrp1!U78=3,2,IF(CdTrp1!U78=4,4,0))))</f>
        <v>2</v>
      </c>
      <c r="BP111" s="168">
        <f>IF(CdTrp1!V78=1,1,IF(CdTrp1!V78=2,2,IF(CdTrp1!V78=3,2,IF(CdTrp1!V78=4,4,0))))</f>
        <v>2</v>
      </c>
      <c r="BQ111" s="168">
        <f>IF(CdTrp1!W78=1,1,IF(CdTrp1!W78=2,2,IF(CdTrp1!W78=3,2,IF(CdTrp1!W78=4,4,0))))</f>
        <v>2</v>
      </c>
      <c r="BR111" s="168">
        <f>IF(CdTrp1!X78=1,1,IF(CdTrp1!X78=2,2,IF(CdTrp1!X78=3,2,IF(CdTrp1!X78=4,4,0))))</f>
        <v>2</v>
      </c>
      <c r="BS111" s="168">
        <f>IF(CdTrp1!Y78=1,1,IF(CdTrp1!Y78=2,2,IF(CdTrp1!Y78=3,2,IF(CdTrp1!Y78=4,4,0))))</f>
        <v>2</v>
      </c>
      <c r="BU111" s="189">
        <v>4</v>
      </c>
      <c r="BV111" t="s">
        <v>796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1231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2</v>
      </c>
      <c r="AW112" s="168">
        <f>IF(CdTrp1!C79=1,1,IF(CdTrp1!C79=2,2,IF(CdTrp1!C79=3,2,IF(CdTrp1!C79=4,4,0))))</f>
        <v>2</v>
      </c>
      <c r="AX112" s="168">
        <f>IF(CdTrp1!D79=1,1,IF(CdTrp1!D79=2,2,IF(CdTrp1!D79=3,2,IF(CdTrp1!D79=4,4,0))))</f>
        <v>2</v>
      </c>
      <c r="AY112" s="168">
        <f>IF(CdTrp1!E79=1,1,IF(CdTrp1!E79=2,2,IF(CdTrp1!E79=3,2,IF(CdTrp1!E79=4,4,0))))</f>
        <v>2</v>
      </c>
      <c r="AZ112" s="168">
        <f>IF(CdTrp1!F79=1,1,IF(CdTrp1!F79=2,2,IF(CdTrp1!F79=3,2,IF(CdTrp1!F79=4,4,0))))</f>
        <v>2</v>
      </c>
      <c r="BA112" s="168">
        <f>IF(CdTrp1!G79=1,1,IF(CdTrp1!G79=2,2,IF(CdTrp1!G79=3,2,IF(CdTrp1!G79=4,4,0))))</f>
        <v>2</v>
      </c>
      <c r="BB112" s="168">
        <f>IF(CdTrp1!H79=1,1,IF(CdTrp1!H79=2,2,IF(CdTrp1!H79=3,2,IF(CdTrp1!H79=4,4,0))))</f>
        <v>2</v>
      </c>
      <c r="BC112" s="168">
        <f>IF(CdTrp1!I79=1,1,IF(CdTrp1!I79=2,2,IF(CdTrp1!I79=3,2,IF(CdTrp1!I79=4,4,0))))</f>
        <v>2</v>
      </c>
      <c r="BD112" s="168">
        <f>IF(CdTrp1!J79=1,1,IF(CdTrp1!J79=2,2,IF(CdTrp1!J79=3,2,IF(CdTrp1!J79=4,4,0))))</f>
        <v>2</v>
      </c>
      <c r="BE112" s="168">
        <f>IF(CdTrp1!K79=1,1,IF(CdTrp1!K79=2,2,IF(CdTrp1!K79=3,2,IF(CdTrp1!K79=4,4,0))))</f>
        <v>2</v>
      </c>
      <c r="BF112" s="168">
        <f>IF(CdTrp1!L79=1,1,IF(CdTrp1!L79=2,2,IF(CdTrp1!L79=3,2,IF(CdTrp1!L79=4,4,0))))</f>
        <v>2</v>
      </c>
      <c r="BG112" s="168">
        <f>IF(CdTrp1!M79=1,1,IF(CdTrp1!M79=2,2,IF(CdTrp1!M79=3,2,IF(CdTrp1!M79=4,4,0))))</f>
        <v>2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2</v>
      </c>
      <c r="BS112" s="168">
        <f>IF(CdTrp1!Y79=1,1,IF(CdTrp1!Y79=2,2,IF(CdTrp1!Y79=3,2,IF(CdTrp1!Y79=4,4,0))))</f>
        <v>2</v>
      </c>
      <c r="BU112">
        <v>0</v>
      </c>
      <c r="BV112" t="s">
        <v>798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1232</v>
      </c>
      <c r="C113" s="168">
        <f>COUNTIF($H$94:$AE$103,2)/2</f>
        <v>26</v>
      </c>
      <c r="D113" s="168">
        <f t="shared" si="25"/>
        <v>26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1233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1234</v>
      </c>
      <c r="C115" s="168">
        <f>COUNTIF($H$116:$AE$125,2)/2</f>
        <v>0</v>
      </c>
      <c r="D115" s="168">
        <f t="shared" si="25"/>
        <v>0</v>
      </c>
      <c r="F115" s="14" t="s">
        <v>918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1235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1236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1237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1238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1239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808</v>
      </c>
      <c r="AU120" s="30">
        <f>VALUE(CONCATENATE(Scénario!K8,Travail!AU2))</f>
        <v>11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808</v>
      </c>
      <c r="CA120" s="30">
        <f>VALUE(CONCATENATE(Scénario!K8,Travail!CA2))</f>
        <v>10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808</v>
      </c>
      <c r="DD120" s="30">
        <f>VALUE(CONCATENATE(Scénario!K8,Travail!DD2))</f>
        <v>10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1240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810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1241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1242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1243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1244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1245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1246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1247</v>
      </c>
      <c r="C128" s="168">
        <f t="shared" si="34"/>
        <v>0</v>
      </c>
      <c r="D128" s="168">
        <f t="shared" si="25"/>
        <v>0</v>
      </c>
      <c r="F128" s="14" t="s">
        <v>1248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1249</v>
      </c>
      <c r="C129" s="168">
        <f t="shared" si="34"/>
        <v>0</v>
      </c>
      <c r="D129" s="168">
        <f t="shared" si="25"/>
        <v>0</v>
      </c>
      <c r="F129" s="14" t="s">
        <v>901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3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4</v>
      </c>
      <c r="S129">
        <f t="shared" si="35"/>
        <v>4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3</v>
      </c>
      <c r="AC129">
        <f t="shared" si="35"/>
        <v>3</v>
      </c>
      <c r="AD129">
        <f t="shared" si="35"/>
        <v>4</v>
      </c>
      <c r="AE129">
        <f t="shared" si="35"/>
        <v>3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1250</v>
      </c>
      <c r="C130" s="168">
        <f t="shared" si="34"/>
        <v>0</v>
      </c>
      <c r="D130" s="168">
        <f t="shared" si="25"/>
        <v>0</v>
      </c>
      <c r="F130" s="14" t="s">
        <v>917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1251</v>
      </c>
      <c r="C131" s="168">
        <f t="shared" si="34"/>
        <v>0</v>
      </c>
      <c r="D131" s="168">
        <f t="shared" si="25"/>
        <v>0</v>
      </c>
      <c r="F131" s="14" t="s">
        <v>918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1252</v>
      </c>
      <c r="C132" s="168">
        <f t="shared" si="34"/>
        <v>0</v>
      </c>
      <c r="D132" s="168">
        <f t="shared" si="25"/>
        <v>0</v>
      </c>
      <c r="F132" s="14" t="s">
        <v>1253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3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3</v>
      </c>
      <c r="AC132">
        <f t="shared" si="38"/>
        <v>3</v>
      </c>
      <c r="AD132">
        <f t="shared" si="38"/>
        <v>4</v>
      </c>
      <c r="AE132">
        <f t="shared" si="38"/>
        <v>3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1254</v>
      </c>
      <c r="C133" s="263">
        <f>IF(C110&gt;0,C110/(C110+C113+C116),0)</f>
        <v>0.31578947368421051</v>
      </c>
      <c r="D133" s="263">
        <f t="shared" si="25"/>
        <v>0.31578947368421051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1255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1256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1257</v>
      </c>
      <c r="C135" s="263">
        <f t="shared" si="45"/>
        <v>0</v>
      </c>
      <c r="D135" s="263">
        <f t="shared" si="25"/>
        <v>0</v>
      </c>
      <c r="F135" s="14" t="s">
        <v>1258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1259</v>
      </c>
      <c r="C136" s="263">
        <f>SUM(C110:C112)/SUM(C110:C118)</f>
        <v>0.31578947368421051</v>
      </c>
      <c r="D136" s="263">
        <f t="shared" si="25"/>
        <v>0.31578947368421051</v>
      </c>
      <c r="F136" s="14" t="s">
        <v>1260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1261</v>
      </c>
      <c r="B137" s="32" t="s">
        <v>1262</v>
      </c>
      <c r="C137" s="168">
        <f>IF(Troupeau!B$3="OL",('Calcul éco'!B9+'Calcul éco'!B10),0)</f>
        <v>272</v>
      </c>
      <c r="D137" s="264">
        <f>C137*$D$82/$C$82</f>
        <v>0</v>
      </c>
      <c r="F137" s="14" t="s">
        <v>1263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1264</v>
      </c>
      <c r="C138" s="168">
        <f>IF(Troupeau!B$3="OL",('Calcul éco'!B13+'Calcul éco'!B14),0)</f>
        <v>51</v>
      </c>
      <c r="D138" s="264">
        <f t="shared" ref="D138:D174" si="50">C138*$D$82/$C$82</f>
        <v>0</v>
      </c>
      <c r="F138" s="14" t="s">
        <v>1265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1266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1267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1268</v>
      </c>
      <c r="C140" s="168">
        <f>IF(Troupeau!B$3="VL",('Calcul éco'!B13),0)</f>
        <v>0</v>
      </c>
      <c r="D140" s="264">
        <f t="shared" si="50"/>
        <v>0</v>
      </c>
      <c r="F140" s="14" t="s">
        <v>1269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1270</v>
      </c>
      <c r="C141" s="168">
        <f>IF(Troupeau!B$3="VL",('Calcul éco'!B14),0)</f>
        <v>0</v>
      </c>
      <c r="D141" s="264">
        <f t="shared" si="50"/>
        <v>0</v>
      </c>
      <c r="F141" s="14" t="s">
        <v>1271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1272</v>
      </c>
      <c r="C142" s="168">
        <f>SUM(G147:G150)</f>
        <v>0</v>
      </c>
      <c r="D142" s="264">
        <f t="shared" si="50"/>
        <v>0</v>
      </c>
      <c r="AT142" s="19" t="s">
        <v>831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1273</v>
      </c>
      <c r="C143" s="168">
        <f>G151+G153</f>
        <v>0</v>
      </c>
      <c r="D143" s="264">
        <f t="shared" si="50"/>
        <v>0</v>
      </c>
      <c r="AT143" s="19" t="s">
        <v>834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1274</v>
      </c>
      <c r="C144" s="168">
        <f>G152+G154</f>
        <v>0</v>
      </c>
      <c r="D144" s="264">
        <f t="shared" si="50"/>
        <v>0</v>
      </c>
      <c r="AT144" s="19" t="s">
        <v>836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1275</v>
      </c>
      <c r="C145" s="168">
        <f>G155+G156</f>
        <v>0</v>
      </c>
      <c r="D145" s="264">
        <f t="shared" si="50"/>
        <v>0</v>
      </c>
      <c r="AT145" s="19" t="s">
        <v>838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1276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1277</v>
      </c>
      <c r="AT146" s="40" t="s">
        <v>840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1278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1279</v>
      </c>
      <c r="G147">
        <f>IF(Troupeau!B$3="BV",'Calcul éco'!B9,0)</f>
        <v>0</v>
      </c>
      <c r="AT147" s="40" t="s">
        <v>842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1280</v>
      </c>
      <c r="B148" s="14" t="s">
        <v>1281</v>
      </c>
      <c r="C148" s="168">
        <f>IF(Troupeau!B3="OL",'Calcul éco'!B5,0)</f>
        <v>50128</v>
      </c>
      <c r="D148" s="264">
        <f t="shared" si="50"/>
        <v>0</v>
      </c>
      <c r="F148" s="14" t="s">
        <v>1282</v>
      </c>
      <c r="G148">
        <f>IF(Troupeau!B$3="BV",'Calcul éco'!B10,0)</f>
        <v>0</v>
      </c>
      <c r="AT148" s="40" t="s">
        <v>844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1283</v>
      </c>
      <c r="C149" s="168">
        <f>IF(Troupeau!B3="OL",'Calcul éco'!B6,0)</f>
        <v>0</v>
      </c>
      <c r="D149" s="264">
        <f t="shared" si="50"/>
        <v>0</v>
      </c>
      <c r="F149" s="14" t="s">
        <v>1284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1285</v>
      </c>
      <c r="C150" s="168">
        <f>IF(Troupeau!B3="BL",'Calcul éco'!B5,0)</f>
        <v>0</v>
      </c>
      <c r="D150" s="264">
        <f t="shared" si="50"/>
        <v>0</v>
      </c>
      <c r="F150" s="14" t="s">
        <v>1286</v>
      </c>
      <c r="G150">
        <f>IF(Troupeau!C$3="BV",'Calcul éco'!C10,0)</f>
        <v>0</v>
      </c>
      <c r="AT150" s="40" t="s">
        <v>845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1287</v>
      </c>
      <c r="B151" s="14" t="s">
        <v>1288</v>
      </c>
      <c r="C151" s="168">
        <f>'Calcul éco'!C19</f>
        <v>0</v>
      </c>
      <c r="D151" s="264">
        <f t="shared" si="50"/>
        <v>0</v>
      </c>
      <c r="F151" s="14" t="s">
        <v>1289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1290</v>
      </c>
      <c r="C152" s="168">
        <f>'Calcul éco'!C20</f>
        <v>0</v>
      </c>
      <c r="D152" s="264">
        <f t="shared" si="50"/>
        <v>0</v>
      </c>
      <c r="F152" s="14" t="s">
        <v>1291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1292</v>
      </c>
      <c r="C153" s="168">
        <f>'Calcul éco'!C21</f>
        <v>0</v>
      </c>
      <c r="D153" s="264">
        <f t="shared" si="50"/>
        <v>0</v>
      </c>
      <c r="F153" s="14" t="s">
        <v>1293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1294</v>
      </c>
      <c r="C154" s="168">
        <f>'Calcul éco'!D19</f>
        <v>0</v>
      </c>
      <c r="D154" s="264">
        <f t="shared" si="50"/>
        <v>0</v>
      </c>
      <c r="F154" s="14" t="s">
        <v>1295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1296</v>
      </c>
      <c r="C155" s="168">
        <f>'Calcul éco'!D20</f>
        <v>0</v>
      </c>
      <c r="D155" s="264">
        <f t="shared" si="50"/>
        <v>0</v>
      </c>
      <c r="F155" s="14" t="s">
        <v>1297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1298</v>
      </c>
      <c r="C156" s="168">
        <f>'Calcul éco'!D21</f>
        <v>0</v>
      </c>
      <c r="D156" s="264">
        <f t="shared" si="50"/>
        <v>0</v>
      </c>
      <c r="F156" s="14" t="s">
        <v>1299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1300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1301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1302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1303</v>
      </c>
      <c r="C160" s="168">
        <f>'Calcul éco'!C30</f>
        <v>0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1304</v>
      </c>
      <c r="B161" s="14" t="s">
        <v>1305</v>
      </c>
      <c r="C161" s="263">
        <f>IF(Troupeau!$B$3="OL",CdTrp1!$AA$159,0)</f>
        <v>97.042226265599879</v>
      </c>
      <c r="D161" s="264">
        <f t="shared" si="50"/>
        <v>0</v>
      </c>
      <c r="AT161" s="182" t="s">
        <v>859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1306</v>
      </c>
      <c r="B162" s="14" t="s">
        <v>1307</v>
      </c>
      <c r="C162" s="263">
        <f>IF(Troupeau!$B$3="OL",CdTrp1!$AA$147,0)</f>
        <v>102.61620804623999</v>
      </c>
      <c r="D162" s="264">
        <f t="shared" si="50"/>
        <v>0</v>
      </c>
      <c r="AT162" s="182" t="s">
        <v>861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1308</v>
      </c>
      <c r="C163" s="263">
        <f>IF(Troupeau!$B$3="BL",CdTrp1!$AA$159,0)</f>
        <v>0</v>
      </c>
      <c r="D163" s="264">
        <f t="shared" si="50"/>
        <v>0</v>
      </c>
      <c r="AT163" s="40" t="s">
        <v>863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1309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1310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1311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868</v>
      </c>
      <c r="AU166" s="17">
        <f>VLOOKUP(AU120,[1]Trav!$B$12:$C$31,2)</f>
        <v>2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868</v>
      </c>
      <c r="CA166" s="17" t="e">
        <f>VLOOKUP(CA120,[1]Trav!$B$12:$C$31,2)</f>
        <v>#N/A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868</v>
      </c>
      <c r="DD166" s="17" t="e">
        <f>VLOOKUP(DD120,[1]Trav!$B$12:$C$31,2)</f>
        <v>#N/A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1312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1313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1314</v>
      </c>
      <c r="C169" s="168">
        <f>SUM('Alim -Surf'!D24:H24)</f>
        <v>110.34499999999998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1315</v>
      </c>
      <c r="C170" s="168">
        <f>SUM('Alim -Surf'!D25:H25)</f>
        <v>97.042226265599993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1316</v>
      </c>
      <c r="C171" s="168">
        <f>'Alim -Surf'!K24</f>
        <v>69.305000000000007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1317</v>
      </c>
      <c r="C172" s="168">
        <f>'Alim -Surf'!K25</f>
        <v>102.69999999999999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1318</v>
      </c>
      <c r="C173" s="168">
        <f>C169-C170</f>
        <v>13.302773734399992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1319</v>
      </c>
      <c r="C174" s="191">
        <f>ROUND((1 -(C173/C169))*100,1)</f>
        <v>87.9</v>
      </c>
      <c r="D174" s="264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1320</v>
      </c>
      <c r="C175" s="168">
        <f>C171-C172</f>
        <v>-33.394999999999982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1321</v>
      </c>
      <c r="C176" s="168">
        <f>'Calcul éco'!B118</f>
        <v>33.394999999999982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1322</v>
      </c>
      <c r="C177" s="168">
        <f>'Calcul éco'!C30</f>
        <v>0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1323</v>
      </c>
      <c r="C178" s="168">
        <f>ROUND((C170+C171)/(C170+C172),2)*100</f>
        <v>83</v>
      </c>
      <c r="D178" s="168" t="e">
        <f>ROUND((D170+D171)/(D170+D172),2)*100</f>
        <v>#DIV/0!</v>
      </c>
      <c r="AT178" s="40" t="s">
        <v>880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880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880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1324</v>
      </c>
      <c r="C179" s="168">
        <f>SUM('Calcul éco'!D82:F106)</f>
        <v>63.800000000000004</v>
      </c>
      <c r="D179" s="264">
        <f>C179*$D$82/$C$82</f>
        <v>0</v>
      </c>
    </row>
    <row r="180" spans="1:132" x14ac:dyDescent="0.25">
      <c r="B180" s="14" t="s">
        <v>1325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1327</v>
      </c>
      <c r="B182" s="14" t="s">
        <v>1328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1329</v>
      </c>
      <c r="C183" s="168">
        <f>Protection!AK25</f>
        <v>4437</v>
      </c>
      <c r="D183" s="265">
        <f>ROUND(D184*D185,0)</f>
        <v>0</v>
      </c>
      <c r="E183" s="17" t="s">
        <v>1330</v>
      </c>
    </row>
    <row r="184" spans="1:132" x14ac:dyDescent="0.25">
      <c r="B184" s="14" t="s">
        <v>1331</v>
      </c>
      <c r="C184" s="168">
        <f>Protection!AK26</f>
        <v>18.399999999999999</v>
      </c>
      <c r="D184" s="266">
        <f>C184*D82/C82</f>
        <v>0</v>
      </c>
    </row>
    <row r="185" spans="1:132" x14ac:dyDescent="0.25">
      <c r="B185" s="14" t="s">
        <v>1332</v>
      </c>
      <c r="C185" s="168">
        <f>IF(C183=0,0,ROUND(C183/C184,0))</f>
        <v>241</v>
      </c>
      <c r="D185" s="168">
        <f>C185</f>
        <v>241</v>
      </c>
    </row>
    <row r="186" spans="1:132" x14ac:dyDescent="0.25">
      <c r="B186" s="14" t="s">
        <v>1333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1335</v>
      </c>
      <c r="C188" s="168">
        <f>'Calcul éco'!T236</f>
        <v>0</v>
      </c>
      <c r="D188" s="168">
        <f t="shared" ref="D188:D189" si="101">C188</f>
        <v>0</v>
      </c>
      <c r="AK188" s="40" t="s">
        <v>1141</v>
      </c>
    </row>
    <row r="189" spans="1:132" x14ac:dyDescent="0.25">
      <c r="B189" s="14" t="s">
        <v>1336</v>
      </c>
      <c r="C189" s="168">
        <f>'Calcul éco'!T245</f>
        <v>8</v>
      </c>
      <c r="D189" s="168">
        <f t="shared" si="101"/>
        <v>8</v>
      </c>
      <c r="AH189" s="15"/>
      <c r="AJ189" s="14" t="s">
        <v>1142</v>
      </c>
      <c r="AK189" s="30">
        <f>D189</f>
        <v>8</v>
      </c>
      <c r="AO189" s="168">
        <f>ROUND((([1]Protect!$B$5/[1]Protect!$B$11)+[1]Protect!$B$8)*AK189,0)</f>
        <v>7234</v>
      </c>
    </row>
    <row r="190" spans="1:132" x14ac:dyDescent="0.25">
      <c r="B190" s="14" t="s">
        <v>1337</v>
      </c>
      <c r="C190" s="168">
        <f>'Calcul éco'!T246*(30)</f>
        <v>0</v>
      </c>
      <c r="D190" s="168">
        <f>C190</f>
        <v>0</v>
      </c>
      <c r="AH190" s="15"/>
      <c r="AJ190" s="14" t="s">
        <v>1143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1338</v>
      </c>
      <c r="C191" s="191">
        <f>ROUND(SUM(Travail!F69:F74)/8,1)</f>
        <v>47.5</v>
      </c>
      <c r="D191" s="168">
        <f>C191</f>
        <v>47.5</v>
      </c>
      <c r="E191" s="17" t="s">
        <v>1339</v>
      </c>
      <c r="G191" t="s">
        <v>1340</v>
      </c>
      <c r="N191" t="s">
        <v>1341</v>
      </c>
      <c r="U191" t="s">
        <v>945</v>
      </c>
      <c r="AJ191" s="14" t="s">
        <v>1144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1342</v>
      </c>
      <c r="C192" s="168">
        <f>(Travail!F83+Travail!F84)/8</f>
        <v>0.625</v>
      </c>
      <c r="D192" s="267">
        <f>ROUND((D183/1000)*([1]Protect!$B$25*8/10+[1]Protect!$B$26),2)/8</f>
        <v>0</v>
      </c>
      <c r="E192" s="17" t="s">
        <v>1343</v>
      </c>
      <c r="I192" s="5"/>
      <c r="AN192" s="14" t="s">
        <v>1145</v>
      </c>
      <c r="AO192" s="168">
        <f>SUM(AO189:AO191)</f>
        <v>7234</v>
      </c>
    </row>
    <row r="193" spans="1:43" x14ac:dyDescent="0.25">
      <c r="B193" s="14" t="s">
        <v>1344</v>
      </c>
      <c r="C193" s="168">
        <f>(Travail!F75+Travail!F76+Travail!F81)/8</f>
        <v>15</v>
      </c>
      <c r="D193" s="168">
        <f>C193</f>
        <v>15</v>
      </c>
      <c r="I193" s="32" t="s">
        <v>1345</v>
      </c>
      <c r="J193" s="5">
        <f>D65</f>
        <v>0</v>
      </c>
      <c r="P193" s="32" t="s">
        <v>1346</v>
      </c>
      <c r="Q193" s="5">
        <f>D64</f>
        <v>0</v>
      </c>
      <c r="V193" s="32" t="s">
        <v>1347</v>
      </c>
      <c r="W193" s="5">
        <f>D63</f>
        <v>0</v>
      </c>
    </row>
    <row r="194" spans="1:43" x14ac:dyDescent="0.25">
      <c r="A194" s="2" t="s">
        <v>1348</v>
      </c>
      <c r="B194" s="14" t="s">
        <v>1349</v>
      </c>
      <c r="C194" s="168">
        <f>ROUND(SUM('Calcul éco'!J5:J30),0)</f>
        <v>66713</v>
      </c>
      <c r="D194" s="260">
        <f>ROUND(C194*D$82/C$82,0)</f>
        <v>0</v>
      </c>
      <c r="I194" s="32" t="s">
        <v>1350</v>
      </c>
      <c r="J194" s="5">
        <f>J193/IF(Scénario!K2="Exploit. Ind.",1,Scénario!K3)</f>
        <v>0</v>
      </c>
      <c r="P194" s="32" t="s">
        <v>1351</v>
      </c>
      <c r="Q194" s="5">
        <f>Q193/IF(Scénario!K2="Exploit. Ind.",1,Scénario!K3)</f>
        <v>0</v>
      </c>
      <c r="V194" s="32" t="s">
        <v>1352</v>
      </c>
      <c r="W194" s="5">
        <f>W193/IF(Scénario!K2="Exploit. Ind.",1,Scénario!K3)</f>
        <v>0</v>
      </c>
    </row>
    <row r="195" spans="1:43" x14ac:dyDescent="0.25">
      <c r="A195" s="2"/>
      <c r="B195" s="14" t="s">
        <v>1353</v>
      </c>
      <c r="C195" s="168">
        <f>ROUND(IF(Troupeau!B3="OL",'Calcul éco'!J5+'Calcul éco'!J6,0),0)</f>
        <v>53336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1354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1355</v>
      </c>
      <c r="C197" s="168">
        <f>IF(Troupeau!B3="OL",SUM('Calcul éco'!K9:K15)-'Calcul éco'!K16,0)</f>
        <v>10677</v>
      </c>
      <c r="D197" s="260">
        <f t="shared" si="102"/>
        <v>0</v>
      </c>
      <c r="H197" s="166" t="s">
        <v>953</v>
      </c>
      <c r="I197" s="166" t="s">
        <v>954</v>
      </c>
      <c r="J197" s="166" t="s">
        <v>704</v>
      </c>
      <c r="O197" s="166" t="s">
        <v>953</v>
      </c>
      <c r="P197" s="166" t="s">
        <v>957</v>
      </c>
      <c r="Q197" s="166" t="s">
        <v>704</v>
      </c>
      <c r="T197" s="5"/>
      <c r="U197" s="166" t="s">
        <v>953</v>
      </c>
      <c r="V197" s="166" t="s">
        <v>955</v>
      </c>
      <c r="W197" s="166" t="s">
        <v>704</v>
      </c>
    </row>
    <row r="198" spans="1:43" x14ac:dyDescent="0.25">
      <c r="A198" s="2"/>
      <c r="B198" s="14" t="s">
        <v>1356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959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960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1148</v>
      </c>
      <c r="AJ198" s="4">
        <f>IF(Troupeau!B3="OL",L223,0)*Scénario!K56</f>
        <v>0</v>
      </c>
      <c r="AO198" s="40" t="s">
        <v>1149</v>
      </c>
      <c r="AP198">
        <f>IF(Troupeau!B3="OL",D63,0)</f>
        <v>0</v>
      </c>
    </row>
    <row r="199" spans="1:43" x14ac:dyDescent="0.25">
      <c r="A199" s="2"/>
      <c r="B199" s="14" t="s">
        <v>1357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962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963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1150</v>
      </c>
      <c r="AQ199" t="s">
        <v>1150</v>
      </c>
    </row>
    <row r="200" spans="1:43" x14ac:dyDescent="0.25">
      <c r="A200" s="2"/>
      <c r="B200" s="14" t="s">
        <v>1358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967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964</v>
      </c>
      <c r="Q200" s="62">
        <f>IF(Scénario!K10=1,Q198,Q199)*IF(Scénario!K2="Exploit. Ind.",1,Scénario!K3)</f>
        <v>0</v>
      </c>
      <c r="V200" s="40" t="s">
        <v>964</v>
      </c>
      <c r="W200" s="62">
        <f>SUM(W198:W199)*IF(Scénario!K2="Exploit. Ind.",1,Scénario!K3)</f>
        <v>0</v>
      </c>
      <c r="AI200" s="14" t="s">
        <v>1151</v>
      </c>
      <c r="AJ200" s="30">
        <f>IF(AJ198&lt;151,1,0)</f>
        <v>1</v>
      </c>
      <c r="AK200" s="168">
        <f>IF(AJ200=0,0,[1]Protect!B76)</f>
        <v>7500</v>
      </c>
      <c r="AO200" s="14" t="s">
        <v>1152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68">
        <f>'Calcul éco'!J34</f>
        <v>0</v>
      </c>
      <c r="D201" s="265">
        <f>J201</f>
        <v>0</v>
      </c>
      <c r="E201" s="17" t="s">
        <v>1359</v>
      </c>
      <c r="I201" s="40" t="s">
        <v>964</v>
      </c>
      <c r="J201" s="62">
        <f>SUM(J198:J200)*IF(Scénario!K2="Exploit. Ind.",1,Scénario!K3)</f>
        <v>0</v>
      </c>
      <c r="AI201" s="14" t="s">
        <v>1153</v>
      </c>
      <c r="AJ201" s="30">
        <f>IF(AND(150 &lt;AJ$198,AJ$198&lt;451),1,0)</f>
        <v>0</v>
      </c>
      <c r="AK201" s="168">
        <f>IF(AJ201=0,0,[1]Protect!B77)</f>
        <v>0</v>
      </c>
      <c r="AO201" s="14" t="s">
        <v>1154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981</v>
      </c>
      <c r="C202" s="168">
        <f>+'Calcul éco'!J35</f>
        <v>0</v>
      </c>
      <c r="D202" s="265">
        <f>ROUND(Q200,0)</f>
        <v>0</v>
      </c>
      <c r="E202" s="17" t="s">
        <v>1359</v>
      </c>
      <c r="AI202" s="14" t="s">
        <v>1155</v>
      </c>
      <c r="AJ202" s="30">
        <f>IF(AND(540 &lt;AJ$198,AJ$198&lt;1201),1,0)</f>
        <v>0</v>
      </c>
      <c r="AK202" s="168">
        <f>IF(AJ202=0,0,[1]Protect!B78)</f>
        <v>0</v>
      </c>
      <c r="AO202" s="14" t="s">
        <v>1156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988</v>
      </c>
      <c r="C203" s="168">
        <f>'Calcul éco'!J37</f>
        <v>6512.4000000000005</v>
      </c>
      <c r="D203" s="265">
        <f>ROUND(W200,0)</f>
        <v>0</v>
      </c>
      <c r="E203" s="17" t="s">
        <v>1359</v>
      </c>
      <c r="AI203" s="14" t="s">
        <v>1157</v>
      </c>
      <c r="AJ203" s="30">
        <f>IF(AND(1200&lt;AJ$198,AJ$198&lt;1501),1,0)</f>
        <v>0</v>
      </c>
      <c r="AK203" s="168">
        <f>IF(AJ203=0,0,[1]Protect!B79)</f>
        <v>0</v>
      </c>
      <c r="AO203" s="14" t="s">
        <v>1158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1001</v>
      </c>
      <c r="C204" s="168">
        <f>'Calcul éco'!J39</f>
        <v>0</v>
      </c>
      <c r="D204" s="260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982</v>
      </c>
      <c r="U204" s="14"/>
      <c r="V204" s="36"/>
      <c r="AI204" s="14" t="s">
        <v>1159</v>
      </c>
      <c r="AJ204" s="30">
        <f>IF(1500&lt;AJ$198,1,0)</f>
        <v>0</v>
      </c>
      <c r="AK204" s="168">
        <f>IF(AJ204=0,0,[1]Protect!B80)</f>
        <v>0</v>
      </c>
      <c r="AO204" s="14" t="s">
        <v>1160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1360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986</v>
      </c>
      <c r="Y205" s="183">
        <f>'Calcul éco'!AC36</f>
        <v>258</v>
      </c>
      <c r="Z205" s="5"/>
    </row>
    <row r="206" spans="1:43" x14ac:dyDescent="0.25">
      <c r="A206" s="2" t="s">
        <v>1007</v>
      </c>
      <c r="B206" s="19" t="s">
        <v>1008</v>
      </c>
      <c r="C206" s="168">
        <f>ROUND('Calcul éco'!J42,0)</f>
        <v>2367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993</v>
      </c>
      <c r="Y206" s="166" t="s">
        <v>953</v>
      </c>
      <c r="Z206" s="166" t="s">
        <v>704</v>
      </c>
    </row>
    <row r="207" spans="1:43" x14ac:dyDescent="0.25">
      <c r="B207" s="204" t="s">
        <v>1012</v>
      </c>
      <c r="C207" s="168">
        <f>ROUND('Calcul éco'!J43,0)</f>
        <v>1196</v>
      </c>
      <c r="D207" s="265">
        <f>IF(L212&gt;52,52,L212)*IF(Scénario!K2="Exploit. Ind.",1,Scénario!K3)*'Calcul éco'!C43</f>
        <v>0</v>
      </c>
      <c r="E207" s="17" t="s">
        <v>1361</v>
      </c>
      <c r="W207" s="14" t="s">
        <v>999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1161</v>
      </c>
      <c r="AL207" s="168">
        <f>IF(Scénario!K84=2,AL209,IF(Scénario!K84=1,AL208,0))</f>
        <v>7234</v>
      </c>
      <c r="AQ207" s="5"/>
    </row>
    <row r="208" spans="1:43" x14ac:dyDescent="0.25">
      <c r="B208" s="204" t="s">
        <v>1013</v>
      </c>
      <c r="C208" s="168">
        <f>ROUND('Calcul éco'!J44,0)</f>
        <v>1635</v>
      </c>
      <c r="D208" s="260">
        <f>ROUND(C208*D$82/C$82,0)</f>
        <v>0</v>
      </c>
      <c r="S208" s="14" t="s">
        <v>1002</v>
      </c>
      <c r="T208" s="30">
        <f>L212</f>
        <v>0</v>
      </c>
      <c r="W208" s="14" t="s">
        <v>1003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1162</v>
      </c>
      <c r="AL208" s="168">
        <f>IF(AO192&lt;SUM(AK200:AK204),AO192,SUM(AK200:AK204))</f>
        <v>7234</v>
      </c>
      <c r="AQ208" s="243"/>
    </row>
    <row r="209" spans="1:43" x14ac:dyDescent="0.25">
      <c r="B209" s="19" t="s">
        <v>1015</v>
      </c>
      <c r="C209" s="168">
        <f>ROUND('Calcul éco'!J45,0)</f>
        <v>8003</v>
      </c>
      <c r="D209" s="265">
        <f>IF(Scénario!K9=0,0,ROUND(Z210,0))</f>
        <v>0</v>
      </c>
      <c r="E209" s="17" t="s">
        <v>1362</v>
      </c>
      <c r="K209" s="40" t="s">
        <v>1014</v>
      </c>
      <c r="L209" s="62">
        <f>SUM(L205:L206)</f>
        <v>0</v>
      </c>
      <c r="W209" s="14" t="s">
        <v>1005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1163</v>
      </c>
      <c r="AL209" s="168">
        <f>IF(AO192&lt;SUM(AQ200:AQ204),AO192,SUM(AQ200:AQ204))</f>
        <v>5000</v>
      </c>
      <c r="AP209" s="243"/>
      <c r="AQ209" s="243"/>
    </row>
    <row r="210" spans="1:43" x14ac:dyDescent="0.25">
      <c r="B210" s="19" t="s">
        <v>1363</v>
      </c>
      <c r="C210" s="168">
        <f>ROUND('Calcul éco'!J46,0)</f>
        <v>7234</v>
      </c>
      <c r="D210" s="265">
        <f>ROUND(AL207,0)</f>
        <v>7234</v>
      </c>
      <c r="E210" s="17" t="s">
        <v>1364</v>
      </c>
      <c r="K210" s="14" t="s">
        <v>1016</v>
      </c>
      <c r="L210" s="168">
        <f>J221</f>
        <v>0</v>
      </c>
      <c r="Y210" s="40" t="s">
        <v>964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1365</v>
      </c>
      <c r="C211" s="168">
        <f>SUM(C201:C210)</f>
        <v>26947.4</v>
      </c>
      <c r="D211" s="265">
        <f>ROUND(SUM(D201:D210),0)</f>
        <v>7234</v>
      </c>
      <c r="E211" s="17" t="s">
        <v>1366</v>
      </c>
      <c r="K211" s="40" t="s">
        <v>1021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1367</v>
      </c>
      <c r="B212" s="14" t="s">
        <v>1368</v>
      </c>
      <c r="C212" s="168">
        <f>IF(Troupeau!B3="OL",'Calcul éco'!K116,0)</f>
        <v>26812.3</v>
      </c>
      <c r="D212" s="260">
        <f>ROUND(C212*D$82/C$82,0)</f>
        <v>0</v>
      </c>
      <c r="K212" s="40" t="s">
        <v>1369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1370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1164</v>
      </c>
      <c r="AP213" s="244"/>
      <c r="AQ213" s="243"/>
    </row>
    <row r="214" spans="1:43" x14ac:dyDescent="0.25">
      <c r="B214" s="14" t="s">
        <v>1371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1024</v>
      </c>
      <c r="AF214" s="5"/>
      <c r="AJ214" s="33" t="s">
        <v>1165</v>
      </c>
      <c r="AK214" s="33"/>
      <c r="AL214" s="33"/>
      <c r="AM214" s="33" t="s">
        <v>1166</v>
      </c>
      <c r="AN214" s="33" t="s">
        <v>987</v>
      </c>
      <c r="AP214" s="244"/>
      <c r="AQ214" s="243"/>
    </row>
    <row r="215" spans="1:43" x14ac:dyDescent="0.25">
      <c r="B215" s="14" t="s">
        <v>1372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1373</v>
      </c>
      <c r="J215" t="s">
        <v>1374</v>
      </c>
      <c r="AF215" s="5"/>
      <c r="AI215" s="14" t="s">
        <v>1167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1375</v>
      </c>
      <c r="C216" s="168">
        <f>ROUND(SUM(C212:C215),0)</f>
        <v>26812</v>
      </c>
      <c r="D216" s="260">
        <f t="shared" si="106"/>
        <v>0</v>
      </c>
      <c r="G216" s="14" t="s">
        <v>553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1168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1376</v>
      </c>
      <c r="C217" s="168">
        <f>SUM('Calcul éco'!J122:J138)</f>
        <v>1486.116</v>
      </c>
      <c r="D217" s="260">
        <f t="shared" si="106"/>
        <v>0</v>
      </c>
      <c r="G217" s="19" t="s">
        <v>567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1169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1377</v>
      </c>
      <c r="C218" s="168">
        <f>SUM('Calcul éco'!J118:J119)</f>
        <v>7958.7649999999958</v>
      </c>
      <c r="D218" s="260">
        <f t="shared" si="106"/>
        <v>0</v>
      </c>
      <c r="G218" s="14" t="s">
        <v>574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1378</v>
      </c>
      <c r="C219" s="168">
        <f>'Calcul éco'!J141</f>
        <v>7234</v>
      </c>
      <c r="D219" s="260">
        <f t="shared" si="106"/>
        <v>0</v>
      </c>
      <c r="K219" s="4"/>
      <c r="AF219" s="5"/>
      <c r="AG219" s="245"/>
      <c r="AI219" s="14" t="s">
        <v>1131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1379</v>
      </c>
      <c r="C220" s="168">
        <f>'Calcul éco'!J142</f>
        <v>399.33000000000004</v>
      </c>
      <c r="D220" s="265">
        <f>SUM(AN215:AN219)</f>
        <v>0</v>
      </c>
      <c r="E220" s="17" t="s">
        <v>1380</v>
      </c>
      <c r="H220" s="14" t="s">
        <v>1026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1381</v>
      </c>
      <c r="C221" s="168">
        <f>ROUND(SUM(C216:C220),0)</f>
        <v>43890</v>
      </c>
      <c r="D221" s="265">
        <f>ROUND(SUM(D216:D220),0)</f>
        <v>0</v>
      </c>
      <c r="E221" s="17" t="s">
        <v>1380</v>
      </c>
      <c r="H221" s="14" t="s">
        <v>1027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1093</v>
      </c>
      <c r="B222" s="14" t="s">
        <v>1382</v>
      </c>
      <c r="C222" s="168">
        <f>'Calcul éco'!J149</f>
        <v>920.00000000000011</v>
      </c>
      <c r="D222" s="260">
        <f>ROUND(C222*D$82/C$82,0)</f>
        <v>0</v>
      </c>
      <c r="K222" t="s">
        <v>1373</v>
      </c>
      <c r="L222" t="s">
        <v>1383</v>
      </c>
    </row>
    <row r="223" spans="1:43" x14ac:dyDescent="0.25">
      <c r="B223" s="14" t="s">
        <v>1095</v>
      </c>
      <c r="C223" s="168">
        <f>'Calcul éco'!J150</f>
        <v>1000</v>
      </c>
      <c r="D223" s="168">
        <f>C223</f>
        <v>1000</v>
      </c>
      <c r="J223" s="14" t="s">
        <v>1384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1123</v>
      </c>
      <c r="AM223" t="s">
        <v>1124</v>
      </c>
      <c r="AN223" t="s">
        <v>1125</v>
      </c>
      <c r="AO223" t="s">
        <v>1126</v>
      </c>
    </row>
    <row r="224" spans="1:43" x14ac:dyDescent="0.25">
      <c r="B224" s="14" t="s">
        <v>1096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1385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1386</v>
      </c>
      <c r="K225" s="30">
        <f>Scénario!K66</f>
        <v>0</v>
      </c>
      <c r="L225" s="30">
        <f>K225*'Synthèse résultats'!D$82/'Synthèse résultats'!C$82</f>
        <v>0</v>
      </c>
      <c r="AJ225" s="14" t="s">
        <v>1128</v>
      </c>
      <c r="AK225" s="30">
        <f>D183</f>
        <v>0</v>
      </c>
      <c r="AL225" t="s">
        <v>1129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1100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1130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1102</v>
      </c>
      <c r="C227" s="168">
        <f>'Calcul éco'!J154</f>
        <v>6348.0000000000009</v>
      </c>
      <c r="D227" s="260">
        <f t="shared" ref="D227:D233" si="109">ROUND(C227*D$82/C$82,0)</f>
        <v>0</v>
      </c>
      <c r="AJ227" s="14" t="s">
        <v>1131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1132</v>
      </c>
      <c r="AR227" t="s">
        <v>1133</v>
      </c>
      <c r="AS227" t="s">
        <v>1134</v>
      </c>
      <c r="AT227" t="s">
        <v>1135</v>
      </c>
      <c r="AU227" t="s">
        <v>1136</v>
      </c>
      <c r="AV227" t="s">
        <v>1137</v>
      </c>
      <c r="AW227" t="s">
        <v>1138</v>
      </c>
    </row>
    <row r="228" spans="1:49" x14ac:dyDescent="0.25">
      <c r="B228" s="14" t="s">
        <v>1104</v>
      </c>
      <c r="C228" s="168"/>
      <c r="D228" s="260">
        <f t="shared" si="109"/>
        <v>0</v>
      </c>
      <c r="AN228" s="14" t="s">
        <v>1139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1107</v>
      </c>
      <c r="C229" s="168">
        <f>'Calcul éco'!J157</f>
        <v>0</v>
      </c>
      <c r="D229" s="260">
        <f t="shared" si="109"/>
        <v>0</v>
      </c>
    </row>
    <row r="230" spans="1:49" x14ac:dyDescent="0.25">
      <c r="B230" s="14" t="s">
        <v>1108</v>
      </c>
      <c r="C230" s="168">
        <f>'Calcul éco'!J158</f>
        <v>0</v>
      </c>
      <c r="D230" s="260">
        <f t="shared" si="109"/>
        <v>0</v>
      </c>
    </row>
    <row r="231" spans="1:49" x14ac:dyDescent="0.25">
      <c r="B231" s="14" t="s">
        <v>1109</v>
      </c>
      <c r="C231" s="168">
        <f>'Calcul éco'!J159</f>
        <v>0</v>
      </c>
      <c r="D231" s="260">
        <f t="shared" si="109"/>
        <v>0</v>
      </c>
      <c r="AJ231" s="14" t="s">
        <v>1140</v>
      </c>
      <c r="AK231" s="30">
        <f>D186</f>
        <v>0</v>
      </c>
      <c r="AL231" t="s">
        <v>1129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1110</v>
      </c>
      <c r="C232" s="168">
        <f>'Calcul éco'!J160</f>
        <v>0</v>
      </c>
      <c r="D232" s="260">
        <f t="shared" si="109"/>
        <v>0</v>
      </c>
    </row>
    <row r="233" spans="1:49" x14ac:dyDescent="0.25">
      <c r="B233" s="14" t="s">
        <v>1111</v>
      </c>
      <c r="C233" s="168">
        <f>'Calcul éco'!J161</f>
        <v>0</v>
      </c>
      <c r="D233" s="260">
        <f t="shared" si="109"/>
        <v>0</v>
      </c>
    </row>
    <row r="234" spans="1:49" x14ac:dyDescent="0.25">
      <c r="B234" s="14" t="s">
        <v>1387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1388</v>
      </c>
      <c r="C235" s="168">
        <f>'Calcul éco'!J167</f>
        <v>4092.55</v>
      </c>
      <c r="D235" s="265">
        <f>(D191+D192)*8*[1]Eco!$B$106</f>
        <v>4039.4</v>
      </c>
      <c r="E235" s="17" t="s">
        <v>1380</v>
      </c>
    </row>
    <row r="236" spans="1:49" x14ac:dyDescent="0.25">
      <c r="B236" s="14" t="s">
        <v>1389</v>
      </c>
      <c r="C236" s="168">
        <f>ROUND(SUM(C222:C235),0)</f>
        <v>27675</v>
      </c>
      <c r="D236" s="265">
        <f>ROUND(SUM(D222:D235),0)</f>
        <v>10766</v>
      </c>
      <c r="E236" s="17" t="s">
        <v>1390</v>
      </c>
    </row>
    <row r="237" spans="1:49" x14ac:dyDescent="0.25">
      <c r="A237" s="2" t="s">
        <v>1391</v>
      </c>
      <c r="B237" s="204" t="s">
        <v>1117</v>
      </c>
      <c r="C237" s="168">
        <f>C194+C211-C221-C236</f>
        <v>22095.399999999994</v>
      </c>
      <c r="D237" s="265">
        <f>D194+D211-D221-D236</f>
        <v>-3532</v>
      </c>
    </row>
    <row r="238" spans="1:49" x14ac:dyDescent="0.25">
      <c r="B238" s="204" t="s">
        <v>1118</v>
      </c>
      <c r="C238" s="168">
        <f>ROUND(C237/Scénario!$K$4,0)</f>
        <v>22095</v>
      </c>
      <c r="D238" s="265" t="e">
        <f>ROUND(D237/D83,0)</f>
        <v>#DIV/0!</v>
      </c>
    </row>
    <row r="239" spans="1:49" x14ac:dyDescent="0.25">
      <c r="B239" s="204" t="s">
        <v>1119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1120</v>
      </c>
      <c r="C240" s="268">
        <f>'Calcul éco'!B178</f>
        <v>656.45030399137863</v>
      </c>
      <c r="D240" s="269">
        <f>AW228+AW231</f>
        <v>0</v>
      </c>
      <c r="E240" s="17" t="s">
        <v>1380</v>
      </c>
    </row>
    <row r="241" spans="1:15" x14ac:dyDescent="0.25">
      <c r="B241" s="204" t="s">
        <v>1121</v>
      </c>
      <c r="C241" s="270">
        <f>ROUND(C237-C239-C240,0)</f>
        <v>10439</v>
      </c>
      <c r="D241" s="269">
        <f>ROUND(D237-D239-D240,0)</f>
        <v>-14532</v>
      </c>
    </row>
    <row r="242" spans="1:15" x14ac:dyDescent="0.25">
      <c r="B242" s="204" t="s">
        <v>1122</v>
      </c>
      <c r="C242" s="168">
        <f>ROUND(C241/Scénario!K4,0)</f>
        <v>10439</v>
      </c>
      <c r="D242" s="265" t="e">
        <f>ROUND(D241/D83,0)</f>
        <v>#DIV/0!</v>
      </c>
    </row>
    <row r="243" spans="1:15" x14ac:dyDescent="0.25">
      <c r="B243" s="204" t="s">
        <v>1392</v>
      </c>
      <c r="C243" s="168">
        <f>'Calcul éco'!X237+'Calcul éco'!X240</f>
        <v>26622</v>
      </c>
      <c r="D243" s="168">
        <f>C243</f>
        <v>26622</v>
      </c>
    </row>
    <row r="244" spans="1:15" x14ac:dyDescent="0.25">
      <c r="B244" s="204" t="s">
        <v>1393</v>
      </c>
      <c r="C244" s="168">
        <f>'Calcul éco'!AA237+'Calcul éco'!AA240</f>
        <v>5324.3999999999978</v>
      </c>
      <c r="D244" s="168">
        <f>C244</f>
        <v>5324.3999999999978</v>
      </c>
    </row>
    <row r="245" spans="1:15" x14ac:dyDescent="0.25">
      <c r="A245" s="2" t="s">
        <v>1394</v>
      </c>
      <c r="B245" s="14" t="s">
        <v>553</v>
      </c>
      <c r="C245" s="271">
        <f>Travail!F5</f>
        <v>1218</v>
      </c>
      <c r="D245" s="168">
        <f>C245</f>
        <v>1218</v>
      </c>
    </row>
    <row r="246" spans="1:15" x14ac:dyDescent="0.25">
      <c r="B246" s="14" t="s">
        <v>567</v>
      </c>
      <c r="C246" s="271">
        <f>Travail!F6</f>
        <v>0</v>
      </c>
      <c r="D246" s="168">
        <f t="shared" ref="D246:D247" si="112">C246</f>
        <v>0</v>
      </c>
    </row>
    <row r="247" spans="1:15" x14ac:dyDescent="0.25">
      <c r="B247" s="14" t="s">
        <v>574</v>
      </c>
      <c r="C247" s="271">
        <f>Travail!F7</f>
        <v>0</v>
      </c>
      <c r="D247" s="168">
        <f t="shared" si="112"/>
        <v>0</v>
      </c>
    </row>
    <row r="248" spans="1:15" x14ac:dyDescent="0.25">
      <c r="A248" s="43" t="s">
        <v>763</v>
      </c>
      <c r="B248" s="14" t="s">
        <v>553</v>
      </c>
      <c r="C248" s="271">
        <f>Travail!F9</f>
        <v>899.41991999999971</v>
      </c>
      <c r="D248" s="265">
        <f>ROUND(SUM(AV163:BS163),1)</f>
        <v>0</v>
      </c>
    </row>
    <row r="249" spans="1:15" x14ac:dyDescent="0.25">
      <c r="B249" s="14" t="s">
        <v>567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574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766</v>
      </c>
      <c r="B251" s="14" t="s">
        <v>553</v>
      </c>
      <c r="C251" s="271">
        <f>Travail!F16</f>
        <v>0</v>
      </c>
      <c r="D251" s="168">
        <f>C251</f>
        <v>0</v>
      </c>
      <c r="J251" s="40" t="s">
        <v>791</v>
      </c>
      <c r="M251" s="5"/>
      <c r="N251" s="5"/>
      <c r="O251" s="166"/>
    </row>
    <row r="252" spans="1:15" x14ac:dyDescent="0.25">
      <c r="A252" s="43"/>
      <c r="B252" s="14" t="s">
        <v>567</v>
      </c>
      <c r="C252" s="271">
        <f>Travail!F17</f>
        <v>0</v>
      </c>
      <c r="D252" s="168">
        <f t="shared" ref="D252:D253" si="113">C252</f>
        <v>0</v>
      </c>
      <c r="J252" s="37" t="s">
        <v>792</v>
      </c>
      <c r="K252" s="166" t="s">
        <v>52</v>
      </c>
      <c r="L252" t="s">
        <v>793</v>
      </c>
      <c r="M252" s="5"/>
      <c r="N252" s="5"/>
      <c r="O252" s="166"/>
    </row>
    <row r="253" spans="1:15" x14ac:dyDescent="0.25">
      <c r="A253" s="43"/>
      <c r="B253" s="14" t="s">
        <v>574</v>
      </c>
      <c r="C253" s="271">
        <f>Travail!F18</f>
        <v>0</v>
      </c>
      <c r="D253" s="168">
        <f t="shared" si="113"/>
        <v>0</v>
      </c>
      <c r="J253" s="14" t="s">
        <v>795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773</v>
      </c>
      <c r="B254" s="14" t="s">
        <v>553</v>
      </c>
      <c r="C254" s="271">
        <f>Travail!F20</f>
        <v>0</v>
      </c>
      <c r="D254" s="168">
        <f>Travail!G20</f>
        <v>0</v>
      </c>
      <c r="J254" s="14" t="s">
        <v>797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567</v>
      </c>
      <c r="C255" s="271">
        <f>Travail!F21</f>
        <v>0</v>
      </c>
      <c r="D255" s="168">
        <f>Travail!G21</f>
        <v>0</v>
      </c>
      <c r="J255" s="32" t="s">
        <v>799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574</v>
      </c>
      <c r="C256" s="271">
        <f>Travail!F22</f>
        <v>0</v>
      </c>
      <c r="D256" s="168">
        <f>Travail!G22</f>
        <v>0</v>
      </c>
      <c r="J256" s="32" t="s">
        <v>800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776</v>
      </c>
      <c r="B257" s="14" t="s">
        <v>553</v>
      </c>
      <c r="C257" s="271">
        <f>Travail!F31</f>
        <v>465.66666666666669</v>
      </c>
      <c r="D257" s="260">
        <f>ROUND(C257*D$82/C$82,0)</f>
        <v>0</v>
      </c>
      <c r="E257" s="17" t="s">
        <v>1395</v>
      </c>
      <c r="J257" s="32" t="s">
        <v>801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567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802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574</v>
      </c>
      <c r="C259" s="271">
        <f>Travail!F33</f>
        <v>0</v>
      </c>
      <c r="D259" s="260">
        <f t="shared" si="115"/>
        <v>0</v>
      </c>
      <c r="J259" s="32" t="s">
        <v>803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779</v>
      </c>
      <c r="B260" s="14" t="s">
        <v>553</v>
      </c>
      <c r="C260" s="271">
        <f>ROUND(Travail!F35,0)</f>
        <v>820</v>
      </c>
      <c r="D260" s="265">
        <f>ROUND(Travail!B35+(Travail!D35*Travail!C35*'Synthèse résultats'!G63),0)</f>
        <v>220</v>
      </c>
      <c r="E260" s="17" t="s">
        <v>1396</v>
      </c>
      <c r="J260" s="32" t="s">
        <v>804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784</v>
      </c>
      <c r="B261" s="14" t="s">
        <v>553</v>
      </c>
      <c r="C261" s="271">
        <f>Travail!F39</f>
        <v>0</v>
      </c>
      <c r="D261" s="260">
        <f>ROUND(C261*G63,0)</f>
        <v>0</v>
      </c>
      <c r="E261" s="17" t="s">
        <v>1397</v>
      </c>
      <c r="J261" s="32" t="s">
        <v>805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1398</v>
      </c>
      <c r="B262" s="14" t="s">
        <v>795</v>
      </c>
      <c r="C262" s="271">
        <f>Travail!F50</f>
        <v>0</v>
      </c>
      <c r="D262" s="265">
        <f t="shared" ref="D262:D271" si="116">ROUND(K253*L253,0)</f>
        <v>0</v>
      </c>
      <c r="E262" s="17" t="s">
        <v>1399</v>
      </c>
      <c r="J262" s="32" t="s">
        <v>807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797</v>
      </c>
      <c r="C263" s="271">
        <f>Travail!F51</f>
        <v>0</v>
      </c>
      <c r="D263" s="265">
        <f t="shared" si="116"/>
        <v>0</v>
      </c>
    </row>
    <row r="264" spans="1:15" x14ac:dyDescent="0.25">
      <c r="B264" s="32" t="s">
        <v>799</v>
      </c>
      <c r="C264" s="271">
        <f>Travail!F52</f>
        <v>0</v>
      </c>
      <c r="D264" s="265">
        <f t="shared" si="116"/>
        <v>0</v>
      </c>
    </row>
    <row r="265" spans="1:15" x14ac:dyDescent="0.25">
      <c r="B265" s="32" t="s">
        <v>800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801</v>
      </c>
      <c r="C266" s="271">
        <f>Travail!F54</f>
        <v>26</v>
      </c>
      <c r="D266" s="265">
        <f t="shared" si="116"/>
        <v>0</v>
      </c>
    </row>
    <row r="267" spans="1:15" x14ac:dyDescent="0.25">
      <c r="B267" s="32" t="s">
        <v>802</v>
      </c>
      <c r="C267" s="271">
        <f>Travail!F55</f>
        <v>77</v>
      </c>
      <c r="D267" s="265">
        <f t="shared" si="116"/>
        <v>0</v>
      </c>
    </row>
    <row r="268" spans="1:15" x14ac:dyDescent="0.25">
      <c r="B268" s="32" t="s">
        <v>803</v>
      </c>
      <c r="C268" s="271">
        <f>Travail!F56</f>
        <v>68</v>
      </c>
      <c r="D268" s="265">
        <f t="shared" si="116"/>
        <v>0</v>
      </c>
    </row>
    <row r="269" spans="1:15" x14ac:dyDescent="0.25">
      <c r="B269" s="32" t="s">
        <v>804</v>
      </c>
      <c r="C269" s="271">
        <f>Travail!F57</f>
        <v>0</v>
      </c>
      <c r="D269" s="265">
        <f t="shared" si="116"/>
        <v>0</v>
      </c>
    </row>
    <row r="270" spans="1:15" x14ac:dyDescent="0.25">
      <c r="B270" s="32" t="s">
        <v>805</v>
      </c>
      <c r="C270" s="271">
        <f>Travail!F58</f>
        <v>5</v>
      </c>
      <c r="D270" s="265">
        <f t="shared" si="116"/>
        <v>0</v>
      </c>
    </row>
    <row r="271" spans="1:15" x14ac:dyDescent="0.25">
      <c r="B271" s="32" t="s">
        <v>807</v>
      </c>
      <c r="C271" s="271">
        <f>Travail!F59</f>
        <v>72</v>
      </c>
      <c r="D271" s="265">
        <f t="shared" si="116"/>
        <v>0</v>
      </c>
    </row>
    <row r="272" spans="1:15" x14ac:dyDescent="0.25">
      <c r="A272" s="23" t="s">
        <v>1400</v>
      </c>
      <c r="B272" s="32" t="s">
        <v>811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812</v>
      </c>
      <c r="C273" s="271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1401</v>
      </c>
      <c r="C274" s="271">
        <f>SUM(Travail!F63:F65)</f>
        <v>200</v>
      </c>
      <c r="D274" s="168">
        <f t="shared" si="117"/>
        <v>200</v>
      </c>
    </row>
    <row r="275" spans="1:4" x14ac:dyDescent="0.25">
      <c r="A275" s="23" t="s">
        <v>1402</v>
      </c>
      <c r="B275" s="32" t="s">
        <v>1403</v>
      </c>
      <c r="C275" s="271">
        <f>C191*8</f>
        <v>380</v>
      </c>
      <c r="D275" s="168">
        <f>C275</f>
        <v>380</v>
      </c>
    </row>
    <row r="276" spans="1:4" x14ac:dyDescent="0.25">
      <c r="A276" s="23"/>
      <c r="B276" s="32" t="s">
        <v>1404</v>
      </c>
      <c r="C276" s="271">
        <f>C192*8</f>
        <v>5</v>
      </c>
      <c r="D276" s="265">
        <f>D192*8</f>
        <v>0</v>
      </c>
    </row>
    <row r="277" spans="1:4" x14ac:dyDescent="0.25">
      <c r="B277" s="32" t="s">
        <v>1405</v>
      </c>
      <c r="C277" s="271">
        <f>Travail!F75+Travail!F81</f>
        <v>120</v>
      </c>
      <c r="D277" s="168">
        <f>C277</f>
        <v>120</v>
      </c>
    </row>
    <row r="278" spans="1:4" x14ac:dyDescent="0.25">
      <c r="B278" s="32" t="s">
        <v>1406</v>
      </c>
      <c r="C278" s="271">
        <f>Travail!F76</f>
        <v>0</v>
      </c>
      <c r="D278" s="168"/>
    </row>
    <row r="279" spans="1:4" x14ac:dyDescent="0.25">
      <c r="B279" s="32" t="s">
        <v>1407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1408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1409</v>
      </c>
      <c r="B281" s="14" t="s">
        <v>1410</v>
      </c>
      <c r="C281" s="168">
        <f>ROUND(C245+C248+C251+C254+C257+C260+C261,0)</f>
        <v>3403</v>
      </c>
      <c r="D281" s="265">
        <f>ROUND(D245+D248+D251+D254+D257+D260+D261,0)</f>
        <v>1438</v>
      </c>
    </row>
    <row r="282" spans="1:4" x14ac:dyDescent="0.25">
      <c r="B282" s="14" t="s">
        <v>1411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1412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1413</v>
      </c>
      <c r="C284" s="168">
        <f>ROUND(C281/Troupeau!$B$17,2)</f>
        <v>12.7</v>
      </c>
      <c r="D284" s="168" t="e">
        <f>ROUND(D281/(Troupeau!$B$17*G63),2)</f>
        <v>#DIV/0!</v>
      </c>
    </row>
    <row r="285" spans="1:4" x14ac:dyDescent="0.25">
      <c r="B285" s="14" t="s">
        <v>1414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1416</v>
      </c>
      <c r="C287" s="168">
        <f>SUM(C281:C283)</f>
        <v>3403</v>
      </c>
      <c r="D287" s="265">
        <f>SUM(D281:D283)</f>
        <v>1438</v>
      </c>
    </row>
    <row r="288" spans="1:4" x14ac:dyDescent="0.25">
      <c r="B288" s="14" t="s">
        <v>1417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1418</v>
      </c>
      <c r="C289" s="168">
        <f>SUM(C262:C271)</f>
        <v>248</v>
      </c>
      <c r="D289" s="265">
        <f>SUM(D262:D271)</f>
        <v>0</v>
      </c>
    </row>
    <row r="290" spans="2:4" x14ac:dyDescent="0.25">
      <c r="B290" s="14" t="s">
        <v>1431</v>
      </c>
      <c r="C290" s="271">
        <f>ROUND(SUM(C275:C277),0)</f>
        <v>505</v>
      </c>
      <c r="D290" s="265">
        <f>ROUND(SUM(D275:D280),0)</f>
        <v>500</v>
      </c>
    </row>
    <row r="291" spans="2:4" x14ac:dyDescent="0.25">
      <c r="B291" s="14" t="s">
        <v>1432</v>
      </c>
      <c r="C291" s="271">
        <f>ROUND(SUM(C278:C280),0)</f>
        <v>0</v>
      </c>
      <c r="D291" s="265">
        <f>ROUND(SUM(D287:D290),0)</f>
        <v>2378</v>
      </c>
    </row>
    <row r="292" spans="2:4" x14ac:dyDescent="0.25">
      <c r="B292" s="14" t="s">
        <v>888</v>
      </c>
      <c r="C292" s="168">
        <f>ROUND(SUM(C287:C290),0)</f>
        <v>4596</v>
      </c>
      <c r="D292" s="168">
        <f>ROUND(IF(Scénario!L129=1,SUM(D275:D280),SUM(D279:D280)),0)</f>
        <v>0</v>
      </c>
    </row>
    <row r="293" spans="2:4" x14ac:dyDescent="0.25">
      <c r="B293" s="14" t="s">
        <v>889</v>
      </c>
      <c r="C293" s="168">
        <f>ROUND(IF(Scénario!K129=1,SUM(C275:C280),SUM(C279:C280)),0)</f>
        <v>505</v>
      </c>
      <c r="D293" s="168" t="e">
        <f>ROUND((D291-D292)/D83,0)</f>
        <v>#DIV/0!</v>
      </c>
    </row>
    <row r="294" spans="2:4" x14ac:dyDescent="0.25">
      <c r="B294" s="14" t="s">
        <v>890</v>
      </c>
      <c r="C294" s="168">
        <f>ROUND((C292-C293)/C83,0)</f>
        <v>4091</v>
      </c>
    </row>
    <row r="295" spans="2:4" x14ac:dyDescent="0.25">
      <c r="B295" s="14" t="s">
        <v>1433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1434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1435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1436</v>
      </c>
      <c r="C298" s="168">
        <f>IF(Troupeau!$B$3="OL",CdTrp1!AA220,0)</f>
        <v>97.042226265599993</v>
      </c>
    </row>
    <row r="299" spans="2:4" x14ac:dyDescent="0.25">
      <c r="B299" s="14" t="s">
        <v>1437</v>
      </c>
      <c r="C299" s="168">
        <f>IF(Troupeau!$B$3="OL",CdTrp1!AA221,0)</f>
        <v>0</v>
      </c>
    </row>
    <row r="300" spans="2:4" x14ac:dyDescent="0.25">
      <c r="B300" s="14" t="s">
        <v>1438</v>
      </c>
      <c r="C300" s="168">
        <f>IF(Troupeau!$B$3="BV",CdTrp1!AA220,0)+IF(Troupeau!$C$3="BV",CdTrp2!AA220,0)</f>
        <v>0</v>
      </c>
    </row>
    <row r="301" spans="2:4" x14ac:dyDescent="0.25">
      <c r="B301" s="14" t="s">
        <v>1439</v>
      </c>
      <c r="C301" s="168">
        <f>IF(Troupeau!$B$3="BV",CdTrp1!AA221,0)+IF(Troupeau!$C$3="BV",CdTrp2!AA221,0)</f>
        <v>0</v>
      </c>
    </row>
    <row r="302" spans="2:4" x14ac:dyDescent="0.25">
      <c r="B302" s="14" t="s">
        <v>1440</v>
      </c>
      <c r="C302" s="168">
        <f>IF(Troupeau!$B$3="VL",CdTrp1!AA220,0)</f>
        <v>0</v>
      </c>
    </row>
    <row r="303" spans="2:4" x14ac:dyDescent="0.25">
      <c r="B303" s="14" t="s">
        <v>1441</v>
      </c>
      <c r="C303" s="168">
        <f>'Alim -Surf'!H10</f>
        <v>0</v>
      </c>
    </row>
    <row r="304" spans="2:4" x14ac:dyDescent="0.25">
      <c r="B304" s="14" t="s">
        <v>1442</v>
      </c>
      <c r="C304" s="168">
        <f>Protection!BL31+Protection!BK31</f>
        <v>18.399999999999999</v>
      </c>
    </row>
    <row r="305" spans="2:3" x14ac:dyDescent="0.25">
      <c r="B305" s="14" t="s">
        <v>1443</v>
      </c>
      <c r="C305" s="168">
        <f>Protection!BJ31</f>
        <v>0</v>
      </c>
    </row>
    <row r="306" spans="2:3" x14ac:dyDescent="0.25">
      <c r="B306" s="14" t="s">
        <v>1444</v>
      </c>
      <c r="C306" s="168">
        <f>'Calcul éco'!X233</f>
        <v>0</v>
      </c>
    </row>
    <row r="307" spans="2:3" x14ac:dyDescent="0.25">
      <c r="B307" s="14" t="s">
        <v>1445</v>
      </c>
      <c r="C307" s="168">
        <f>'Calcul éco'!X234</f>
        <v>26622</v>
      </c>
    </row>
    <row r="308" spans="2:3" x14ac:dyDescent="0.25">
      <c r="B308" s="14" t="s">
        <v>1446</v>
      </c>
      <c r="C308" s="168">
        <f>'Calcul éco'!X235</f>
        <v>0</v>
      </c>
    </row>
    <row r="309" spans="2:3" x14ac:dyDescent="0.25">
      <c r="B309" s="14" t="s">
        <v>1447</v>
      </c>
      <c r="C309" s="168">
        <f>'Calcul éco'!X236</f>
        <v>0</v>
      </c>
    </row>
    <row r="310" spans="2:3" x14ac:dyDescent="0.25">
      <c r="B310" s="14" t="s">
        <v>1448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5"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254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241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375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64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64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50128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104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168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49.112000000000009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37.520000000000003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1.7920000000000003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8.9600000000000009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5820.9600000000009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33189.120000000003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5049.12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8072.16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8524.7999999999993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3225.6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35" activePane="bottomLeft" state="frozen"/>
      <selection pane="bottomLeft" activeCell="W55" sqref="W55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21"/>
      <c r="AA1" t="s">
        <v>178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1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1421</v>
      </c>
    </row>
    <row r="14" spans="1:61" x14ac:dyDescent="0.25">
      <c r="A14" s="44" t="s">
        <v>174</v>
      </c>
      <c r="AK14" t="s">
        <v>1422</v>
      </c>
    </row>
    <row r="15" spans="1:61" x14ac:dyDescent="0.25">
      <c r="A15" s="50" t="s">
        <v>436</v>
      </c>
      <c r="B15" s="60">
        <f>AL2*Troupeau!$B$17/CdTrp1!$AI$2</f>
        <v>192.96</v>
      </c>
      <c r="C15" s="60">
        <f>AM2*Troupeau!$B$17/CdTrp1!$AI$2</f>
        <v>192.96</v>
      </c>
      <c r="D15" s="60">
        <f>AN2*Troupeau!$B$17/CdTrp1!$AI$2</f>
        <v>192.96</v>
      </c>
      <c r="E15" s="60">
        <f>AO2*Troupeau!$B$17/CdTrp1!$AI$2</f>
        <v>192.96</v>
      </c>
      <c r="F15" s="60">
        <f>AP2*Troupeau!$B$17/CdTrp1!$AI$2</f>
        <v>254.06399999999999</v>
      </c>
      <c r="G15" s="60">
        <f>AQ2*Troupeau!$B$17/CdTrp1!$AI$2</f>
        <v>252.99199999999999</v>
      </c>
      <c r="H15" s="60">
        <f>AR2*Troupeau!$B$17/CdTrp1!$AI$2</f>
        <v>251.92</v>
      </c>
      <c r="I15" s="60">
        <f>AS2*Troupeau!$B$17/CdTrp1!$AI$2</f>
        <v>250.84800000000001</v>
      </c>
      <c r="J15" s="60">
        <f>AT2*Troupeau!$B$17/CdTrp1!$AI$2</f>
        <v>232.624</v>
      </c>
      <c r="K15" s="60">
        <f>AU2*Troupeau!$B$17/CdTrp1!$AI$2</f>
        <v>231.55199999999999</v>
      </c>
      <c r="L15" s="60">
        <f>AV2*Troupeau!$B$17/CdTrp1!$AI$2</f>
        <v>230.48</v>
      </c>
      <c r="M15" s="60">
        <f>AW2*Troupeau!$B$17/CdTrp1!$AI$2</f>
        <v>228.33600000000001</v>
      </c>
      <c r="N15" s="60">
        <f>AX2*Troupeau!$B$17/CdTrp1!$AI$2</f>
        <v>226.19200000000001</v>
      </c>
      <c r="O15" s="60">
        <f>AY2*Troupeau!$B$17/CdTrp1!$AI$2</f>
        <v>224.048</v>
      </c>
      <c r="P15" s="60">
        <f>AZ2*Troupeau!$B$17/CdTrp1!$AI$2</f>
        <v>226.19200000000001</v>
      </c>
      <c r="Q15" s="60">
        <f>BA2*Troupeau!$B$17/CdTrp1!$AI$2</f>
        <v>226.19200000000001</v>
      </c>
      <c r="R15" s="60">
        <f>BB2*Troupeau!$B$17/CdTrp1!$AI$2</f>
        <v>226.19200000000001</v>
      </c>
      <c r="S15" s="60">
        <f>BC2*Troupeau!$B$17/CdTrp1!$AI$2</f>
        <v>209.04</v>
      </c>
      <c r="T15" s="60">
        <f>BD2*Troupeau!$B$17/CdTrp1!$AI$2</f>
        <v>209.04</v>
      </c>
      <c r="U15" s="60">
        <f>BE2*Troupeau!$B$17/CdTrp1!$AI$2</f>
        <v>209.04</v>
      </c>
      <c r="V15" s="60">
        <f>BF2*Troupeau!$B$17/CdTrp1!$AI$2</f>
        <v>209.04</v>
      </c>
      <c r="W15" s="60">
        <f>BG2*Troupeau!$B$17/CdTrp1!$AI$2</f>
        <v>203.68</v>
      </c>
      <c r="X15" s="60">
        <f>BH2*Troupeau!$B$17/CdTrp1!$AI$2</f>
        <v>203.68</v>
      </c>
      <c r="Y15" s="60">
        <f>BI2*Troupeau!$B$17/CdTrp1!$AI$2</f>
        <v>203.68</v>
      </c>
      <c r="Z15" s="52"/>
    </row>
    <row r="16" spans="1:61" x14ac:dyDescent="0.25">
      <c r="A16" s="50" t="s">
        <v>437</v>
      </c>
      <c r="B16" s="60">
        <f>AL3*Troupeau!$B$17/CdTrp1!$AI$2</f>
        <v>64.319999999999993</v>
      </c>
      <c r="C16" s="60">
        <f>AM3*Troupeau!$B$17/CdTrp1!$AI$2</f>
        <v>64.319999999999993</v>
      </c>
      <c r="D16" s="60">
        <f>AN3*Troupeau!$B$17/CdTrp1!$AI$2</f>
        <v>64.319999999999993</v>
      </c>
      <c r="E16" s="60">
        <f>AO3*Troupeau!$B$17/CdTrp1!$AI$2</f>
        <v>64.319999999999993</v>
      </c>
      <c r="F16" s="60">
        <f>AP3*Troupeau!$B$17/CdTrp1!$AI$2</f>
        <v>64.319999999999993</v>
      </c>
      <c r="G16" s="60">
        <f>AQ3*Troupeau!$B$17/CdTrp1!$AI$2</f>
        <v>64.319999999999993</v>
      </c>
      <c r="H16" s="60">
        <f>AR3*Troupeau!$B$17/CdTrp1!$AI$2</f>
        <v>64.319999999999993</v>
      </c>
      <c r="I16" s="60">
        <f>AS3*Troupeau!$B$17/CdTrp1!$AI$2</f>
        <v>64.319999999999993</v>
      </c>
      <c r="J16" s="60">
        <f>AT3*Troupeau!$B$17/CdTrp1!$AI$2</f>
        <v>64.319999999999993</v>
      </c>
      <c r="K16" s="60">
        <f>AU3*Troupeau!$B$17/CdTrp1!$AI$2</f>
        <v>64.319999999999993</v>
      </c>
      <c r="L16" s="60">
        <f>AV3*Troupeau!$B$17/CdTrp1!$AI$2</f>
        <v>64.319999999999993</v>
      </c>
      <c r="M16" s="60">
        <f>AW3*Troupeau!$B$17/CdTrp1!$AI$2</f>
        <v>64.319999999999993</v>
      </c>
      <c r="N16" s="60">
        <f>AX3*Troupeau!$B$17/CdTrp1!$AI$2</f>
        <v>64.319999999999993</v>
      </c>
      <c r="O16" s="60">
        <f>AY3*Troupeau!$B$17/CdTrp1!$AI$2</f>
        <v>64.319999999999993</v>
      </c>
      <c r="P16" s="60">
        <f>AZ3*Troupeau!$B$17/CdTrp1!$AI$2</f>
        <v>64.319999999999993</v>
      </c>
      <c r="Q16" s="60">
        <f>BA3*Troupeau!$B$17/CdTrp1!$AI$2</f>
        <v>64.319999999999993</v>
      </c>
      <c r="R16" s="60">
        <f>BB3*Troupeau!$B$17/CdTrp1!$AI$2</f>
        <v>64.319999999999993</v>
      </c>
      <c r="S16" s="60">
        <f>BC3*Troupeau!$B$17/CdTrp1!$AI$2</f>
        <v>64.319999999999993</v>
      </c>
      <c r="T16" s="60">
        <f>BD3*Troupeau!$B$17/CdTrp1!$AI$2</f>
        <v>64.319999999999993</v>
      </c>
      <c r="U16" s="60">
        <f>BE3*Troupeau!$B$17/CdTrp1!$AI$2</f>
        <v>64.319999999999993</v>
      </c>
      <c r="V16" s="60">
        <f>BF3*Troupeau!$B$17/CdTrp1!$AI$2</f>
        <v>64.319999999999993</v>
      </c>
      <c r="W16" s="60">
        <f>BG3*Troupeau!$B$17/CdTrp1!$AI$2</f>
        <v>64.319999999999993</v>
      </c>
      <c r="X16" s="60">
        <f>BH3*Troupeau!$B$17/CdTrp1!$AI$2</f>
        <v>64.319999999999993</v>
      </c>
      <c r="Y16" s="60">
        <f>BI3*Troupeau!$B$17/CdTrp1!$AI$2</f>
        <v>64.319999999999993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10.72</v>
      </c>
      <c r="C17" s="60">
        <f>AM4*Troupeau!$B$17/CdTrp1!$AI$2</f>
        <v>10.72</v>
      </c>
      <c r="D17" s="60">
        <f>AN4*Troupeau!$B$17/CdTrp1!$AI$2</f>
        <v>10.72</v>
      </c>
      <c r="E17" s="60">
        <f>AO4*Troupeau!$B$17/CdTrp1!$AI$2</f>
        <v>10.72</v>
      </c>
      <c r="F17" s="60">
        <f>AP4*Troupeau!$B$17/CdTrp1!$AI$2</f>
        <v>13.936</v>
      </c>
      <c r="G17" s="60">
        <f>AQ4*Troupeau!$B$17/CdTrp1!$AI$2</f>
        <v>13.936</v>
      </c>
      <c r="H17" s="60">
        <f>AR4*Troupeau!$B$17/CdTrp1!$AI$2</f>
        <v>13.936</v>
      </c>
      <c r="I17" s="60">
        <f>AS4*Troupeau!$B$17/CdTrp1!$AI$2</f>
        <v>13.936</v>
      </c>
      <c r="J17" s="60">
        <f>AT4*Troupeau!$B$17/CdTrp1!$AI$2</f>
        <v>13.936</v>
      </c>
      <c r="K17" s="60">
        <f>AU4*Troupeau!$B$17/CdTrp1!$AI$2</f>
        <v>13.936</v>
      </c>
      <c r="L17" s="60">
        <f>AV4*Troupeau!$B$17/CdTrp1!$AI$2</f>
        <v>13.936</v>
      </c>
      <c r="M17" s="60">
        <f>AW4*Troupeau!$B$17/CdTrp1!$AI$2</f>
        <v>13.936</v>
      </c>
      <c r="N17" s="60">
        <f>AX4*Troupeau!$B$17/CdTrp1!$AI$2</f>
        <v>13.936</v>
      </c>
      <c r="O17" s="60">
        <f>AY4*Troupeau!$B$17/CdTrp1!$AI$2</f>
        <v>13.936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5.36</v>
      </c>
      <c r="C18" s="60">
        <f>AM5*Troupeau!$B$17/CdTrp1!$AI$2</f>
        <v>5.36</v>
      </c>
      <c r="D18" s="60">
        <f>AN5*Troupeau!$B$17/CdTrp1!$AI$2</f>
        <v>5.36</v>
      </c>
      <c r="E18" s="60">
        <f>AO5*Troupeau!$B$17/CdTrp1!$AI$2</f>
        <v>5.36</v>
      </c>
      <c r="F18" s="60">
        <f>AP5*Troupeau!$B$17/CdTrp1!$AI$2</f>
        <v>5.36</v>
      </c>
      <c r="G18" s="60">
        <f>AQ5*Troupeau!$B$17/CdTrp1!$AI$2</f>
        <v>5.36</v>
      </c>
      <c r="H18" s="60">
        <f>AR5*Troupeau!$B$17/CdTrp1!$AI$2</f>
        <v>5.36</v>
      </c>
      <c r="I18" s="60">
        <f>AS5*Troupeau!$B$17/CdTrp1!$AI$2</f>
        <v>5.36</v>
      </c>
      <c r="J18" s="60">
        <f>AT5*Troupeau!$B$17/CdTrp1!$AI$2</f>
        <v>5.36</v>
      </c>
      <c r="K18" s="60">
        <f>AU5*Troupeau!$B$17/CdTrp1!$AI$2</f>
        <v>5.36</v>
      </c>
      <c r="L18" s="60">
        <f>AV5*Troupeau!$B$17/CdTrp1!$AI$2</f>
        <v>5.36</v>
      </c>
      <c r="M18" s="60">
        <f>AW5*Troupeau!$B$17/CdTrp1!$AI$2</f>
        <v>5.36</v>
      </c>
      <c r="N18" s="60">
        <f>AX5*Troupeau!$B$17/CdTrp1!$AI$2</f>
        <v>5.36</v>
      </c>
      <c r="O18" s="60">
        <f>AY5*Troupeau!$B$17/CdTrp1!$AI$2</f>
        <v>5.36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5.36</v>
      </c>
      <c r="X18" s="60">
        <f>BH5*Troupeau!$B$17/CdTrp1!$AI$2</f>
        <v>5.36</v>
      </c>
      <c r="Y18" s="60">
        <f>BI5*Troupeau!$B$17/CdTrp1!$AI$2</f>
        <v>5.36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5820.9600000000009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5.8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33189.120000000003</v>
      </c>
      <c r="AK19" s="54">
        <f t="shared" ref="AK19:AK52" si="3">IF($AH19=AK$17,ROUND($AI19/1000,1),0)</f>
        <v>33.200000000000003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5049.12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8072.16</v>
      </c>
      <c r="AK21" s="54">
        <f t="shared" si="3"/>
        <v>0</v>
      </c>
      <c r="AL21" s="54">
        <f t="shared" si="4"/>
        <v>8.1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8524.7999999999993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8.5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3225.6</v>
      </c>
      <c r="AK24" s="54">
        <f t="shared" si="3"/>
        <v>3.2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27.014400000000002</v>
      </c>
      <c r="C39" s="61">
        <f t="shared" ref="C39:Y48" si="11">C15*C27</f>
        <v>27.014400000000002</v>
      </c>
      <c r="D39" s="61">
        <f t="shared" si="11"/>
        <v>27.014400000000002</v>
      </c>
      <c r="E39" s="61">
        <f t="shared" si="11"/>
        <v>27.014400000000002</v>
      </c>
      <c r="F39" s="61">
        <f t="shared" si="11"/>
        <v>35.568960000000004</v>
      </c>
      <c r="G39" s="61">
        <f t="shared" si="11"/>
        <v>35.418880000000001</v>
      </c>
      <c r="H39" s="61">
        <f t="shared" si="11"/>
        <v>35.268799999999999</v>
      </c>
      <c r="I39" s="61">
        <f t="shared" si="11"/>
        <v>35.118720000000003</v>
      </c>
      <c r="J39" s="61">
        <f t="shared" si="11"/>
        <v>32.567360000000001</v>
      </c>
      <c r="K39" s="61">
        <f t="shared" si="11"/>
        <v>32.417280000000005</v>
      </c>
      <c r="L39" s="61">
        <f t="shared" si="11"/>
        <v>32.267200000000003</v>
      </c>
      <c r="M39" s="61">
        <f t="shared" si="11"/>
        <v>31.967040000000004</v>
      </c>
      <c r="N39" s="61">
        <f t="shared" si="11"/>
        <v>31.666880000000003</v>
      </c>
      <c r="O39" s="61">
        <f t="shared" si="11"/>
        <v>31.366720000000004</v>
      </c>
      <c r="P39" s="61">
        <f t="shared" si="11"/>
        <v>31.666880000000003</v>
      </c>
      <c r="Q39" s="61">
        <f t="shared" si="11"/>
        <v>31.666880000000003</v>
      </c>
      <c r="R39" s="61">
        <f t="shared" si="11"/>
        <v>31.666880000000003</v>
      </c>
      <c r="S39" s="61">
        <f t="shared" si="11"/>
        <v>29.265600000000003</v>
      </c>
      <c r="T39" s="61">
        <f t="shared" si="11"/>
        <v>29.265600000000003</v>
      </c>
      <c r="U39" s="61">
        <f t="shared" si="11"/>
        <v>29.265600000000003</v>
      </c>
      <c r="V39" s="61">
        <f t="shared" si="11"/>
        <v>29.265600000000003</v>
      </c>
      <c r="W39" s="61">
        <f t="shared" si="11"/>
        <v>28.515200000000004</v>
      </c>
      <c r="X39" s="61">
        <f t="shared" si="11"/>
        <v>28.515200000000004</v>
      </c>
      <c r="Y39" s="61">
        <f t="shared" si="11"/>
        <v>28.515200000000004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9.0047999999999995</v>
      </c>
      <c r="C40" s="61">
        <f t="shared" si="12"/>
        <v>9.0047999999999995</v>
      </c>
      <c r="D40" s="61">
        <f t="shared" si="12"/>
        <v>9.0047999999999995</v>
      </c>
      <c r="E40" s="61">
        <f t="shared" si="12"/>
        <v>9.0047999999999995</v>
      </c>
      <c r="F40" s="61">
        <f t="shared" si="12"/>
        <v>1.8009599999999999</v>
      </c>
      <c r="G40" s="61">
        <f t="shared" si="12"/>
        <v>1.8009599999999999</v>
      </c>
      <c r="H40" s="61">
        <f t="shared" si="12"/>
        <v>1.8009599999999999</v>
      </c>
      <c r="I40" s="61">
        <f t="shared" si="12"/>
        <v>1.8009599999999999</v>
      </c>
      <c r="J40" s="61">
        <f t="shared" si="12"/>
        <v>1.8009599999999999</v>
      </c>
      <c r="K40" s="61">
        <f t="shared" si="12"/>
        <v>1.8009599999999999</v>
      </c>
      <c r="L40" s="61">
        <f t="shared" si="12"/>
        <v>4.5023999999999997</v>
      </c>
      <c r="M40" s="61">
        <f t="shared" si="12"/>
        <v>4.5023999999999997</v>
      </c>
      <c r="N40" s="61">
        <f t="shared" si="12"/>
        <v>4.5023999999999997</v>
      </c>
      <c r="O40" s="61">
        <f t="shared" si="12"/>
        <v>4.5023999999999997</v>
      </c>
      <c r="P40" s="61">
        <f t="shared" si="12"/>
        <v>4.5023999999999997</v>
      </c>
      <c r="Q40" s="61">
        <f t="shared" si="12"/>
        <v>4.5023999999999997</v>
      </c>
      <c r="R40" s="61">
        <f t="shared" si="11"/>
        <v>4.5023999999999997</v>
      </c>
      <c r="S40" s="61">
        <f t="shared" si="11"/>
        <v>4.5023999999999997</v>
      </c>
      <c r="T40" s="61">
        <f t="shared" si="11"/>
        <v>9.0047999999999995</v>
      </c>
      <c r="U40" s="61">
        <f t="shared" si="11"/>
        <v>9.0047999999999995</v>
      </c>
      <c r="V40" s="61">
        <f t="shared" si="11"/>
        <v>9.0047999999999995</v>
      </c>
      <c r="W40" s="61">
        <f t="shared" si="11"/>
        <v>9.0047999999999995</v>
      </c>
      <c r="X40" s="61">
        <f t="shared" si="11"/>
        <v>9.0047999999999995</v>
      </c>
      <c r="Y40" s="61">
        <f t="shared" si="11"/>
        <v>9.0047999999999995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1.5008000000000001</v>
      </c>
      <c r="C41" s="61">
        <f t="shared" si="11"/>
        <v>1.5008000000000001</v>
      </c>
      <c r="D41" s="61">
        <f t="shared" si="11"/>
        <v>1.5008000000000001</v>
      </c>
      <c r="E41" s="61">
        <f t="shared" si="11"/>
        <v>1.5008000000000001</v>
      </c>
      <c r="F41" s="61">
        <f t="shared" si="11"/>
        <v>1.9510400000000001</v>
      </c>
      <c r="G41" s="61">
        <f t="shared" si="11"/>
        <v>1.9510400000000001</v>
      </c>
      <c r="H41" s="61">
        <f t="shared" si="11"/>
        <v>1.9510400000000001</v>
      </c>
      <c r="I41" s="61">
        <f t="shared" si="11"/>
        <v>1.9510400000000001</v>
      </c>
      <c r="J41" s="61">
        <f t="shared" si="11"/>
        <v>1.9510400000000001</v>
      </c>
      <c r="K41" s="61">
        <f t="shared" si="11"/>
        <v>1.9510400000000001</v>
      </c>
      <c r="L41" s="61">
        <f t="shared" si="11"/>
        <v>1.9510400000000001</v>
      </c>
      <c r="M41" s="61">
        <f t="shared" si="11"/>
        <v>1.9510400000000001</v>
      </c>
      <c r="N41" s="61">
        <f t="shared" si="11"/>
        <v>1.9510400000000001</v>
      </c>
      <c r="O41" s="61">
        <f t="shared" si="11"/>
        <v>1.9510400000000001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0.75040000000000007</v>
      </c>
      <c r="C42" s="61">
        <f t="shared" si="11"/>
        <v>0.75040000000000007</v>
      </c>
      <c r="D42" s="61">
        <f t="shared" si="11"/>
        <v>0.75040000000000007</v>
      </c>
      <c r="E42" s="61">
        <f t="shared" si="11"/>
        <v>0.75040000000000007</v>
      </c>
      <c r="F42" s="61">
        <f t="shared" si="11"/>
        <v>0.75040000000000007</v>
      </c>
      <c r="G42" s="61">
        <f t="shared" si="11"/>
        <v>0.75040000000000007</v>
      </c>
      <c r="H42" s="61">
        <f t="shared" si="11"/>
        <v>0.75040000000000007</v>
      </c>
      <c r="I42" s="61">
        <f t="shared" si="11"/>
        <v>0.75040000000000007</v>
      </c>
      <c r="J42" s="61">
        <f t="shared" si="11"/>
        <v>0.75040000000000007</v>
      </c>
      <c r="K42" s="61">
        <f t="shared" si="11"/>
        <v>0.75040000000000007</v>
      </c>
      <c r="L42" s="61">
        <f t="shared" si="11"/>
        <v>0.75040000000000007</v>
      </c>
      <c r="M42" s="61">
        <f t="shared" si="11"/>
        <v>0.75040000000000007</v>
      </c>
      <c r="N42" s="61">
        <f t="shared" si="11"/>
        <v>0.75040000000000007</v>
      </c>
      <c r="O42" s="61">
        <f t="shared" si="11"/>
        <v>0.75040000000000007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0.75040000000000007</v>
      </c>
      <c r="X42" s="61">
        <f t="shared" si="11"/>
        <v>0.75040000000000007</v>
      </c>
      <c r="Y42" s="61">
        <f t="shared" si="11"/>
        <v>0.75040000000000007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38.270399999999995</v>
      </c>
      <c r="C49" s="62">
        <f t="shared" ref="C49:Y49" si="13">SUM(C39:C48)</f>
        <v>38.270399999999995</v>
      </c>
      <c r="D49" s="62">
        <f t="shared" si="13"/>
        <v>38.270399999999995</v>
      </c>
      <c r="E49" s="62">
        <f t="shared" si="13"/>
        <v>38.270399999999995</v>
      </c>
      <c r="F49" s="62">
        <f t="shared" si="13"/>
        <v>40.071360000000006</v>
      </c>
      <c r="G49" s="62">
        <f t="shared" si="13"/>
        <v>39.921280000000003</v>
      </c>
      <c r="H49" s="62">
        <f t="shared" si="13"/>
        <v>39.7712</v>
      </c>
      <c r="I49" s="62">
        <f t="shared" si="13"/>
        <v>39.621119999999998</v>
      </c>
      <c r="J49" s="62">
        <f t="shared" si="13"/>
        <v>37.069759999999995</v>
      </c>
      <c r="K49" s="62">
        <f t="shared" si="13"/>
        <v>36.919680000000007</v>
      </c>
      <c r="L49" s="62">
        <f t="shared" si="13"/>
        <v>39.471040000000002</v>
      </c>
      <c r="M49" s="62">
        <f t="shared" si="13"/>
        <v>39.170880000000004</v>
      </c>
      <c r="N49" s="62">
        <f t="shared" si="13"/>
        <v>38.870719999999999</v>
      </c>
      <c r="O49" s="62">
        <f t="shared" si="13"/>
        <v>38.57056</v>
      </c>
      <c r="P49" s="62">
        <f t="shared" si="13"/>
        <v>36.169280000000001</v>
      </c>
      <c r="Q49" s="62">
        <f t="shared" si="13"/>
        <v>36.169280000000001</v>
      </c>
      <c r="R49" s="62">
        <f t="shared" si="13"/>
        <v>36.169280000000001</v>
      </c>
      <c r="S49" s="62">
        <f t="shared" si="13"/>
        <v>33.768000000000001</v>
      </c>
      <c r="T49" s="62">
        <f t="shared" si="13"/>
        <v>38.270400000000002</v>
      </c>
      <c r="U49" s="62">
        <f t="shared" si="13"/>
        <v>38.270400000000002</v>
      </c>
      <c r="V49" s="62">
        <f t="shared" si="13"/>
        <v>38.270400000000002</v>
      </c>
      <c r="W49" s="62">
        <f t="shared" si="13"/>
        <v>38.270400000000002</v>
      </c>
      <c r="X49" s="62">
        <f t="shared" si="13"/>
        <v>38.270400000000002</v>
      </c>
      <c r="Y49" s="62">
        <f t="shared" si="13"/>
        <v>38.270400000000002</v>
      </c>
      <c r="Z49" s="23"/>
      <c r="AA49" s="46">
        <f>AVERAGE(B49:Y49)</f>
        <v>38.101559999999999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vides + mammites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99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36.400000000000006</v>
      </c>
      <c r="AL54" s="84">
        <f t="shared" si="16"/>
        <v>8.1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5.8</v>
      </c>
      <c r="AV54" s="84">
        <f t="shared" si="16"/>
        <v>0</v>
      </c>
      <c r="AW54" s="84">
        <f t="shared" si="16"/>
        <v>5</v>
      </c>
      <c r="AX54" s="84">
        <f t="shared" si="16"/>
        <v>8.5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156">
        <v>0.5</v>
      </c>
      <c r="C55" s="156">
        <v>0.5</v>
      </c>
      <c r="D55" s="156">
        <v>0.5</v>
      </c>
      <c r="E55" s="156">
        <v>0.5</v>
      </c>
      <c r="F55" s="156">
        <v>0.5</v>
      </c>
      <c r="G55" s="156">
        <v>0.5</v>
      </c>
      <c r="H55" s="156">
        <v>0.5</v>
      </c>
      <c r="I55" s="156">
        <v>0.5</v>
      </c>
      <c r="J55" s="156">
        <v>0.5</v>
      </c>
      <c r="K55" s="156">
        <v>0.5</v>
      </c>
      <c r="L55" s="156">
        <v>0.5</v>
      </c>
      <c r="M55" s="156">
        <v>0.5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0.5</v>
      </c>
      <c r="X55" s="60">
        <v>0.5</v>
      </c>
      <c r="Y55" s="60">
        <v>0.5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36.396000000000001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418.72320000000002</v>
      </c>
      <c r="C63" s="61">
        <f t="shared" si="17"/>
        <v>418.72320000000002</v>
      </c>
      <c r="D63" s="61">
        <f t="shared" si="17"/>
        <v>378.20160000000004</v>
      </c>
      <c r="E63" s="61">
        <f t="shared" si="17"/>
        <v>189.10080000000002</v>
      </c>
      <c r="F63" s="61">
        <f t="shared" si="17"/>
        <v>275.65944000000002</v>
      </c>
      <c r="G63" s="61">
        <f t="shared" si="17"/>
        <v>274.49632000000003</v>
      </c>
      <c r="H63" s="61">
        <f t="shared" si="17"/>
        <v>264.51599999999996</v>
      </c>
      <c r="I63" s="61">
        <f t="shared" si="17"/>
        <v>263.3904</v>
      </c>
      <c r="J63" s="61">
        <f t="shared" si="17"/>
        <v>252.39704</v>
      </c>
      <c r="K63" s="61">
        <f t="shared" si="17"/>
        <v>251.23392000000004</v>
      </c>
      <c r="L63" s="61">
        <f t="shared" si="17"/>
        <v>242.00400000000002</v>
      </c>
      <c r="M63" s="61">
        <f t="shared" si="17"/>
        <v>239.75280000000004</v>
      </c>
      <c r="N63" s="61">
        <f t="shared" si="17"/>
        <v>245.41832000000002</v>
      </c>
      <c r="O63" s="61">
        <f t="shared" si="17"/>
        <v>243.09208000000004</v>
      </c>
      <c r="P63" s="61">
        <f t="shared" si="17"/>
        <v>245.41832000000002</v>
      </c>
      <c r="Q63" s="61">
        <f t="shared" si="17"/>
        <v>245.41832000000002</v>
      </c>
      <c r="R63" s="61">
        <f t="shared" si="17"/>
        <v>237.50160000000002</v>
      </c>
      <c r="S63" s="61">
        <f t="shared" si="17"/>
        <v>219.49200000000002</v>
      </c>
      <c r="T63" s="61">
        <f t="shared" si="17"/>
        <v>226.80840000000003</v>
      </c>
      <c r="U63" s="61">
        <f t="shared" si="17"/>
        <v>226.80840000000003</v>
      </c>
      <c r="V63" s="61">
        <f t="shared" si="17"/>
        <v>219.49200000000002</v>
      </c>
      <c r="W63" s="61">
        <f t="shared" si="17"/>
        <v>213.86400000000003</v>
      </c>
      <c r="X63" s="61">
        <f t="shared" si="17"/>
        <v>220.99280000000002</v>
      </c>
      <c r="Y63" s="61">
        <f t="shared" si="17"/>
        <v>441.98560000000003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139.5744</v>
      </c>
      <c r="C64" s="61">
        <f t="shared" si="18"/>
        <v>139.5744</v>
      </c>
      <c r="D64" s="61">
        <f t="shared" si="18"/>
        <v>126.06719999999999</v>
      </c>
      <c r="E64" s="61">
        <f t="shared" si="18"/>
        <v>126.06719999999999</v>
      </c>
      <c r="F64" s="61">
        <f t="shared" si="18"/>
        <v>27.914879999999997</v>
      </c>
      <c r="G64" s="61">
        <f t="shared" si="18"/>
        <v>27.914879999999997</v>
      </c>
      <c r="H64" s="61">
        <f t="shared" si="18"/>
        <v>13.507199999999999</v>
      </c>
      <c r="I64" s="61">
        <f t="shared" si="18"/>
        <v>13.507199999999999</v>
      </c>
      <c r="J64" s="61">
        <f t="shared" si="18"/>
        <v>13.957439999999998</v>
      </c>
      <c r="K64" s="61">
        <f t="shared" si="18"/>
        <v>13.957439999999998</v>
      </c>
      <c r="L64" s="61">
        <f t="shared" si="18"/>
        <v>33.768000000000001</v>
      </c>
      <c r="M64" s="61">
        <f t="shared" si="18"/>
        <v>33.768000000000001</v>
      </c>
      <c r="N64" s="61">
        <f t="shared" si="18"/>
        <v>34.893599999999999</v>
      </c>
      <c r="O64" s="61">
        <f t="shared" si="18"/>
        <v>34.893599999999999</v>
      </c>
      <c r="P64" s="61">
        <f t="shared" si="18"/>
        <v>34.893599999999999</v>
      </c>
      <c r="Q64" s="61">
        <f t="shared" si="18"/>
        <v>34.893599999999999</v>
      </c>
      <c r="R64" s="61">
        <f t="shared" si="18"/>
        <v>33.768000000000001</v>
      </c>
      <c r="S64" s="61">
        <f t="shared" si="18"/>
        <v>33.768000000000001</v>
      </c>
      <c r="T64" s="61">
        <f t="shared" si="18"/>
        <v>69.787199999999999</v>
      </c>
      <c r="U64" s="61">
        <f t="shared" si="18"/>
        <v>69.787199999999999</v>
      </c>
      <c r="V64" s="61">
        <f t="shared" si="18"/>
        <v>67.536000000000001</v>
      </c>
      <c r="W64" s="61">
        <f t="shared" si="18"/>
        <v>67.536000000000001</v>
      </c>
      <c r="X64" s="61">
        <f t="shared" si="18"/>
        <v>69.787199999999999</v>
      </c>
      <c r="Y64" s="61">
        <f t="shared" si="18"/>
        <v>69.787199999999999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11.631200000000002</v>
      </c>
      <c r="C65" s="61">
        <f t="shared" si="19"/>
        <v>11.631200000000002</v>
      </c>
      <c r="D65" s="61">
        <f t="shared" si="19"/>
        <v>10.505600000000001</v>
      </c>
      <c r="E65" s="61">
        <f t="shared" si="19"/>
        <v>10.505600000000001</v>
      </c>
      <c r="F65" s="61">
        <f t="shared" si="19"/>
        <v>15.120560000000001</v>
      </c>
      <c r="G65" s="61">
        <f t="shared" si="19"/>
        <v>15.120560000000001</v>
      </c>
      <c r="H65" s="61">
        <f t="shared" si="19"/>
        <v>14.632800000000001</v>
      </c>
      <c r="I65" s="61">
        <f t="shared" si="19"/>
        <v>14.632800000000001</v>
      </c>
      <c r="J65" s="61">
        <f t="shared" si="19"/>
        <v>15.120560000000001</v>
      </c>
      <c r="K65" s="61">
        <f t="shared" si="19"/>
        <v>15.120560000000001</v>
      </c>
      <c r="L65" s="61">
        <f t="shared" si="19"/>
        <v>14.632800000000001</v>
      </c>
      <c r="M65" s="61">
        <f t="shared" si="19"/>
        <v>14.632800000000001</v>
      </c>
      <c r="N65" s="61">
        <f t="shared" si="19"/>
        <v>15.120560000000001</v>
      </c>
      <c r="O65" s="61">
        <f t="shared" si="19"/>
        <v>15.120560000000001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5.8156000000000008</v>
      </c>
      <c r="C66" s="61">
        <f t="shared" si="20"/>
        <v>5.8156000000000008</v>
      </c>
      <c r="D66" s="61">
        <f t="shared" si="20"/>
        <v>5.2528000000000006</v>
      </c>
      <c r="E66" s="61">
        <f t="shared" si="20"/>
        <v>5.2528000000000006</v>
      </c>
      <c r="F66" s="61">
        <f t="shared" si="20"/>
        <v>5.8156000000000008</v>
      </c>
      <c r="G66" s="61">
        <f t="shared" si="20"/>
        <v>5.8156000000000008</v>
      </c>
      <c r="H66" s="61">
        <f t="shared" si="20"/>
        <v>5.6280000000000001</v>
      </c>
      <c r="I66" s="61">
        <f t="shared" si="20"/>
        <v>5.6280000000000001</v>
      </c>
      <c r="J66" s="61">
        <f t="shared" si="20"/>
        <v>5.8156000000000008</v>
      </c>
      <c r="K66" s="61">
        <f t="shared" si="20"/>
        <v>5.8156000000000008</v>
      </c>
      <c r="L66" s="61">
        <f t="shared" si="20"/>
        <v>5.6280000000000001</v>
      </c>
      <c r="M66" s="61">
        <f t="shared" si="20"/>
        <v>5.6280000000000001</v>
      </c>
      <c r="N66" s="61">
        <f t="shared" si="20"/>
        <v>11.631200000000002</v>
      </c>
      <c r="O66" s="61">
        <f t="shared" si="20"/>
        <v>11.631200000000002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5.6280000000000001</v>
      </c>
      <c r="X66" s="61">
        <f t="shared" si="20"/>
        <v>5.8156000000000008</v>
      </c>
      <c r="Y66" s="61">
        <f t="shared" si="20"/>
        <v>5.8156000000000008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576</v>
      </c>
      <c r="C73" s="64">
        <f t="shared" ref="C73:Y73" si="27">ROUND(SUM(C63:C72),0)</f>
        <v>576</v>
      </c>
      <c r="D73" s="64">
        <f t="shared" si="27"/>
        <v>520</v>
      </c>
      <c r="E73" s="64">
        <f t="shared" si="27"/>
        <v>331</v>
      </c>
      <c r="F73" s="64">
        <f t="shared" si="27"/>
        <v>325</v>
      </c>
      <c r="G73" s="64">
        <f t="shared" si="27"/>
        <v>323</v>
      </c>
      <c r="H73" s="64">
        <f t="shared" si="27"/>
        <v>298</v>
      </c>
      <c r="I73" s="64">
        <f t="shared" si="27"/>
        <v>297</v>
      </c>
      <c r="J73" s="64">
        <f t="shared" si="27"/>
        <v>287</v>
      </c>
      <c r="K73" s="64">
        <f t="shared" si="27"/>
        <v>286</v>
      </c>
      <c r="L73" s="64">
        <f t="shared" si="27"/>
        <v>296</v>
      </c>
      <c r="M73" s="64">
        <f t="shared" si="27"/>
        <v>294</v>
      </c>
      <c r="N73" s="64">
        <f t="shared" si="27"/>
        <v>307</v>
      </c>
      <c r="O73" s="64">
        <f t="shared" si="27"/>
        <v>305</v>
      </c>
      <c r="P73" s="64">
        <f t="shared" si="27"/>
        <v>280</v>
      </c>
      <c r="Q73" s="64">
        <f t="shared" si="27"/>
        <v>280</v>
      </c>
      <c r="R73" s="64">
        <f t="shared" si="27"/>
        <v>271</v>
      </c>
      <c r="S73" s="64">
        <f t="shared" si="27"/>
        <v>253</v>
      </c>
      <c r="T73" s="64">
        <f t="shared" si="27"/>
        <v>297</v>
      </c>
      <c r="U73" s="64">
        <f t="shared" si="27"/>
        <v>297</v>
      </c>
      <c r="V73" s="64">
        <f t="shared" si="27"/>
        <v>287</v>
      </c>
      <c r="W73" s="64">
        <f t="shared" si="27"/>
        <v>287</v>
      </c>
      <c r="X73" s="64">
        <f t="shared" si="27"/>
        <v>297</v>
      </c>
      <c r="Y73" s="64">
        <f t="shared" si="27"/>
        <v>518</v>
      </c>
      <c r="Z73" s="52"/>
      <c r="AA73" s="56">
        <f>ROUND(SUM(B73:Y73),0)</f>
        <v>8088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156">
        <v>2</v>
      </c>
      <c r="P77" s="60">
        <v>2</v>
      </c>
      <c r="Q77" s="60">
        <v>2</v>
      </c>
      <c r="R77" s="60">
        <v>2</v>
      </c>
      <c r="S77" s="156">
        <v>2</v>
      </c>
      <c r="T77" s="60">
        <v>2</v>
      </c>
      <c r="U77" s="60">
        <v>2</v>
      </c>
      <c r="V77" s="60">
        <v>1</v>
      </c>
      <c r="W77" s="60">
        <v>1</v>
      </c>
      <c r="X77" s="60">
        <v>1</v>
      </c>
      <c r="Y77" s="60">
        <v>1</v>
      </c>
      <c r="AG77" s="5"/>
    </row>
    <row r="78" spans="1:33" x14ac:dyDescent="0.25">
      <c r="A78" s="128" t="str">
        <f>A$17</f>
        <v>vides + mammites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2</v>
      </c>
      <c r="V78" s="60">
        <v>2</v>
      </c>
      <c r="W78" s="60">
        <v>2</v>
      </c>
      <c r="X78" s="60">
        <v>2</v>
      </c>
      <c r="Y78" s="60">
        <v>2</v>
      </c>
      <c r="AG78" s="5"/>
    </row>
    <row r="79" spans="1:33" x14ac:dyDescent="0.25">
      <c r="A79" s="127" t="str">
        <f>A$18</f>
        <v>béliers</v>
      </c>
      <c r="B79" s="156">
        <v>2</v>
      </c>
      <c r="C79" s="156">
        <v>2</v>
      </c>
      <c r="D79" s="156">
        <v>2</v>
      </c>
      <c r="E79" s="156">
        <v>2</v>
      </c>
      <c r="F79" s="156">
        <v>2</v>
      </c>
      <c r="G79" s="156">
        <v>2</v>
      </c>
      <c r="H79" s="156">
        <v>2</v>
      </c>
      <c r="I79" s="156">
        <v>2</v>
      </c>
      <c r="J79" s="156">
        <v>2</v>
      </c>
      <c r="K79" s="156">
        <v>2</v>
      </c>
      <c r="L79" s="156">
        <v>2</v>
      </c>
      <c r="M79" s="156">
        <v>2</v>
      </c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>
        <v>2</v>
      </c>
      <c r="Y79" s="60">
        <v>2</v>
      </c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5.9877417600000005</v>
      </c>
      <c r="C110" s="61">
        <f t="shared" si="38"/>
        <v>5.9877417600000005</v>
      </c>
      <c r="D110" s="61">
        <f t="shared" si="38"/>
        <v>6.1230839040000014</v>
      </c>
      <c r="E110" s="61">
        <f t="shared" si="38"/>
        <v>6.1230839040000014</v>
      </c>
      <c r="F110" s="61">
        <f t="shared" si="38"/>
        <v>8.9258526672000009</v>
      </c>
      <c r="G110" s="61">
        <f t="shared" si="38"/>
        <v>8.8881908416000019</v>
      </c>
      <c r="H110" s="61">
        <f t="shared" si="38"/>
        <v>8.5650280799999994</v>
      </c>
      <c r="I110" s="61">
        <f t="shared" si="38"/>
        <v>8.528581152000001</v>
      </c>
      <c r="J110" s="61">
        <f t="shared" si="38"/>
        <v>8.1726161552000018</v>
      </c>
      <c r="K110" s="61">
        <f t="shared" si="38"/>
        <v>8.1349543296000029</v>
      </c>
      <c r="L110" s="61">
        <f t="shared" si="38"/>
        <v>7.8360895200000016</v>
      </c>
      <c r="M110" s="61">
        <f t="shared" si="38"/>
        <v>7.7631956640000013</v>
      </c>
      <c r="N110" s="61">
        <f t="shared" si="38"/>
        <v>7.9466452016000009</v>
      </c>
      <c r="O110" s="61">
        <f t="shared" si="38"/>
        <v>7.871321550400002</v>
      </c>
      <c r="P110" s="61">
        <f t="shared" si="38"/>
        <v>4.9427249648000009</v>
      </c>
      <c r="Q110" s="61">
        <f t="shared" si="38"/>
        <v>4.9427249648000009</v>
      </c>
      <c r="R110" s="61">
        <f t="shared" si="38"/>
        <v>4.7832822240000006</v>
      </c>
      <c r="S110" s="61">
        <f t="shared" si="38"/>
        <v>4.4205688800000011</v>
      </c>
      <c r="T110" s="61">
        <f t="shared" si="38"/>
        <v>4.5679211760000005</v>
      </c>
      <c r="U110" s="61">
        <f t="shared" si="38"/>
        <v>4.5679211760000005</v>
      </c>
      <c r="V110" s="61">
        <f t="shared" si="38"/>
        <v>4.4205688800000011</v>
      </c>
      <c r="W110" s="61">
        <f t="shared" si="38"/>
        <v>4.3072209600000004</v>
      </c>
      <c r="X110" s="61">
        <f t="shared" si="38"/>
        <v>4.4507949920000005</v>
      </c>
      <c r="Y110" s="61">
        <f t="shared" si="38"/>
        <v>3.4961060960000006</v>
      </c>
    </row>
    <row r="111" spans="1:33" x14ac:dyDescent="0.25">
      <c r="A111" s="128" t="str">
        <f>A$16</f>
        <v>agnelles</v>
      </c>
      <c r="B111" s="61">
        <f t="shared" ref="B111:Y111" si="39">(B40*B$3*B100)/1000</f>
        <v>1.8144671999999999</v>
      </c>
      <c r="C111" s="61">
        <f t="shared" si="39"/>
        <v>1.8144671999999999</v>
      </c>
      <c r="D111" s="61">
        <f t="shared" si="39"/>
        <v>1.6388735999999999</v>
      </c>
      <c r="E111" s="61">
        <f t="shared" si="39"/>
        <v>1.6388735999999999</v>
      </c>
      <c r="F111" s="61">
        <f t="shared" si="39"/>
        <v>0.36289343999999996</v>
      </c>
      <c r="G111" s="61">
        <f t="shared" si="39"/>
        <v>0.36289343999999996</v>
      </c>
      <c r="H111" s="61">
        <f t="shared" si="39"/>
        <v>0.35118719999999998</v>
      </c>
      <c r="I111" s="61">
        <f t="shared" si="39"/>
        <v>0.35118719999999998</v>
      </c>
      <c r="J111" s="61">
        <f t="shared" si="39"/>
        <v>0.36289343999999996</v>
      </c>
      <c r="K111" s="61">
        <f t="shared" si="39"/>
        <v>0.36289343999999996</v>
      </c>
      <c r="L111" s="61">
        <f t="shared" si="39"/>
        <v>0.87796800000000008</v>
      </c>
      <c r="M111" s="61">
        <f t="shared" si="39"/>
        <v>0.87796800000000008</v>
      </c>
      <c r="N111" s="61">
        <f t="shared" si="39"/>
        <v>0.90723359999999997</v>
      </c>
      <c r="O111" s="61">
        <f t="shared" si="39"/>
        <v>0.90723359999999997</v>
      </c>
      <c r="P111" s="61">
        <f t="shared" si="39"/>
        <v>0.90723359999999997</v>
      </c>
      <c r="Q111" s="61">
        <f t="shared" si="39"/>
        <v>0.90723359999999997</v>
      </c>
      <c r="R111" s="61">
        <f t="shared" si="39"/>
        <v>0.87796800000000008</v>
      </c>
      <c r="S111" s="61">
        <f t="shared" si="39"/>
        <v>0.87796800000000008</v>
      </c>
      <c r="T111" s="61">
        <f t="shared" si="39"/>
        <v>1.8144671999999999</v>
      </c>
      <c r="U111" s="61">
        <f t="shared" si="39"/>
        <v>1.8144671999999999</v>
      </c>
      <c r="V111" s="61">
        <f t="shared" si="39"/>
        <v>1.7559360000000002</v>
      </c>
      <c r="W111" s="61">
        <f t="shared" si="39"/>
        <v>1.7559360000000002</v>
      </c>
      <c r="X111" s="61">
        <f t="shared" si="39"/>
        <v>1.8144671999999999</v>
      </c>
      <c r="Y111" s="61">
        <f t="shared" si="39"/>
        <v>1.8144671999999999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0.30241120000000005</v>
      </c>
      <c r="C112" s="61">
        <f t="shared" si="40"/>
        <v>0.30241120000000005</v>
      </c>
      <c r="D112" s="61">
        <f t="shared" si="40"/>
        <v>0.27314560000000004</v>
      </c>
      <c r="E112" s="61">
        <f t="shared" si="40"/>
        <v>0.27314560000000004</v>
      </c>
      <c r="F112" s="61">
        <f t="shared" si="40"/>
        <v>0.39313456000000002</v>
      </c>
      <c r="G112" s="61">
        <f t="shared" si="40"/>
        <v>0.39313456000000002</v>
      </c>
      <c r="H112" s="61">
        <f t="shared" si="40"/>
        <v>0.38045280000000004</v>
      </c>
      <c r="I112" s="61">
        <f t="shared" si="40"/>
        <v>0.38045280000000004</v>
      </c>
      <c r="J112" s="61">
        <f t="shared" si="40"/>
        <v>0.39313456000000002</v>
      </c>
      <c r="K112" s="61">
        <f t="shared" si="40"/>
        <v>0.39313456000000002</v>
      </c>
      <c r="L112" s="61">
        <f t="shared" si="40"/>
        <v>0.38045280000000004</v>
      </c>
      <c r="M112" s="61">
        <f t="shared" si="40"/>
        <v>0.38045280000000004</v>
      </c>
      <c r="N112" s="61">
        <f t="shared" si="40"/>
        <v>0.39313456000000002</v>
      </c>
      <c r="O112" s="61">
        <f t="shared" si="40"/>
        <v>0.39313456000000002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0.15120560000000002</v>
      </c>
      <c r="C113" s="61">
        <f t="shared" si="41"/>
        <v>0.15120560000000002</v>
      </c>
      <c r="D113" s="61">
        <f t="shared" si="41"/>
        <v>0.13657280000000002</v>
      </c>
      <c r="E113" s="61">
        <f t="shared" si="41"/>
        <v>0.13657280000000002</v>
      </c>
      <c r="F113" s="61">
        <f t="shared" si="41"/>
        <v>0.15120560000000002</v>
      </c>
      <c r="G113" s="61">
        <f t="shared" si="41"/>
        <v>0.15120560000000002</v>
      </c>
      <c r="H113" s="61">
        <f t="shared" si="41"/>
        <v>0.14632800000000001</v>
      </c>
      <c r="I113" s="61">
        <f t="shared" si="41"/>
        <v>0.14632800000000001</v>
      </c>
      <c r="J113" s="61">
        <f t="shared" si="41"/>
        <v>0.15120560000000002</v>
      </c>
      <c r="K113" s="61">
        <f t="shared" si="41"/>
        <v>0.15120560000000002</v>
      </c>
      <c r="L113" s="61">
        <f t="shared" si="41"/>
        <v>0.14632800000000001</v>
      </c>
      <c r="M113" s="61">
        <f t="shared" si="41"/>
        <v>0.14632800000000001</v>
      </c>
      <c r="N113" s="61">
        <f t="shared" si="41"/>
        <v>0.15120560000000002</v>
      </c>
      <c r="O113" s="61">
        <f t="shared" si="41"/>
        <v>0.15120560000000002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0.14632800000000001</v>
      </c>
      <c r="X113" s="61">
        <f t="shared" si="41"/>
        <v>0.15120560000000002</v>
      </c>
      <c r="Y113" s="61">
        <f t="shared" si="41"/>
        <v>0.15120560000000002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8.2999999999999989</v>
      </c>
      <c r="C120" s="61">
        <f t="shared" ref="C120:Y120" si="48">SUM(C110:C119)</f>
        <v>8.2558257600000022</v>
      </c>
      <c r="D120" s="61">
        <f t="shared" si="48"/>
        <v>8.1716759040000007</v>
      </c>
      <c r="E120" s="61">
        <f t="shared" si="48"/>
        <v>8.1716759040000007</v>
      </c>
      <c r="F120" s="61">
        <f t="shared" si="48"/>
        <v>9.8330862672000023</v>
      </c>
      <c r="G120" s="61">
        <f t="shared" si="48"/>
        <v>9.7954244416000034</v>
      </c>
      <c r="H120" s="61">
        <f t="shared" si="48"/>
        <v>9.4429960800000003</v>
      </c>
      <c r="I120" s="61">
        <f t="shared" si="48"/>
        <v>9.406549152000002</v>
      </c>
      <c r="J120" s="61">
        <f t="shared" si="48"/>
        <v>9.0798497552000033</v>
      </c>
      <c r="K120" s="61">
        <f t="shared" si="48"/>
        <v>9.0421879296000043</v>
      </c>
      <c r="L120" s="61">
        <f t="shared" si="48"/>
        <v>9.2408383200000017</v>
      </c>
      <c r="M120" s="61">
        <f t="shared" si="48"/>
        <v>9.1679444640000014</v>
      </c>
      <c r="N120" s="61">
        <f t="shared" si="48"/>
        <v>9.3982189616000014</v>
      </c>
      <c r="O120" s="61">
        <f t="shared" si="48"/>
        <v>9.3228953104000034</v>
      </c>
      <c r="P120" s="61">
        <f t="shared" si="48"/>
        <v>5.8499585648000005</v>
      </c>
      <c r="Q120" s="61">
        <f t="shared" si="48"/>
        <v>5.8499585648000005</v>
      </c>
      <c r="R120" s="61">
        <f t="shared" si="48"/>
        <v>5.6612502240000007</v>
      </c>
      <c r="S120" s="61">
        <f t="shared" si="48"/>
        <v>5.2985368800000012</v>
      </c>
      <c r="T120" s="61">
        <f t="shared" si="48"/>
        <v>6.3823883760000006</v>
      </c>
      <c r="U120" s="61">
        <f t="shared" si="48"/>
        <v>6.3823883760000006</v>
      </c>
      <c r="V120" s="61">
        <f t="shared" si="48"/>
        <v>6.1765048800000013</v>
      </c>
      <c r="W120" s="61">
        <f t="shared" si="48"/>
        <v>6.2094849600000011</v>
      </c>
      <c r="X120" s="61">
        <f t="shared" si="48"/>
        <v>6.4164677920000006</v>
      </c>
      <c r="Y120" s="61">
        <f t="shared" si="48"/>
        <v>5.4617788960000002</v>
      </c>
      <c r="AA120" s="57">
        <f>SUM(B120:Y120)</f>
        <v>186.3178857632</v>
      </c>
      <c r="AB120" t="s">
        <v>38</v>
      </c>
      <c r="AC120" t="s">
        <v>208</v>
      </c>
    </row>
    <row r="121" spans="1:29" x14ac:dyDescent="0.25">
      <c r="AA121">
        <f>AA49*4.75</f>
        <v>180.98240999999999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>
        <v>0</v>
      </c>
      <c r="C123" s="60">
        <v>0</v>
      </c>
      <c r="D123" s="60">
        <v>0</v>
      </c>
      <c r="E123" s="60">
        <v>0.2</v>
      </c>
      <c r="F123" s="60">
        <v>0.3</v>
      </c>
      <c r="G123" s="60">
        <v>0.4</v>
      </c>
      <c r="H123" s="60">
        <v>0.45</v>
      </c>
      <c r="I123" s="60">
        <v>0.6</v>
      </c>
      <c r="J123" s="60">
        <v>0.6</v>
      </c>
      <c r="K123" s="60">
        <v>0.6</v>
      </c>
      <c r="L123" s="60">
        <v>0.7</v>
      </c>
      <c r="M123" s="60">
        <v>0.7</v>
      </c>
      <c r="N123" s="60">
        <v>0.7</v>
      </c>
      <c r="O123" s="60">
        <v>0.7</v>
      </c>
      <c r="P123" s="60">
        <v>0.7</v>
      </c>
      <c r="Q123" s="60">
        <v>0.7</v>
      </c>
      <c r="R123" s="60">
        <v>0.5</v>
      </c>
      <c r="S123" s="60">
        <v>0.5</v>
      </c>
      <c r="T123" s="60">
        <v>0.5</v>
      </c>
      <c r="U123" s="60">
        <v>0.5</v>
      </c>
      <c r="V123" s="60">
        <v>0.5</v>
      </c>
      <c r="W123" s="60">
        <v>0.5</v>
      </c>
      <c r="X123" s="60">
        <v>0.5</v>
      </c>
      <c r="Y123" s="60">
        <v>0</v>
      </c>
    </row>
    <row r="124" spans="1:29" x14ac:dyDescent="0.25">
      <c r="A124" s="128" t="str">
        <f>A$16</f>
        <v>agnelles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0.6</v>
      </c>
      <c r="I124" s="60">
        <v>0.6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vides + mammites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>
        <v>1</v>
      </c>
      <c r="Y125" s="60">
        <v>1</v>
      </c>
    </row>
    <row r="126" spans="1:29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0</v>
      </c>
      <c r="O126" s="60">
        <v>0</v>
      </c>
      <c r="P126" s="60"/>
      <c r="Q126" s="60"/>
      <c r="R126" s="60"/>
      <c r="S126" s="60"/>
      <c r="T126" s="60"/>
      <c r="U126" s="60"/>
      <c r="V126" s="60"/>
      <c r="W126" s="60"/>
      <c r="X126" s="60">
        <v>1</v>
      </c>
      <c r="Y126" s="60">
        <v>1</v>
      </c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5.9877417600000005</v>
      </c>
      <c r="C136" s="61">
        <f t="shared" ref="C136:Y136" si="49">C110*(1-C123)</f>
        <v>5.9877417600000005</v>
      </c>
      <c r="D136" s="61">
        <f t="shared" si="49"/>
        <v>6.1230839040000014</v>
      </c>
      <c r="E136" s="61">
        <f t="shared" si="49"/>
        <v>4.8984671232000014</v>
      </c>
      <c r="F136" s="61">
        <f t="shared" si="49"/>
        <v>6.2480968670400001</v>
      </c>
      <c r="G136" s="61">
        <f t="shared" si="49"/>
        <v>5.3329145049600006</v>
      </c>
      <c r="H136" s="61">
        <f t="shared" si="49"/>
        <v>4.7107654439999997</v>
      </c>
      <c r="I136" s="61">
        <f t="shared" si="49"/>
        <v>3.4114324608000004</v>
      </c>
      <c r="J136" s="61">
        <f t="shared" si="49"/>
        <v>3.2690464620800008</v>
      </c>
      <c r="K136" s="61">
        <f t="shared" si="49"/>
        <v>3.2539817318400015</v>
      </c>
      <c r="L136" s="61">
        <f t="shared" si="49"/>
        <v>2.3508268560000007</v>
      </c>
      <c r="M136" s="61">
        <f t="shared" si="49"/>
        <v>2.3289586992000006</v>
      </c>
      <c r="N136" s="61">
        <f t="shared" si="49"/>
        <v>2.3839935604800004</v>
      </c>
      <c r="O136" s="61">
        <f t="shared" si="49"/>
        <v>2.3613964651200008</v>
      </c>
      <c r="P136" s="61">
        <f t="shared" si="49"/>
        <v>1.4828174894400006</v>
      </c>
      <c r="Q136" s="61">
        <f t="shared" si="49"/>
        <v>1.4828174894400006</v>
      </c>
      <c r="R136" s="61">
        <f t="shared" si="49"/>
        <v>2.3916411120000003</v>
      </c>
      <c r="S136" s="61">
        <f t="shared" si="49"/>
        <v>2.2102844400000006</v>
      </c>
      <c r="T136" s="61">
        <f t="shared" si="49"/>
        <v>2.2839605880000002</v>
      </c>
      <c r="U136" s="61">
        <f t="shared" si="49"/>
        <v>2.2839605880000002</v>
      </c>
      <c r="V136" s="61">
        <f t="shared" si="49"/>
        <v>2.2102844400000006</v>
      </c>
      <c r="W136" s="61">
        <f t="shared" si="49"/>
        <v>2.1536104800000002</v>
      </c>
      <c r="X136" s="61">
        <f t="shared" si="49"/>
        <v>2.2253974960000003</v>
      </c>
      <c r="Y136" s="61">
        <f t="shared" si="49"/>
        <v>3.4961060960000006</v>
      </c>
      <c r="AA136" s="61">
        <f>SUM(B136:Y136)</f>
        <v>80.869327817599995</v>
      </c>
    </row>
    <row r="137" spans="1:31" x14ac:dyDescent="0.25">
      <c r="A137" s="128" t="str">
        <f>A$16</f>
        <v>agnelles</v>
      </c>
      <c r="B137" s="61">
        <f t="shared" ref="B137:Y144" si="50">B111*(1-B124)</f>
        <v>1.8144671999999999</v>
      </c>
      <c r="C137" s="61">
        <f t="shared" si="50"/>
        <v>1.8144671999999999</v>
      </c>
      <c r="D137" s="61">
        <f t="shared" si="50"/>
        <v>1.6388735999999999</v>
      </c>
      <c r="E137" s="61">
        <f t="shared" si="50"/>
        <v>1.6388735999999999</v>
      </c>
      <c r="F137" s="61">
        <f t="shared" si="50"/>
        <v>0.36289343999999996</v>
      </c>
      <c r="G137" s="61">
        <f t="shared" si="50"/>
        <v>0.36289343999999996</v>
      </c>
      <c r="H137" s="61">
        <f t="shared" si="50"/>
        <v>0.14047488</v>
      </c>
      <c r="I137" s="61">
        <f t="shared" si="50"/>
        <v>0.14047488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7.9134182399999995</v>
      </c>
    </row>
    <row r="138" spans="1:31" x14ac:dyDescent="0.25">
      <c r="A138" s="128" t="str">
        <f>A$17</f>
        <v>vides + mammites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béliers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0.15120560000000002</v>
      </c>
      <c r="O139" s="61">
        <f t="shared" si="50"/>
        <v>0.15120560000000002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0.14632800000000001</v>
      </c>
      <c r="X139" s="61">
        <f t="shared" si="50"/>
        <v>0</v>
      </c>
      <c r="Y139" s="61">
        <f t="shared" si="50"/>
        <v>0</v>
      </c>
      <c r="AA139" s="61">
        <f t="shared" si="51"/>
        <v>0.44873920000000006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89.231485257599999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102.61620804623999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1.2246167807999999</v>
      </c>
      <c r="F149" s="61">
        <f t="shared" si="53"/>
        <v>2.6777558001600008</v>
      </c>
      <c r="G149" s="61">
        <f t="shared" si="53"/>
        <v>3.5552763366400013</v>
      </c>
      <c r="H149" s="61">
        <f t="shared" si="53"/>
        <v>3.8542626359999996</v>
      </c>
      <c r="I149" s="61">
        <f t="shared" si="53"/>
        <v>5.1171486912000006</v>
      </c>
      <c r="J149" s="61">
        <f t="shared" si="53"/>
        <v>4.9035696931200015</v>
      </c>
      <c r="K149" s="61">
        <f t="shared" si="53"/>
        <v>4.8809725977600014</v>
      </c>
      <c r="L149" s="61">
        <f t="shared" si="53"/>
        <v>5.4852626640000004</v>
      </c>
      <c r="M149" s="61">
        <f t="shared" si="53"/>
        <v>5.4342369648000002</v>
      </c>
      <c r="N149" s="61">
        <f t="shared" si="53"/>
        <v>5.5626516411200004</v>
      </c>
      <c r="O149" s="61">
        <f t="shared" si="53"/>
        <v>5.5099250852800008</v>
      </c>
      <c r="P149" s="61">
        <f t="shared" si="53"/>
        <v>3.4599074753600005</v>
      </c>
      <c r="Q149" s="61">
        <f t="shared" si="53"/>
        <v>3.4599074753600005</v>
      </c>
      <c r="R149" s="61">
        <f t="shared" si="53"/>
        <v>2.3916411120000003</v>
      </c>
      <c r="S149" s="61">
        <f t="shared" si="53"/>
        <v>2.2102844400000006</v>
      </c>
      <c r="T149" s="61">
        <f t="shared" si="53"/>
        <v>2.2839605880000002</v>
      </c>
      <c r="U149" s="61">
        <f t="shared" si="53"/>
        <v>2.2839605880000002</v>
      </c>
      <c r="V149" s="61">
        <f t="shared" si="53"/>
        <v>2.2102844400000006</v>
      </c>
      <c r="W149" s="61">
        <f t="shared" si="53"/>
        <v>2.1536104800000002</v>
      </c>
      <c r="X149" s="61">
        <f t="shared" si="53"/>
        <v>2.2253974960000003</v>
      </c>
      <c r="Y149" s="61">
        <f t="shared" si="53"/>
        <v>0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0.21071231999999998</v>
      </c>
      <c r="I150" s="61">
        <f t="shared" si="54"/>
        <v>0.21071231999999998</v>
      </c>
      <c r="J150" s="61">
        <f t="shared" si="54"/>
        <v>0.36289343999999996</v>
      </c>
      <c r="K150" s="61">
        <f t="shared" si="54"/>
        <v>0.36289343999999996</v>
      </c>
      <c r="L150" s="61">
        <f t="shared" si="54"/>
        <v>0.87796800000000008</v>
      </c>
      <c r="M150" s="61">
        <f t="shared" si="54"/>
        <v>0.87796800000000008</v>
      </c>
      <c r="N150" s="61">
        <f t="shared" si="54"/>
        <v>0.90723359999999997</v>
      </c>
      <c r="O150" s="61">
        <f t="shared" si="54"/>
        <v>0.90723359999999997</v>
      </c>
      <c r="P150" s="61">
        <f t="shared" si="54"/>
        <v>0.90723359999999997</v>
      </c>
      <c r="Q150" s="61">
        <f t="shared" si="54"/>
        <v>0.90723359999999997</v>
      </c>
      <c r="R150" s="61">
        <f t="shared" si="54"/>
        <v>0.87796800000000008</v>
      </c>
      <c r="S150" s="61">
        <f t="shared" si="54"/>
        <v>0.87796800000000008</v>
      </c>
      <c r="T150" s="61">
        <f t="shared" si="54"/>
        <v>1.8144671999999999</v>
      </c>
      <c r="U150" s="61">
        <f t="shared" si="54"/>
        <v>1.8144671999999999</v>
      </c>
      <c r="V150" s="61">
        <f t="shared" si="54"/>
        <v>1.7559360000000002</v>
      </c>
      <c r="W150" s="61">
        <f t="shared" si="54"/>
        <v>1.7559360000000002</v>
      </c>
      <c r="X150" s="61">
        <f t="shared" si="54"/>
        <v>1.8144671999999999</v>
      </c>
      <c r="Y150" s="61">
        <f t="shared" si="54"/>
        <v>1.8144671999999999</v>
      </c>
    </row>
    <row r="151" spans="1:28" x14ac:dyDescent="0.25">
      <c r="A151" s="128" t="str">
        <f>A$17</f>
        <v>vides + mammites</v>
      </c>
      <c r="B151" s="61">
        <f t="shared" ref="B151:Y151" si="55">B112-B138</f>
        <v>0.30241120000000005</v>
      </c>
      <c r="C151" s="61">
        <f t="shared" si="55"/>
        <v>0.30241120000000005</v>
      </c>
      <c r="D151" s="61">
        <f t="shared" si="55"/>
        <v>0.27314560000000004</v>
      </c>
      <c r="E151" s="61">
        <f t="shared" si="55"/>
        <v>0.27314560000000004</v>
      </c>
      <c r="F151" s="61">
        <f t="shared" si="55"/>
        <v>0.39313456000000002</v>
      </c>
      <c r="G151" s="61">
        <f t="shared" si="55"/>
        <v>0.39313456000000002</v>
      </c>
      <c r="H151" s="61">
        <f t="shared" si="55"/>
        <v>0.38045280000000004</v>
      </c>
      <c r="I151" s="61">
        <f t="shared" si="55"/>
        <v>0.38045280000000004</v>
      </c>
      <c r="J151" s="61">
        <f t="shared" si="55"/>
        <v>0.39313456000000002</v>
      </c>
      <c r="K151" s="61">
        <f t="shared" si="55"/>
        <v>0.39313456000000002</v>
      </c>
      <c r="L151" s="61">
        <f t="shared" si="55"/>
        <v>0.38045280000000004</v>
      </c>
      <c r="M151" s="61">
        <f t="shared" si="55"/>
        <v>0.38045280000000004</v>
      </c>
      <c r="N151" s="61">
        <f t="shared" si="55"/>
        <v>0.39313456000000002</v>
      </c>
      <c r="O151" s="61">
        <f t="shared" si="55"/>
        <v>0.39313456000000002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0.15120560000000002</v>
      </c>
      <c r="C152" s="61">
        <f t="shared" si="56"/>
        <v>0.15120560000000002</v>
      </c>
      <c r="D152" s="61">
        <f t="shared" si="56"/>
        <v>0.13657280000000002</v>
      </c>
      <c r="E152" s="61">
        <f t="shared" si="56"/>
        <v>0.13657280000000002</v>
      </c>
      <c r="F152" s="61">
        <f t="shared" si="56"/>
        <v>0.15120560000000002</v>
      </c>
      <c r="G152" s="61">
        <f t="shared" si="56"/>
        <v>0.15120560000000002</v>
      </c>
      <c r="H152" s="61">
        <f t="shared" si="56"/>
        <v>0.14632800000000001</v>
      </c>
      <c r="I152" s="61">
        <f t="shared" si="56"/>
        <v>0.14632800000000001</v>
      </c>
      <c r="J152" s="61">
        <f t="shared" si="56"/>
        <v>0.15120560000000002</v>
      </c>
      <c r="K152" s="61">
        <f t="shared" si="56"/>
        <v>0.15120560000000002</v>
      </c>
      <c r="L152" s="61">
        <f t="shared" si="56"/>
        <v>0.14632800000000001</v>
      </c>
      <c r="M152" s="61">
        <f t="shared" si="56"/>
        <v>0.14632800000000001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0.15120560000000002</v>
      </c>
      <c r="Y152" s="61">
        <f t="shared" si="56"/>
        <v>0.15120560000000002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97.042226265599879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1.2246167807999999</v>
      </c>
      <c r="F162" s="61">
        <f t="shared" si="63"/>
        <v>2.6777558001600008</v>
      </c>
      <c r="G162" s="61">
        <f t="shared" si="63"/>
        <v>3.5552763366400013</v>
      </c>
      <c r="H162" s="61">
        <f t="shared" si="63"/>
        <v>3.8542626359999996</v>
      </c>
      <c r="I162" s="61">
        <f t="shared" si="63"/>
        <v>5.1171486912000006</v>
      </c>
      <c r="J162" s="61">
        <f t="shared" si="63"/>
        <v>4.9035696931200015</v>
      </c>
      <c r="K162" s="61">
        <f t="shared" si="63"/>
        <v>4.8809725977600014</v>
      </c>
      <c r="L162" s="61">
        <f t="shared" si="63"/>
        <v>5.4852626640000004</v>
      </c>
      <c r="M162" s="61">
        <f t="shared" si="63"/>
        <v>5.4342369648000002</v>
      </c>
      <c r="N162" s="61">
        <f t="shared" si="63"/>
        <v>5.5626516411200004</v>
      </c>
      <c r="O162" s="61">
        <f t="shared" si="63"/>
        <v>5.5099250852800008</v>
      </c>
      <c r="P162" s="61">
        <f t="shared" si="63"/>
        <v>3.4599074753600005</v>
      </c>
      <c r="Q162" s="61">
        <f t="shared" si="63"/>
        <v>3.4599074753600005</v>
      </c>
      <c r="R162" s="61">
        <f t="shared" si="63"/>
        <v>2.3916411120000003</v>
      </c>
      <c r="S162" s="61">
        <f t="shared" si="63"/>
        <v>2.2102844400000006</v>
      </c>
      <c r="T162" s="61">
        <f t="shared" si="63"/>
        <v>2.2839605880000002</v>
      </c>
      <c r="U162" s="61">
        <f t="shared" si="63"/>
        <v>2.2839605880000002</v>
      </c>
      <c r="V162" s="61">
        <f t="shared" si="63"/>
        <v>2.2102844400000006</v>
      </c>
      <c r="W162" s="61">
        <f t="shared" si="63"/>
        <v>2.1536104800000002</v>
      </c>
      <c r="X162" s="61">
        <f t="shared" si="63"/>
        <v>2.2253974960000003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1.7559360000000002</v>
      </c>
      <c r="W163" s="61">
        <f t="shared" si="64"/>
        <v>1.7559360000000002</v>
      </c>
      <c r="X163" s="61">
        <f t="shared" si="64"/>
        <v>1.8144671999999999</v>
      </c>
      <c r="Y163" s="61">
        <f t="shared" si="64"/>
        <v>1.8144671999999999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1.2246167807999999</v>
      </c>
      <c r="F172" s="61">
        <f t="shared" si="73"/>
        <v>2.6777558001600008</v>
      </c>
      <c r="G172" s="61">
        <f t="shared" si="73"/>
        <v>3.5552763366400013</v>
      </c>
      <c r="H172" s="61">
        <f t="shared" si="73"/>
        <v>3.8542626359999996</v>
      </c>
      <c r="I172" s="61">
        <f t="shared" si="73"/>
        <v>5.1171486912000006</v>
      </c>
      <c r="J172" s="61">
        <f t="shared" si="73"/>
        <v>4.9035696931200015</v>
      </c>
      <c r="K172" s="61">
        <f t="shared" si="73"/>
        <v>4.8809725977600014</v>
      </c>
      <c r="L172" s="61">
        <f t="shared" si="73"/>
        <v>5.4852626640000004</v>
      </c>
      <c r="M172" s="61">
        <f t="shared" si="73"/>
        <v>5.4342369648000002</v>
      </c>
      <c r="N172" s="61">
        <f t="shared" si="73"/>
        <v>5.5626516411200004</v>
      </c>
      <c r="O172" s="61">
        <f t="shared" si="73"/>
        <v>5.5099250852800008</v>
      </c>
      <c r="P172" s="61">
        <f t="shared" si="73"/>
        <v>3.4599074753600005</v>
      </c>
      <c r="Q172" s="61">
        <f t="shared" si="73"/>
        <v>3.4599074753600005</v>
      </c>
      <c r="R172" s="61">
        <f t="shared" si="73"/>
        <v>2.3916411120000003</v>
      </c>
      <c r="S172" s="61">
        <f t="shared" si="73"/>
        <v>2.2102844400000006</v>
      </c>
      <c r="T172" s="61">
        <f t="shared" si="73"/>
        <v>2.2839605880000002</v>
      </c>
      <c r="U172" s="61">
        <f t="shared" si="73"/>
        <v>2.2839605880000002</v>
      </c>
      <c r="V172" s="61">
        <f t="shared" si="73"/>
        <v>3.9662204400000007</v>
      </c>
      <c r="W172" s="61">
        <f t="shared" si="73"/>
        <v>3.9095464800000004</v>
      </c>
      <c r="X172" s="61">
        <f t="shared" si="73"/>
        <v>4.0398646960000004</v>
      </c>
      <c r="Y172" s="61">
        <f t="shared" si="73"/>
        <v>1.8144671999999999</v>
      </c>
      <c r="AA172" s="64">
        <f>SUM(B172:Y172)</f>
        <v>78.025439385600009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0.21071231999999998</v>
      </c>
      <c r="I176" s="61">
        <f t="shared" si="75"/>
        <v>0.21071231999999998</v>
      </c>
      <c r="J176" s="61">
        <f t="shared" si="75"/>
        <v>0.36289343999999996</v>
      </c>
      <c r="K176" s="61">
        <f t="shared" si="75"/>
        <v>0.36289343999999996</v>
      </c>
      <c r="L176" s="61">
        <f t="shared" si="75"/>
        <v>0.87796800000000008</v>
      </c>
      <c r="M176" s="61">
        <f t="shared" si="75"/>
        <v>0.87796800000000008</v>
      </c>
      <c r="N176" s="61">
        <f t="shared" si="75"/>
        <v>0.90723359999999997</v>
      </c>
      <c r="O176" s="61">
        <f t="shared" si="75"/>
        <v>0.90723359999999997</v>
      </c>
      <c r="P176" s="61">
        <f t="shared" si="75"/>
        <v>0.90723359999999997</v>
      </c>
      <c r="Q176" s="61">
        <f t="shared" si="75"/>
        <v>0.90723359999999997</v>
      </c>
      <c r="R176" s="61">
        <f t="shared" si="75"/>
        <v>0.87796800000000008</v>
      </c>
      <c r="S176" s="61">
        <f t="shared" si="75"/>
        <v>0.87796800000000008</v>
      </c>
      <c r="T176" s="61">
        <f t="shared" si="75"/>
        <v>1.8144671999999999</v>
      </c>
      <c r="U176" s="61">
        <f t="shared" si="75"/>
        <v>1.8144671999999999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0.30241120000000005</v>
      </c>
      <c r="C177" s="61">
        <f t="shared" si="76"/>
        <v>0.30241120000000005</v>
      </c>
      <c r="D177" s="61">
        <f t="shared" si="76"/>
        <v>0.27314560000000004</v>
      </c>
      <c r="E177" s="61">
        <f t="shared" si="76"/>
        <v>0.27314560000000004</v>
      </c>
      <c r="F177" s="61">
        <f t="shared" si="76"/>
        <v>0.39313456000000002</v>
      </c>
      <c r="G177" s="61">
        <f t="shared" si="76"/>
        <v>0.39313456000000002</v>
      </c>
      <c r="H177" s="61">
        <f t="shared" si="76"/>
        <v>0.38045280000000004</v>
      </c>
      <c r="I177" s="61">
        <f t="shared" si="76"/>
        <v>0.38045280000000004</v>
      </c>
      <c r="J177" s="61">
        <f t="shared" si="76"/>
        <v>0.39313456000000002</v>
      </c>
      <c r="K177" s="61">
        <f t="shared" si="76"/>
        <v>0.39313456000000002</v>
      </c>
      <c r="L177" s="61">
        <f t="shared" si="76"/>
        <v>0.38045280000000004</v>
      </c>
      <c r="M177" s="61">
        <f t="shared" si="76"/>
        <v>0.38045280000000004</v>
      </c>
      <c r="N177" s="61">
        <f t="shared" si="76"/>
        <v>0.39313456000000002</v>
      </c>
      <c r="O177" s="61">
        <f t="shared" si="76"/>
        <v>0.39313456000000002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0.15120560000000002</v>
      </c>
      <c r="C178" s="61">
        <f t="shared" si="77"/>
        <v>0.15120560000000002</v>
      </c>
      <c r="D178" s="61">
        <f t="shared" si="77"/>
        <v>0.13657280000000002</v>
      </c>
      <c r="E178" s="61">
        <f t="shared" si="77"/>
        <v>0.13657280000000002</v>
      </c>
      <c r="F178" s="61">
        <f t="shared" si="77"/>
        <v>0.15120560000000002</v>
      </c>
      <c r="G178" s="61">
        <f t="shared" si="77"/>
        <v>0.15120560000000002</v>
      </c>
      <c r="H178" s="61">
        <f t="shared" si="77"/>
        <v>0.14632800000000001</v>
      </c>
      <c r="I178" s="61">
        <f t="shared" si="77"/>
        <v>0.14632800000000001</v>
      </c>
      <c r="J178" s="61">
        <f t="shared" si="77"/>
        <v>0.15120560000000002</v>
      </c>
      <c r="K178" s="61">
        <f t="shared" si="77"/>
        <v>0.15120560000000002</v>
      </c>
      <c r="L178" s="61">
        <f t="shared" si="77"/>
        <v>0.14632800000000001</v>
      </c>
      <c r="M178" s="61">
        <f t="shared" si="77"/>
        <v>0.14632800000000001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0.15120560000000002</v>
      </c>
      <c r="Y178" s="61">
        <f t="shared" si="77"/>
        <v>0.15120560000000002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0.45361680000000004</v>
      </c>
      <c r="C185" s="61">
        <f>SUM(CdTrp1!C175:C184)</f>
        <v>0.45361680000000004</v>
      </c>
      <c r="D185" s="61">
        <f>SUM(CdTrp1!D175:D184)</f>
        <v>0.40971840000000004</v>
      </c>
      <c r="E185" s="61">
        <f>SUM(CdTrp1!E175:E184)</f>
        <v>0.40971840000000004</v>
      </c>
      <c r="F185" s="61">
        <f>SUM(CdTrp1!F175:F184)</f>
        <v>0.54434016000000007</v>
      </c>
      <c r="G185" s="61">
        <f>SUM(CdTrp1!G175:G184)</f>
        <v>0.54434016000000007</v>
      </c>
      <c r="H185" s="61">
        <f>SUM(CdTrp1!H175:H184)</f>
        <v>0.73749312</v>
      </c>
      <c r="I185" s="61">
        <f>SUM(CdTrp1!I175:I184)</f>
        <v>0.73749312</v>
      </c>
      <c r="J185" s="61">
        <f>SUM(CdTrp1!J175:J184)</f>
        <v>0.90723359999999997</v>
      </c>
      <c r="K185" s="61">
        <f>SUM(CdTrp1!K175:K184)</f>
        <v>0.90723359999999997</v>
      </c>
      <c r="L185" s="61">
        <f>SUM(CdTrp1!L175:L184)</f>
        <v>1.4047488000000001</v>
      </c>
      <c r="M185" s="61">
        <f>SUM(CdTrp1!M175:M184)</f>
        <v>1.4047488000000001</v>
      </c>
      <c r="N185" s="61">
        <f>SUM(CdTrp1!N175:N184)</f>
        <v>1.3003681600000001</v>
      </c>
      <c r="O185" s="61">
        <f>SUM(CdTrp1!O175:O184)</f>
        <v>1.3003681600000001</v>
      </c>
      <c r="P185" s="61">
        <f>SUM(CdTrp1!P175:P184)</f>
        <v>0.90723359999999997</v>
      </c>
      <c r="Q185" s="61">
        <f>SUM(CdTrp1!Q175:Q184)</f>
        <v>0.90723359999999997</v>
      </c>
      <c r="R185" s="61">
        <f>SUM(CdTrp1!R175:R184)</f>
        <v>0.87796800000000008</v>
      </c>
      <c r="S185" s="61">
        <f>SUM(CdTrp1!S175:S184)</f>
        <v>0.87796800000000008</v>
      </c>
      <c r="T185" s="61">
        <f>SUM(CdTrp1!T175:T184)</f>
        <v>1.8144671999999999</v>
      </c>
      <c r="U185" s="61">
        <f>SUM(CdTrp1!U175:U184)</f>
        <v>1.8144671999999999</v>
      </c>
      <c r="V185" s="61">
        <f>SUM(CdTrp1!V175:V184)</f>
        <v>0</v>
      </c>
      <c r="W185" s="61">
        <f>SUM(CdTrp1!W175:W184)</f>
        <v>0</v>
      </c>
      <c r="X185" s="61">
        <f>SUM(CdTrp1!X175:X184)</f>
        <v>0.15120560000000002</v>
      </c>
      <c r="Y185" s="61">
        <f>SUM(CdTrp1!Y175:Y184)</f>
        <v>0.15120560000000002</v>
      </c>
      <c r="AA185" s="64">
        <f>SUM(B185:Y185)</f>
        <v>19.016786879999998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1.2246167807999999</v>
      </c>
      <c r="F215" s="61">
        <f t="shared" si="106"/>
        <v>2.6777558001600008</v>
      </c>
      <c r="G215" s="61">
        <f t="shared" si="106"/>
        <v>3.5552763366400013</v>
      </c>
      <c r="H215" s="61">
        <f t="shared" si="106"/>
        <v>3.8542626359999996</v>
      </c>
      <c r="I215" s="61">
        <f t="shared" si="106"/>
        <v>5.1171486912000006</v>
      </c>
      <c r="J215" s="61">
        <f t="shared" si="106"/>
        <v>4.9035696931200015</v>
      </c>
      <c r="K215" s="61">
        <f t="shared" si="106"/>
        <v>4.8809725977600014</v>
      </c>
      <c r="L215" s="61">
        <f t="shared" si="106"/>
        <v>5.4852626640000004</v>
      </c>
      <c r="M215" s="61">
        <f t="shared" si="106"/>
        <v>5.4342369648000002</v>
      </c>
      <c r="N215" s="61">
        <f t="shared" si="106"/>
        <v>5.5626516411200004</v>
      </c>
      <c r="O215" s="61">
        <f t="shared" si="106"/>
        <v>5.5099250852800008</v>
      </c>
      <c r="P215" s="61">
        <f t="shared" si="106"/>
        <v>3.4599074753600005</v>
      </c>
      <c r="Q215" s="61">
        <f t="shared" si="106"/>
        <v>3.4599074753600005</v>
      </c>
      <c r="R215" s="61">
        <f t="shared" si="106"/>
        <v>2.3916411120000003</v>
      </c>
      <c r="S215" s="61">
        <f t="shared" si="106"/>
        <v>2.2102844400000006</v>
      </c>
      <c r="T215" s="61">
        <f t="shared" si="106"/>
        <v>2.2839605880000002</v>
      </c>
      <c r="U215" s="61">
        <f t="shared" si="106"/>
        <v>2.2839605880000002</v>
      </c>
      <c r="V215" s="61">
        <f t="shared" si="106"/>
        <v>3.9662204400000007</v>
      </c>
      <c r="W215" s="61">
        <f t="shared" si="106"/>
        <v>3.9095464800000004</v>
      </c>
      <c r="X215" s="61">
        <f t="shared" si="106"/>
        <v>4.0398646960000004</v>
      </c>
      <c r="Y215" s="61">
        <f t="shared" si="106"/>
        <v>1.8144671999999999</v>
      </c>
    </row>
    <row r="216" spans="1:28" x14ac:dyDescent="0.25">
      <c r="A216" s="38" t="s">
        <v>220</v>
      </c>
      <c r="B216" s="61">
        <f>B185</f>
        <v>0.45361680000000004</v>
      </c>
      <c r="C216" s="61">
        <f t="shared" ref="C216:Y216" si="107">C185</f>
        <v>0.45361680000000004</v>
      </c>
      <c r="D216" s="61">
        <f t="shared" si="107"/>
        <v>0.40971840000000004</v>
      </c>
      <c r="E216" s="61">
        <f t="shared" si="107"/>
        <v>0.40971840000000004</v>
      </c>
      <c r="F216" s="61">
        <f t="shared" si="107"/>
        <v>0.54434016000000007</v>
      </c>
      <c r="G216" s="61">
        <f t="shared" si="107"/>
        <v>0.54434016000000007</v>
      </c>
      <c r="H216" s="61">
        <f t="shared" si="107"/>
        <v>0.73749312</v>
      </c>
      <c r="I216" s="61">
        <f t="shared" si="107"/>
        <v>0.73749312</v>
      </c>
      <c r="J216" s="61">
        <f t="shared" si="107"/>
        <v>0.90723359999999997</v>
      </c>
      <c r="K216" s="61">
        <f t="shared" si="107"/>
        <v>0.90723359999999997</v>
      </c>
      <c r="L216" s="61">
        <f t="shared" si="107"/>
        <v>1.4047488000000001</v>
      </c>
      <c r="M216" s="61">
        <f t="shared" si="107"/>
        <v>1.4047488000000001</v>
      </c>
      <c r="N216" s="61">
        <f t="shared" si="107"/>
        <v>1.3003681600000001</v>
      </c>
      <c r="O216" s="61">
        <f t="shared" si="107"/>
        <v>1.3003681600000001</v>
      </c>
      <c r="P216" s="61">
        <f t="shared" si="107"/>
        <v>0.90723359999999997</v>
      </c>
      <c r="Q216" s="61">
        <f t="shared" si="107"/>
        <v>0.90723359999999997</v>
      </c>
      <c r="R216" s="61">
        <f t="shared" si="107"/>
        <v>0.87796800000000008</v>
      </c>
      <c r="S216" s="61">
        <f t="shared" si="107"/>
        <v>0.87796800000000008</v>
      </c>
      <c r="T216" s="61">
        <f t="shared" si="107"/>
        <v>1.8144671999999999</v>
      </c>
      <c r="U216" s="61">
        <f t="shared" si="107"/>
        <v>1.8144671999999999</v>
      </c>
      <c r="V216" s="61">
        <f t="shared" si="107"/>
        <v>0</v>
      </c>
      <c r="W216" s="61">
        <f t="shared" si="107"/>
        <v>0</v>
      </c>
      <c r="X216" s="61">
        <f t="shared" si="107"/>
        <v>0.15120560000000002</v>
      </c>
      <c r="Y216" s="61">
        <f t="shared" si="107"/>
        <v>0.15120560000000002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97.042226265599993</v>
      </c>
      <c r="AB219" t="s">
        <v>224</v>
      </c>
    </row>
    <row r="220" spans="1:28" x14ac:dyDescent="0.25">
      <c r="AA220" s="30">
        <f>SUM(B215:Y217)</f>
        <v>97.042226265599993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2023-01-16T18:39:38Z</dcterms:modified>
</cp:coreProperties>
</file>