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firstSheet="7" activeTab="7"/>
  </bookViews>
  <sheets>
    <sheet name="Intro Classeur" sheetId="13" r:id="rId1"/>
    <sheet name="Scénario" sheetId="27" r:id="rId2"/>
    <sheet name="Protection" sheetId="28" r:id="rId3"/>
    <sheet name="Travail" sheetId="29" r:id="rId4"/>
    <sheet name="Calcul éco" sheetId="30" r:id="rId5"/>
    <sheet name="Synthèse résultats" sheetId="31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ire" sheetId="32" r:id="rId14"/>
    <sheet name="Parcellaire" sheetId="7" r:id="rId15"/>
    <sheet name="Parcellaire (2)" sheetId="33" r:id="rId16"/>
  </sheets>
  <externalReferences>
    <externalReference r:id="rId17"/>
  </externalReferences>
  <calcPr calcId="162913"/>
  <pivotCaches>
    <pivotCache cacheId="32" r:id="rId18"/>
    <pivotCache cacheId="33" r:id="rId19"/>
  </pivotCaches>
</workbook>
</file>

<file path=xl/calcChain.xml><?xml version="1.0" encoding="utf-8"?>
<calcChain xmlns="http://schemas.openxmlformats.org/spreadsheetml/2006/main">
  <c r="AV4" i="28" l="1"/>
  <c r="AW4" i="28"/>
  <c r="BD4" i="28" s="1"/>
  <c r="BE4" i="28" s="1"/>
  <c r="BF4" i="28" s="1"/>
  <c r="AX4" i="28"/>
  <c r="AY4" i="28"/>
  <c r="AZ4" i="28"/>
  <c r="BG4" i="28"/>
  <c r="BK4" i="28"/>
  <c r="AV5" i="28"/>
  <c r="AW5" i="28"/>
  <c r="AX5" i="28"/>
  <c r="AY5" i="28"/>
  <c r="AZ5" i="28"/>
  <c r="BD5" i="28"/>
  <c r="BE5" i="28" s="1"/>
  <c r="BF5" i="28" s="1"/>
  <c r="AV6" i="28"/>
  <c r="AW6" i="28"/>
  <c r="BJ6" i="28" s="1"/>
  <c r="AX6" i="28"/>
  <c r="AY6" i="28"/>
  <c r="AZ6" i="28"/>
  <c r="BI6" i="28"/>
  <c r="BK6" i="28"/>
  <c r="AV7" i="28"/>
  <c r="AW7" i="28"/>
  <c r="AX7" i="28"/>
  <c r="AY7" i="28"/>
  <c r="AZ7" i="28"/>
  <c r="BD7" i="28"/>
  <c r="BE7" i="28" s="1"/>
  <c r="BF7" i="28" s="1"/>
  <c r="BG7" i="28"/>
  <c r="BH7" i="28"/>
  <c r="BI7" i="28"/>
  <c r="BJ7" i="28"/>
  <c r="BK7" i="28"/>
  <c r="BL7" i="28"/>
  <c r="AV8" i="28"/>
  <c r="AW8" i="28"/>
  <c r="BJ8" i="28" s="1"/>
  <c r="AX8" i="28"/>
  <c r="AY8" i="28"/>
  <c r="AZ8" i="28"/>
  <c r="BG8" i="28"/>
  <c r="BH8" i="28"/>
  <c r="BI8" i="28"/>
  <c r="BK8" i="28"/>
  <c r="AV9" i="28"/>
  <c r="AW9" i="28"/>
  <c r="AX9" i="28"/>
  <c r="AY9" i="28"/>
  <c r="BD9" i="28" s="1"/>
  <c r="BE9" i="28" s="1"/>
  <c r="BF9" i="28" s="1"/>
  <c r="AZ9" i="28"/>
  <c r="AV10" i="28"/>
  <c r="AW10" i="28"/>
  <c r="AX10" i="28"/>
  <c r="AY10" i="28"/>
  <c r="AZ10" i="28"/>
  <c r="AV11" i="28"/>
  <c r="AW11" i="28"/>
  <c r="BG11" i="28" s="1"/>
  <c r="AX11" i="28"/>
  <c r="AY11" i="28"/>
  <c r="AZ11" i="28"/>
  <c r="BD11" i="28"/>
  <c r="BE11" i="28" s="1"/>
  <c r="BF11" i="28" s="1"/>
  <c r="BH11" i="28"/>
  <c r="BL11" i="28"/>
  <c r="AV12" i="28"/>
  <c r="AW12" i="28"/>
  <c r="BD12" i="28" s="1"/>
  <c r="BE12" i="28" s="1"/>
  <c r="BF12" i="28" s="1"/>
  <c r="BK12" i="28" s="1"/>
  <c r="AX12" i="28"/>
  <c r="AY12" i="28"/>
  <c r="AZ12" i="28"/>
  <c r="AV13" i="28"/>
  <c r="AW13" i="28"/>
  <c r="AX13" i="28"/>
  <c r="AY13" i="28"/>
  <c r="AZ13" i="28"/>
  <c r="BD13" i="28"/>
  <c r="BE13" i="28"/>
  <c r="BF13" i="28" s="1"/>
  <c r="BK13" i="28" s="1"/>
  <c r="AV14" i="28"/>
  <c r="AW14" i="28"/>
  <c r="BJ14" i="28" s="1"/>
  <c r="AX14" i="28"/>
  <c r="AY14" i="28"/>
  <c r="AZ14" i="28"/>
  <c r="BI14" i="28"/>
  <c r="BK14" i="28"/>
  <c r="AV15" i="28"/>
  <c r="AW15" i="28"/>
  <c r="AX15" i="28"/>
  <c r="AY15" i="28"/>
  <c r="AZ15" i="28"/>
  <c r="BD15" i="28"/>
  <c r="BE15" i="28" s="1"/>
  <c r="BF15" i="28" s="1"/>
  <c r="AV16" i="28"/>
  <c r="AW16" i="28"/>
  <c r="AX16" i="28"/>
  <c r="AY16" i="28"/>
  <c r="AZ16" i="28"/>
  <c r="AV17" i="28"/>
  <c r="AW17" i="28"/>
  <c r="AX17" i="28"/>
  <c r="AY17" i="28"/>
  <c r="AZ17" i="28"/>
  <c r="BD17" i="28"/>
  <c r="BE17" i="28" s="1"/>
  <c r="BF17" i="28" s="1"/>
  <c r="AV18" i="28"/>
  <c r="AW18" i="28"/>
  <c r="AX18" i="28"/>
  <c r="AY18" i="28"/>
  <c r="AZ18" i="28"/>
  <c r="AV19" i="28"/>
  <c r="AW19" i="28"/>
  <c r="AX19" i="28"/>
  <c r="AY19" i="28"/>
  <c r="AZ19" i="28"/>
  <c r="BD19" i="28"/>
  <c r="BE19" i="28" s="1"/>
  <c r="BF19" i="28" s="1"/>
  <c r="AV20" i="28"/>
  <c r="AW20" i="28"/>
  <c r="BD20" i="28" s="1"/>
  <c r="BE20" i="28" s="1"/>
  <c r="BF20" i="28" s="1"/>
  <c r="AX20" i="28"/>
  <c r="AY20" i="28"/>
  <c r="AZ20" i="28"/>
  <c r="AV21" i="28"/>
  <c r="AW21" i="28"/>
  <c r="AX21" i="28"/>
  <c r="AY21" i="28"/>
  <c r="AZ21" i="28"/>
  <c r="BD21" i="28"/>
  <c r="BE21" i="28" s="1"/>
  <c r="BF21" i="28" s="1"/>
  <c r="AV22" i="28"/>
  <c r="AW22" i="28"/>
  <c r="AX22" i="28"/>
  <c r="AY22" i="28"/>
  <c r="AZ22" i="28"/>
  <c r="AV23" i="28"/>
  <c r="AW23" i="28"/>
  <c r="BG23" i="28" s="1"/>
  <c r="AX23" i="28"/>
  <c r="AY23" i="28"/>
  <c r="AZ23" i="28"/>
  <c r="BD23" i="28"/>
  <c r="BE23" i="28" s="1"/>
  <c r="BF23" i="28" s="1"/>
  <c r="BH23" i="28"/>
  <c r="BI23" i="28"/>
  <c r="BJ23" i="28"/>
  <c r="BK23" i="28"/>
  <c r="BL23" i="28"/>
  <c r="AV24" i="28"/>
  <c r="AW24" i="28"/>
  <c r="BH24" i="28" s="1"/>
  <c r="AX24" i="28"/>
  <c r="AY24" i="28"/>
  <c r="AZ24" i="28"/>
  <c r="BG24" i="28"/>
  <c r="BI24" i="28"/>
  <c r="BK24" i="28"/>
  <c r="AV25" i="28"/>
  <c r="AW25" i="28"/>
  <c r="AX25" i="28"/>
  <c r="AY25" i="28"/>
  <c r="AZ25" i="28"/>
  <c r="BA25" i="28"/>
  <c r="BB25" i="28"/>
  <c r="BC25" i="28"/>
  <c r="BD25" i="28"/>
  <c r="BE25" i="28" s="1"/>
  <c r="BF25" i="28" s="1"/>
  <c r="BG25" i="28"/>
  <c r="BH25" i="28"/>
  <c r="BI25" i="28"/>
  <c r="BJ25" i="28"/>
  <c r="BK25" i="28"/>
  <c r="BL25" i="28"/>
  <c r="AV26" i="28"/>
  <c r="AW26" i="28"/>
  <c r="BG26" i="28" s="1"/>
  <c r="AX26" i="28"/>
  <c r="AY26" i="28"/>
  <c r="AZ26" i="28"/>
  <c r="BA26" i="28"/>
  <c r="BB26" i="28"/>
  <c r="BC26" i="28"/>
  <c r="AV27" i="28"/>
  <c r="AW27" i="28"/>
  <c r="BG27" i="28" s="1"/>
  <c r="AX27" i="28"/>
  <c r="AY27" i="28"/>
  <c r="AZ27" i="28"/>
  <c r="BA27" i="28"/>
  <c r="BB27" i="28"/>
  <c r="BC27" i="28"/>
  <c r="BD27" i="28"/>
  <c r="BE27" i="28" s="1"/>
  <c r="BF27" i="28" s="1"/>
  <c r="BH27" i="28"/>
  <c r="BJ27" i="28"/>
  <c r="BL27" i="28"/>
  <c r="AV28" i="28"/>
  <c r="AW28" i="28"/>
  <c r="BD28" i="28" s="1"/>
  <c r="AX28" i="28"/>
  <c r="AY28" i="28"/>
  <c r="AZ28" i="28"/>
  <c r="BA28" i="28"/>
  <c r="BB28" i="28"/>
  <c r="BC28" i="28"/>
  <c r="BG28" i="28"/>
  <c r="BK28" i="28"/>
  <c r="AV29" i="28"/>
  <c r="AW29" i="28"/>
  <c r="AX29" i="28"/>
  <c r="AY29" i="28"/>
  <c r="AZ29" i="28"/>
  <c r="BA29" i="28"/>
  <c r="BB29" i="28"/>
  <c r="BC29" i="28"/>
  <c r="BD29" i="28"/>
  <c r="BE29" i="28" s="1"/>
  <c r="BF29" i="28" s="1"/>
  <c r="BG29" i="28"/>
  <c r="BH29" i="28"/>
  <c r="BI29" i="28"/>
  <c r="BJ29" i="28"/>
  <c r="BK29" i="28"/>
  <c r="BL29" i="28"/>
  <c r="AV30" i="28"/>
  <c r="AW30" i="28"/>
  <c r="BJ30" i="28" s="1"/>
  <c r="AX30" i="28"/>
  <c r="AY30" i="28"/>
  <c r="AZ30" i="28"/>
  <c r="BA30" i="28"/>
  <c r="BB30" i="28"/>
  <c r="BC30" i="28"/>
  <c r="BI30" i="28"/>
  <c r="BG13" i="28" l="1"/>
  <c r="BG19" i="28"/>
  <c r="BG15" i="28"/>
  <c r="BI15" i="28"/>
  <c r="BJ15" i="28"/>
  <c r="BK15" i="28"/>
  <c r="BL15" i="28"/>
  <c r="BG20" i="28"/>
  <c r="BK20" i="28"/>
  <c r="BK21" i="28"/>
  <c r="BL21" i="28"/>
  <c r="BG21" i="28"/>
  <c r="BJ21" i="28"/>
  <c r="BI21" i="28"/>
  <c r="BG9" i="28"/>
  <c r="BH9" i="28"/>
  <c r="BJ9" i="28"/>
  <c r="BK9" i="28"/>
  <c r="BL9" i="28"/>
  <c r="BJ19" i="28"/>
  <c r="BL19" i="28"/>
  <c r="BK5" i="28"/>
  <c r="BL5" i="28"/>
  <c r="BG5" i="28"/>
  <c r="BH5" i="28"/>
  <c r="BJ5" i="28"/>
  <c r="BG17" i="28"/>
  <c r="BI17" i="28"/>
  <c r="BJ17" i="28"/>
  <c r="BK17" i="28"/>
  <c r="BL17" i="28"/>
  <c r="BJ13" i="28"/>
  <c r="BH30" i="28"/>
  <c r="BJ28" i="28"/>
  <c r="BK27" i="28"/>
  <c r="BL26" i="28"/>
  <c r="BD26" i="28"/>
  <c r="BE26" i="28" s="1"/>
  <c r="BF26" i="28" s="1"/>
  <c r="BJ20" i="28"/>
  <c r="BK19" i="28"/>
  <c r="BD18" i="28"/>
  <c r="BE18" i="28" s="1"/>
  <c r="BF18" i="28" s="1"/>
  <c r="BI18" i="28" s="1"/>
  <c r="BH14" i="28"/>
  <c r="BI13" i="28"/>
  <c r="BJ12" i="28"/>
  <c r="BK11" i="28"/>
  <c r="BD10" i="28"/>
  <c r="BE10" i="28" s="1"/>
  <c r="BF10" i="28" s="1"/>
  <c r="BH6" i="28"/>
  <c r="BJ4" i="28"/>
  <c r="BI28" i="28"/>
  <c r="BI20" i="28"/>
  <c r="BG14" i="28"/>
  <c r="BH13" i="28"/>
  <c r="BJ11" i="28"/>
  <c r="BG6" i="28"/>
  <c r="BI4" i="28"/>
  <c r="BG30" i="28"/>
  <c r="BK26" i="28"/>
  <c r="BH28" i="28"/>
  <c r="BI27" i="28"/>
  <c r="BJ26" i="28"/>
  <c r="BL24" i="28"/>
  <c r="BD24" i="28"/>
  <c r="BE24" i="28" s="1"/>
  <c r="BF24" i="28" s="1"/>
  <c r="BI19" i="28"/>
  <c r="BD16" i="28"/>
  <c r="BE16" i="28" s="1"/>
  <c r="BF16" i="28" s="1"/>
  <c r="BL16" i="28" s="1"/>
  <c r="BH12" i="28"/>
  <c r="BI11" i="28"/>
  <c r="BL8" i="28"/>
  <c r="BD8" i="28"/>
  <c r="BE8" i="28" s="1"/>
  <c r="BF8" i="28" s="1"/>
  <c r="BH4" i="28"/>
  <c r="BG12" i="28"/>
  <c r="BI26" i="28"/>
  <c r="BL30" i="28"/>
  <c r="BD30" i="28"/>
  <c r="BE30" i="28" s="1"/>
  <c r="BF30" i="28" s="1"/>
  <c r="BH26" i="28"/>
  <c r="BJ24" i="28"/>
  <c r="BD22" i="28"/>
  <c r="BE22" i="28" s="1"/>
  <c r="BF22" i="28" s="1"/>
  <c r="BI22" i="28" s="1"/>
  <c r="BL14" i="28"/>
  <c r="BD14" i="28"/>
  <c r="BE14" i="28" s="1"/>
  <c r="BF14" i="28" s="1"/>
  <c r="BL6" i="28"/>
  <c r="BD6" i="28"/>
  <c r="BE6" i="28" s="1"/>
  <c r="BF6" i="28" s="1"/>
  <c r="BE28" i="28"/>
  <c r="BF28" i="28" s="1"/>
  <c r="BL13" i="28"/>
  <c r="BK30" i="28"/>
  <c r="BL28" i="28"/>
  <c r="BL20" i="28"/>
  <c r="BL12" i="28"/>
  <c r="BL4" i="28"/>
  <c r="BK10" i="28" l="1"/>
  <c r="BJ10" i="28"/>
  <c r="BH10" i="28"/>
  <c r="BG10" i="28"/>
  <c r="BJ16" i="28"/>
  <c r="BL10" i="28"/>
  <c r="BL22" i="28"/>
  <c r="BL18" i="28"/>
  <c r="BG18" i="28"/>
  <c r="BJ18" i="28"/>
  <c r="BK18" i="28"/>
  <c r="BJ22" i="28"/>
  <c r="BG22" i="28"/>
  <c r="BK22" i="28"/>
  <c r="BI16" i="28"/>
  <c r="BK16" i="28"/>
  <c r="BG16" i="28"/>
  <c r="C150" i="30" l="1"/>
  <c r="C151" i="30"/>
  <c r="C152" i="30"/>
  <c r="C153" i="30"/>
  <c r="C154" i="30"/>
  <c r="C155" i="30"/>
  <c r="C149" i="30"/>
  <c r="T41" i="30" l="1"/>
  <c r="T38" i="30"/>
  <c r="C302" i="31"/>
  <c r="C301" i="31"/>
  <c r="C300" i="31"/>
  <c r="C297" i="31"/>
  <c r="C296" i="31"/>
  <c r="C295" i="31"/>
  <c r="K3" i="7"/>
  <c r="L3" i="7"/>
  <c r="M3" i="7" s="1"/>
  <c r="N3" i="7"/>
  <c r="K4" i="7"/>
  <c r="L4" i="7" s="1"/>
  <c r="M4" i="7" s="1"/>
  <c r="N4" i="7"/>
  <c r="K5" i="7"/>
  <c r="L5" i="7"/>
  <c r="M5" i="7" s="1"/>
  <c r="N5" i="7"/>
  <c r="K6" i="7"/>
  <c r="L6" i="7" s="1"/>
  <c r="M6" i="7" s="1"/>
  <c r="N6" i="7"/>
  <c r="K7" i="7"/>
  <c r="L7" i="7"/>
  <c r="M7" i="7" s="1"/>
  <c r="N7" i="7"/>
  <c r="K8" i="7"/>
  <c r="L8" i="7" s="1"/>
  <c r="M8" i="7" s="1"/>
  <c r="N8" i="7"/>
  <c r="K9" i="7"/>
  <c r="L9" i="7"/>
  <c r="M9" i="7" s="1"/>
  <c r="N9" i="7"/>
  <c r="K10" i="7"/>
  <c r="L10" i="7" s="1"/>
  <c r="M10" i="7" s="1"/>
  <c r="N10" i="7"/>
  <c r="K11" i="7"/>
  <c r="L11" i="7"/>
  <c r="M11" i="7" s="1"/>
  <c r="N11" i="7"/>
  <c r="K12" i="7"/>
  <c r="L12" i="7" s="1"/>
  <c r="M12" i="7" s="1"/>
  <c r="N12" i="7"/>
  <c r="K13" i="7"/>
  <c r="L13" i="7"/>
  <c r="M13" i="7" s="1"/>
  <c r="N13" i="7"/>
  <c r="K14" i="7"/>
  <c r="L14" i="7" s="1"/>
  <c r="M14" i="7" s="1"/>
  <c r="N14" i="7"/>
  <c r="K15" i="7"/>
  <c r="L15" i="7"/>
  <c r="M15" i="7" s="1"/>
  <c r="N15" i="7"/>
  <c r="K16" i="7"/>
  <c r="L16" i="7" s="1"/>
  <c r="M16" i="7" s="1"/>
  <c r="N16" i="7"/>
  <c r="K17" i="7"/>
  <c r="L17" i="7"/>
  <c r="M17" i="7" s="1"/>
  <c r="N17" i="7"/>
  <c r="K18" i="7"/>
  <c r="L18" i="7" s="1"/>
  <c r="M18" i="7" s="1"/>
  <c r="N18" i="7"/>
  <c r="K19" i="7"/>
  <c r="L19" i="7"/>
  <c r="M19" i="7" s="1"/>
  <c r="N19" i="7"/>
  <c r="K20" i="7"/>
  <c r="L20" i="7" s="1"/>
  <c r="M20" i="7" s="1"/>
  <c r="N20" i="7"/>
  <c r="K21" i="7"/>
  <c r="L21" i="7"/>
  <c r="M21" i="7" s="1"/>
  <c r="N21" i="7"/>
  <c r="K2" i="7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0"/>
  <c r="C105" i="30"/>
  <c r="C104" i="30"/>
  <c r="C103" i="30"/>
  <c r="C102" i="30"/>
  <c r="C101" i="30"/>
  <c r="C100" i="30"/>
  <c r="C99" i="30"/>
  <c r="C98" i="30"/>
  <c r="C97" i="30"/>
  <c r="C96" i="30"/>
  <c r="C95" i="30"/>
  <c r="C94" i="30"/>
  <c r="C93" i="30"/>
  <c r="C92" i="30"/>
  <c r="C91" i="30"/>
  <c r="C90" i="30"/>
  <c r="C89" i="30"/>
  <c r="C88" i="30"/>
  <c r="C87" i="30"/>
  <c r="C86" i="30"/>
  <c r="C85" i="30"/>
  <c r="C84" i="30"/>
  <c r="C83" i="30"/>
  <c r="C82" i="30"/>
  <c r="G21" i="30"/>
  <c r="G20" i="30"/>
  <c r="G19" i="30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0"/>
  <c r="U137" i="30"/>
  <c r="U136" i="30"/>
  <c r="U135" i="30"/>
  <c r="AA134" i="30"/>
  <c r="Y134" i="30"/>
  <c r="W134" i="30"/>
  <c r="U134" i="30"/>
  <c r="U133" i="30"/>
  <c r="U132" i="30"/>
  <c r="AI145" i="30"/>
  <c r="AH145" i="30"/>
  <c r="AG145" i="30"/>
  <c r="AF145" i="30"/>
  <c r="AI142" i="30"/>
  <c r="AH142" i="30"/>
  <c r="AG142" i="30"/>
  <c r="AF142" i="30"/>
  <c r="AI139" i="30"/>
  <c r="AH139" i="30"/>
  <c r="AG139" i="30"/>
  <c r="AF139" i="30"/>
  <c r="AI136" i="30"/>
  <c r="AH136" i="30"/>
  <c r="AG136" i="30"/>
  <c r="AF136" i="30"/>
  <c r="AI133" i="30"/>
  <c r="AH133" i="30"/>
  <c r="AG133" i="30"/>
  <c r="AF133" i="30"/>
  <c r="AI130" i="30"/>
  <c r="AH130" i="30"/>
  <c r="AG130" i="30"/>
  <c r="AF130" i="30"/>
  <c r="AI127" i="30"/>
  <c r="AH127" i="30"/>
  <c r="AG127" i="30"/>
  <c r="AF127" i="30"/>
  <c r="D138" i="30"/>
  <c r="D137" i="30"/>
  <c r="D136" i="30"/>
  <c r="D135" i="30"/>
  <c r="D134" i="30"/>
  <c r="D133" i="30"/>
  <c r="D132" i="30"/>
  <c r="D131" i="30"/>
  <c r="D130" i="30"/>
  <c r="D129" i="30"/>
  <c r="D128" i="30"/>
  <c r="D127" i="30"/>
  <c r="D126" i="30"/>
  <c r="D125" i="30"/>
  <c r="Y107" i="30"/>
  <c r="W107" i="30"/>
  <c r="Y106" i="30"/>
  <c r="W106" i="30"/>
  <c r="Y105" i="30"/>
  <c r="W105" i="30"/>
  <c r="Y104" i="30"/>
  <c r="W104" i="30"/>
  <c r="Y103" i="30"/>
  <c r="W103" i="30"/>
  <c r="Y100" i="30"/>
  <c r="W100" i="30"/>
  <c r="Y99" i="30"/>
  <c r="W99" i="30"/>
  <c r="Y98" i="30"/>
  <c r="W98" i="30"/>
  <c r="Y97" i="30"/>
  <c r="W97" i="30"/>
  <c r="Y96" i="30"/>
  <c r="W96" i="30"/>
  <c r="Y93" i="30"/>
  <c r="W93" i="30"/>
  <c r="Y92" i="30"/>
  <c r="W92" i="30"/>
  <c r="Y91" i="30"/>
  <c r="W91" i="30"/>
  <c r="Y90" i="30"/>
  <c r="W90" i="30"/>
  <c r="Y89" i="30"/>
  <c r="W89" i="30"/>
  <c r="H16" i="30"/>
  <c r="G16" i="30"/>
  <c r="F16" i="30"/>
  <c r="H15" i="30"/>
  <c r="G15" i="30"/>
  <c r="F15" i="30"/>
  <c r="H14" i="30"/>
  <c r="G14" i="30"/>
  <c r="F14" i="30"/>
  <c r="H13" i="30"/>
  <c r="G13" i="30"/>
  <c r="F13" i="30"/>
  <c r="H12" i="30"/>
  <c r="G12" i="30"/>
  <c r="F12" i="30"/>
  <c r="H11" i="30"/>
  <c r="G11" i="30"/>
  <c r="F11" i="30"/>
  <c r="H10" i="30"/>
  <c r="G10" i="30"/>
  <c r="F10" i="30"/>
  <c r="H9" i="30"/>
  <c r="G9" i="30"/>
  <c r="F9" i="30"/>
  <c r="I221" i="31"/>
  <c r="Y209" i="31"/>
  <c r="K206" i="31"/>
  <c r="U199" i="31"/>
  <c r="U198" i="31"/>
  <c r="O199" i="31"/>
  <c r="O198" i="31"/>
  <c r="H200" i="31"/>
  <c r="H199" i="31"/>
  <c r="H198" i="31"/>
  <c r="AN191" i="31"/>
  <c r="AN190" i="31"/>
  <c r="W247" i="30"/>
  <c r="W246" i="30"/>
  <c r="C167" i="30"/>
  <c r="C166" i="30"/>
  <c r="B166" i="30"/>
  <c r="C119" i="30"/>
  <c r="C118" i="30"/>
  <c r="S55" i="30"/>
  <c r="AC40" i="30"/>
  <c r="U41" i="30"/>
  <c r="U40" i="30"/>
  <c r="U39" i="30"/>
  <c r="C44" i="30"/>
  <c r="C43" i="30"/>
  <c r="C42" i="30"/>
  <c r="C40" i="30"/>
  <c r="C39" i="30"/>
  <c r="D30" i="30"/>
  <c r="D29" i="30"/>
  <c r="AN28" i="30"/>
  <c r="AN27" i="30"/>
  <c r="AI27" i="30"/>
  <c r="AE28" i="30"/>
  <c r="AE27" i="30"/>
  <c r="AA29" i="30"/>
  <c r="AA28" i="30"/>
  <c r="AA27" i="30"/>
  <c r="F21" i="30"/>
  <c r="F20" i="30"/>
  <c r="F19" i="30"/>
  <c r="Y6" i="30"/>
  <c r="Y5" i="30"/>
  <c r="F5" i="30" s="1"/>
  <c r="H5" i="30"/>
  <c r="G5" i="30"/>
  <c r="F87" i="29"/>
  <c r="F86" i="29"/>
  <c r="L262" i="31"/>
  <c r="DD166" i="31"/>
  <c r="CA166" i="31"/>
  <c r="AU166" i="31"/>
  <c r="EB115" i="29"/>
  <c r="EA115" i="29"/>
  <c r="DZ115" i="29"/>
  <c r="DY115" i="29"/>
  <c r="DX115" i="29"/>
  <c r="DW115" i="29"/>
  <c r="DV115" i="29"/>
  <c r="DU115" i="29"/>
  <c r="DT115" i="29"/>
  <c r="DS115" i="29"/>
  <c r="DR115" i="29"/>
  <c r="DQ115" i="29"/>
  <c r="DP115" i="29"/>
  <c r="DO115" i="29"/>
  <c r="DN115" i="29"/>
  <c r="DM115" i="29"/>
  <c r="DL115" i="29"/>
  <c r="DK115" i="29"/>
  <c r="DJ115" i="29"/>
  <c r="DI115" i="29"/>
  <c r="DH115" i="29"/>
  <c r="DG115" i="29"/>
  <c r="DF115" i="29"/>
  <c r="DE115" i="29"/>
  <c r="EB114" i="29"/>
  <c r="EA114" i="29"/>
  <c r="DZ114" i="29"/>
  <c r="DY114" i="29"/>
  <c r="DX114" i="29"/>
  <c r="DW114" i="29"/>
  <c r="DV114" i="29"/>
  <c r="DU114" i="29"/>
  <c r="DT114" i="29"/>
  <c r="DS114" i="29"/>
  <c r="DR114" i="29"/>
  <c r="DQ114" i="29"/>
  <c r="DP114" i="29"/>
  <c r="DO114" i="29"/>
  <c r="DN114" i="29"/>
  <c r="DM114" i="29"/>
  <c r="DL114" i="29"/>
  <c r="DK114" i="29"/>
  <c r="DJ114" i="29"/>
  <c r="DI114" i="29"/>
  <c r="DH114" i="29"/>
  <c r="DG114" i="29"/>
  <c r="DF114" i="29"/>
  <c r="DE114" i="29"/>
  <c r="EB113" i="29"/>
  <c r="EA113" i="29"/>
  <c r="DZ113" i="29"/>
  <c r="DY113" i="29"/>
  <c r="DX113" i="29"/>
  <c r="DW113" i="29"/>
  <c r="DV113" i="29"/>
  <c r="DU113" i="29"/>
  <c r="DT113" i="29"/>
  <c r="DS113" i="29"/>
  <c r="DR113" i="29"/>
  <c r="DQ113" i="29"/>
  <c r="DP113" i="29"/>
  <c r="DO113" i="29"/>
  <c r="DN113" i="29"/>
  <c r="DM113" i="29"/>
  <c r="DL113" i="29"/>
  <c r="DK113" i="29"/>
  <c r="DJ113" i="29"/>
  <c r="DI113" i="29"/>
  <c r="DH113" i="29"/>
  <c r="DG113" i="29"/>
  <c r="DF113" i="29"/>
  <c r="DE113" i="29"/>
  <c r="EB112" i="29"/>
  <c r="EA112" i="29"/>
  <c r="DZ112" i="29"/>
  <c r="DY112" i="29"/>
  <c r="DX112" i="29"/>
  <c r="DW112" i="29"/>
  <c r="DV112" i="29"/>
  <c r="DU112" i="29"/>
  <c r="DT112" i="29"/>
  <c r="DS112" i="29"/>
  <c r="DR112" i="29"/>
  <c r="DQ112" i="29"/>
  <c r="DP112" i="29"/>
  <c r="DO112" i="29"/>
  <c r="DN112" i="29"/>
  <c r="DM112" i="29"/>
  <c r="DL112" i="29"/>
  <c r="DK112" i="29"/>
  <c r="DJ112" i="29"/>
  <c r="DI112" i="29"/>
  <c r="DH112" i="29"/>
  <c r="DG112" i="29"/>
  <c r="DF112" i="29"/>
  <c r="DE112" i="29"/>
  <c r="EB111" i="29"/>
  <c r="EA111" i="29"/>
  <c r="DZ111" i="29"/>
  <c r="DY111" i="29"/>
  <c r="DX111" i="29"/>
  <c r="DW111" i="29"/>
  <c r="DV111" i="29"/>
  <c r="DU111" i="29"/>
  <c r="DT111" i="29"/>
  <c r="DS111" i="29"/>
  <c r="DR111" i="29"/>
  <c r="DQ111" i="29"/>
  <c r="DP111" i="29"/>
  <c r="DO111" i="29"/>
  <c r="DN111" i="29"/>
  <c r="DM111" i="29"/>
  <c r="DL111" i="29"/>
  <c r="DK111" i="29"/>
  <c r="DJ111" i="29"/>
  <c r="DI111" i="29"/>
  <c r="DH111" i="29"/>
  <c r="DG111" i="29"/>
  <c r="DF111" i="29"/>
  <c r="DE111" i="29"/>
  <c r="EB110" i="29"/>
  <c r="EA110" i="29"/>
  <c r="DZ110" i="29"/>
  <c r="DY110" i="29"/>
  <c r="DX110" i="29"/>
  <c r="DW110" i="29"/>
  <c r="DV110" i="29"/>
  <c r="DU110" i="29"/>
  <c r="DT110" i="29"/>
  <c r="DS110" i="29"/>
  <c r="DR110" i="29"/>
  <c r="DQ110" i="29"/>
  <c r="DP110" i="29"/>
  <c r="DO110" i="29"/>
  <c r="DN110" i="29"/>
  <c r="DM110" i="29"/>
  <c r="DL110" i="29"/>
  <c r="DK110" i="29"/>
  <c r="DJ110" i="29"/>
  <c r="DI110" i="29"/>
  <c r="DH110" i="29"/>
  <c r="DG110" i="29"/>
  <c r="DF110" i="29"/>
  <c r="DE110" i="29"/>
  <c r="EB109" i="29"/>
  <c r="EA109" i="29"/>
  <c r="DZ109" i="29"/>
  <c r="DY109" i="29"/>
  <c r="DX109" i="29"/>
  <c r="DW109" i="29"/>
  <c r="DV109" i="29"/>
  <c r="DU109" i="29"/>
  <c r="DT109" i="29"/>
  <c r="DS109" i="29"/>
  <c r="DR109" i="29"/>
  <c r="DQ109" i="29"/>
  <c r="DP109" i="29"/>
  <c r="DO109" i="29"/>
  <c r="DN109" i="29"/>
  <c r="DM109" i="29"/>
  <c r="DL109" i="29"/>
  <c r="DK109" i="29"/>
  <c r="DJ109" i="29"/>
  <c r="DI109" i="29"/>
  <c r="DH109" i="29"/>
  <c r="DG109" i="29"/>
  <c r="DF109" i="29"/>
  <c r="DE109" i="29"/>
  <c r="EB108" i="29"/>
  <c r="EA108" i="29"/>
  <c r="DZ108" i="29"/>
  <c r="DY108" i="29"/>
  <c r="DX108" i="29"/>
  <c r="DW108" i="29"/>
  <c r="DV108" i="29"/>
  <c r="DU108" i="29"/>
  <c r="DT108" i="29"/>
  <c r="DS108" i="29"/>
  <c r="DR108" i="29"/>
  <c r="DQ108" i="29"/>
  <c r="DP108" i="29"/>
  <c r="DO108" i="29"/>
  <c r="DN108" i="29"/>
  <c r="DM108" i="29"/>
  <c r="DL108" i="29"/>
  <c r="DK108" i="29"/>
  <c r="DJ108" i="29"/>
  <c r="DI108" i="29"/>
  <c r="DH108" i="29"/>
  <c r="DG108" i="29"/>
  <c r="DF108" i="29"/>
  <c r="DE108" i="29"/>
  <c r="EB107" i="29"/>
  <c r="EA107" i="29"/>
  <c r="DZ107" i="29"/>
  <c r="DY107" i="29"/>
  <c r="DX107" i="29"/>
  <c r="DW107" i="29"/>
  <c r="DV107" i="29"/>
  <c r="DU107" i="29"/>
  <c r="DT107" i="29"/>
  <c r="DS107" i="29"/>
  <c r="DR107" i="29"/>
  <c r="DQ107" i="29"/>
  <c r="DP107" i="29"/>
  <c r="DO107" i="29"/>
  <c r="DN107" i="29"/>
  <c r="DM107" i="29"/>
  <c r="DL107" i="29"/>
  <c r="DK107" i="29"/>
  <c r="DJ107" i="29"/>
  <c r="DI107" i="29"/>
  <c r="DH107" i="29"/>
  <c r="DG107" i="29"/>
  <c r="DF107" i="29"/>
  <c r="DE107" i="29"/>
  <c r="EB106" i="29"/>
  <c r="EA106" i="29"/>
  <c r="DZ106" i="29"/>
  <c r="DY106" i="29"/>
  <c r="DX106" i="29"/>
  <c r="DW106" i="29"/>
  <c r="DV106" i="29"/>
  <c r="DU106" i="29"/>
  <c r="DT106" i="29"/>
  <c r="DS106" i="29"/>
  <c r="DR106" i="29"/>
  <c r="DQ106" i="29"/>
  <c r="DP106" i="29"/>
  <c r="DO106" i="29"/>
  <c r="DN106" i="29"/>
  <c r="DM106" i="29"/>
  <c r="DL106" i="29"/>
  <c r="DK106" i="29"/>
  <c r="DJ106" i="29"/>
  <c r="DI106" i="29"/>
  <c r="DH106" i="29"/>
  <c r="DG106" i="29"/>
  <c r="DF106" i="29"/>
  <c r="DE106" i="29"/>
  <c r="DD105" i="29"/>
  <c r="CY115" i="29"/>
  <c r="CX115" i="29"/>
  <c r="CW115" i="29"/>
  <c r="CV115" i="29"/>
  <c r="CU115" i="29"/>
  <c r="CT115" i="29"/>
  <c r="CS115" i="29"/>
  <c r="CR115" i="29"/>
  <c r="CQ115" i="29"/>
  <c r="CP115" i="29"/>
  <c r="CO115" i="29"/>
  <c r="CN115" i="29"/>
  <c r="CM115" i="29"/>
  <c r="CL115" i="29"/>
  <c r="CK115" i="29"/>
  <c r="CJ115" i="29"/>
  <c r="CI115" i="29"/>
  <c r="CH115" i="29"/>
  <c r="CG115" i="29"/>
  <c r="CF115" i="29"/>
  <c r="CE115" i="29"/>
  <c r="CD115" i="29"/>
  <c r="CC115" i="29"/>
  <c r="CB115" i="29"/>
  <c r="CY114" i="29"/>
  <c r="CX114" i="29"/>
  <c r="CW114" i="29"/>
  <c r="CV114" i="29"/>
  <c r="CU114" i="29"/>
  <c r="CT114" i="29"/>
  <c r="CS114" i="29"/>
  <c r="CR114" i="29"/>
  <c r="CQ114" i="29"/>
  <c r="CP114" i="29"/>
  <c r="CO114" i="29"/>
  <c r="CN114" i="29"/>
  <c r="CM114" i="29"/>
  <c r="CL114" i="29"/>
  <c r="CK114" i="29"/>
  <c r="CJ114" i="29"/>
  <c r="CI114" i="29"/>
  <c r="CH114" i="29"/>
  <c r="CG114" i="29"/>
  <c r="CF114" i="29"/>
  <c r="CE114" i="29"/>
  <c r="CD114" i="29"/>
  <c r="CC114" i="29"/>
  <c r="CB114" i="29"/>
  <c r="CY113" i="29"/>
  <c r="CX113" i="29"/>
  <c r="CW113" i="29"/>
  <c r="CV113" i="29"/>
  <c r="CU113" i="29"/>
  <c r="CT113" i="29"/>
  <c r="CS113" i="29"/>
  <c r="CR113" i="29"/>
  <c r="CQ113" i="29"/>
  <c r="CP113" i="29"/>
  <c r="CO113" i="29"/>
  <c r="CN113" i="29"/>
  <c r="CM113" i="29"/>
  <c r="CL113" i="29"/>
  <c r="CK113" i="29"/>
  <c r="CJ113" i="29"/>
  <c r="CI113" i="29"/>
  <c r="CH113" i="29"/>
  <c r="CG113" i="29"/>
  <c r="CF113" i="29"/>
  <c r="CE113" i="29"/>
  <c r="CD113" i="29"/>
  <c r="CC113" i="29"/>
  <c r="CB113" i="29"/>
  <c r="CY112" i="29"/>
  <c r="CX112" i="29"/>
  <c r="CW112" i="29"/>
  <c r="CV112" i="29"/>
  <c r="CU112" i="29"/>
  <c r="CT112" i="29"/>
  <c r="CS112" i="29"/>
  <c r="CR112" i="29"/>
  <c r="CQ112" i="29"/>
  <c r="CP112" i="29"/>
  <c r="CO112" i="29"/>
  <c r="CN112" i="29"/>
  <c r="CM112" i="29"/>
  <c r="CL112" i="29"/>
  <c r="CK112" i="29"/>
  <c r="CJ112" i="29"/>
  <c r="CI112" i="29"/>
  <c r="CH112" i="29"/>
  <c r="CG112" i="29"/>
  <c r="CF112" i="29"/>
  <c r="CE112" i="29"/>
  <c r="CD112" i="29"/>
  <c r="CC112" i="29"/>
  <c r="CB112" i="29"/>
  <c r="CY111" i="29"/>
  <c r="CX111" i="29"/>
  <c r="CW111" i="29"/>
  <c r="CV111" i="29"/>
  <c r="CU111" i="29"/>
  <c r="CT111" i="29"/>
  <c r="CS111" i="29"/>
  <c r="CR111" i="29"/>
  <c r="CQ111" i="29"/>
  <c r="CP111" i="29"/>
  <c r="CO111" i="29"/>
  <c r="CN111" i="29"/>
  <c r="CM111" i="29"/>
  <c r="CL111" i="29"/>
  <c r="CK111" i="29"/>
  <c r="CJ111" i="29"/>
  <c r="CI111" i="29"/>
  <c r="CH111" i="29"/>
  <c r="CG111" i="29"/>
  <c r="CF111" i="29"/>
  <c r="CE111" i="29"/>
  <c r="CD111" i="29"/>
  <c r="CC111" i="29"/>
  <c r="CB111" i="29"/>
  <c r="CY110" i="29"/>
  <c r="CX110" i="29"/>
  <c r="CW110" i="29"/>
  <c r="CV110" i="29"/>
  <c r="CU110" i="29"/>
  <c r="CT110" i="29"/>
  <c r="CS110" i="29"/>
  <c r="CR110" i="29"/>
  <c r="CQ110" i="29"/>
  <c r="CP110" i="29"/>
  <c r="CO110" i="29"/>
  <c r="CN110" i="29"/>
  <c r="CM110" i="29"/>
  <c r="CL110" i="29"/>
  <c r="CK110" i="29"/>
  <c r="CJ110" i="29"/>
  <c r="CI110" i="29"/>
  <c r="CH110" i="29"/>
  <c r="CG110" i="29"/>
  <c r="CF110" i="29"/>
  <c r="CE110" i="29"/>
  <c r="CD110" i="29"/>
  <c r="CC110" i="29"/>
  <c r="CB110" i="29"/>
  <c r="CY109" i="29"/>
  <c r="CX109" i="29"/>
  <c r="CW109" i="29"/>
  <c r="CV109" i="29"/>
  <c r="CU109" i="29"/>
  <c r="CT109" i="29"/>
  <c r="CS109" i="29"/>
  <c r="CR109" i="29"/>
  <c r="CQ109" i="29"/>
  <c r="CP109" i="29"/>
  <c r="CO109" i="29"/>
  <c r="CN109" i="29"/>
  <c r="CM109" i="29"/>
  <c r="CL109" i="29"/>
  <c r="CK109" i="29"/>
  <c r="CJ109" i="29"/>
  <c r="CI109" i="29"/>
  <c r="CH109" i="29"/>
  <c r="CG109" i="29"/>
  <c r="CF109" i="29"/>
  <c r="CE109" i="29"/>
  <c r="CD109" i="29"/>
  <c r="CC109" i="29"/>
  <c r="CB109" i="29"/>
  <c r="CY108" i="29"/>
  <c r="CX108" i="29"/>
  <c r="CW108" i="29"/>
  <c r="CV108" i="29"/>
  <c r="CU108" i="29"/>
  <c r="CT108" i="29"/>
  <c r="CS108" i="29"/>
  <c r="CR108" i="29"/>
  <c r="CQ108" i="29"/>
  <c r="CP108" i="29"/>
  <c r="CO108" i="29"/>
  <c r="CN108" i="29"/>
  <c r="CM108" i="29"/>
  <c r="CL108" i="29"/>
  <c r="CK108" i="29"/>
  <c r="CJ108" i="29"/>
  <c r="CI108" i="29"/>
  <c r="CH108" i="29"/>
  <c r="CG108" i="29"/>
  <c r="CF108" i="29"/>
  <c r="CE108" i="29"/>
  <c r="CD108" i="29"/>
  <c r="CC108" i="29"/>
  <c r="CB108" i="29"/>
  <c r="CY107" i="29"/>
  <c r="CX107" i="29"/>
  <c r="CW107" i="29"/>
  <c r="CV107" i="29"/>
  <c r="CU107" i="29"/>
  <c r="CT107" i="29"/>
  <c r="CS107" i="29"/>
  <c r="CR107" i="29"/>
  <c r="CQ107" i="29"/>
  <c r="CP107" i="29"/>
  <c r="CO107" i="29"/>
  <c r="CN107" i="29"/>
  <c r="CM107" i="29"/>
  <c r="CL107" i="29"/>
  <c r="CK107" i="29"/>
  <c r="CJ107" i="29"/>
  <c r="CI107" i="29"/>
  <c r="CH107" i="29"/>
  <c r="CG107" i="29"/>
  <c r="CF107" i="29"/>
  <c r="CE107" i="29"/>
  <c r="CD107" i="29"/>
  <c r="CC107" i="29"/>
  <c r="CB107" i="29"/>
  <c r="CY106" i="29"/>
  <c r="CX106" i="29"/>
  <c r="CW106" i="29"/>
  <c r="CV106" i="29"/>
  <c r="CU106" i="29"/>
  <c r="CT106" i="29"/>
  <c r="CS106" i="29"/>
  <c r="CR106" i="29"/>
  <c r="CQ106" i="29"/>
  <c r="CP106" i="29"/>
  <c r="CO106" i="29"/>
  <c r="CN106" i="29"/>
  <c r="CM106" i="29"/>
  <c r="CL106" i="29"/>
  <c r="CK106" i="29"/>
  <c r="CJ106" i="29"/>
  <c r="CI106" i="29"/>
  <c r="CH106" i="29"/>
  <c r="CG106" i="29"/>
  <c r="CF106" i="29"/>
  <c r="CE106" i="29"/>
  <c r="CD106" i="29"/>
  <c r="CC106" i="29"/>
  <c r="CB106" i="29"/>
  <c r="CA105" i="29"/>
  <c r="BS115" i="29"/>
  <c r="BR115" i="29"/>
  <c r="BQ115" i="29"/>
  <c r="BP115" i="29"/>
  <c r="BO115" i="29"/>
  <c r="BN115" i="29"/>
  <c r="BM115" i="29"/>
  <c r="BL115" i="29"/>
  <c r="BK115" i="29"/>
  <c r="BJ115" i="29"/>
  <c r="BI115" i="29"/>
  <c r="BH115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BS114" i="29"/>
  <c r="BR114" i="29"/>
  <c r="BQ114" i="29"/>
  <c r="BP114" i="29"/>
  <c r="BO114" i="29"/>
  <c r="BN114" i="29"/>
  <c r="BM114" i="29"/>
  <c r="BL114" i="29"/>
  <c r="BK114" i="29"/>
  <c r="BJ114" i="29"/>
  <c r="BI114" i="29"/>
  <c r="BH114" i="29"/>
  <c r="BG114" i="29"/>
  <c r="BF114" i="29"/>
  <c r="BE114" i="29"/>
  <c r="BD114" i="29"/>
  <c r="BC114" i="29"/>
  <c r="BB114" i="29"/>
  <c r="BA114" i="29"/>
  <c r="AZ114" i="29"/>
  <c r="AY114" i="29"/>
  <c r="AX114" i="29"/>
  <c r="AW114" i="29"/>
  <c r="AV114" i="29"/>
  <c r="BS113" i="29"/>
  <c r="BR113" i="29"/>
  <c r="BQ113" i="29"/>
  <c r="BP113" i="29"/>
  <c r="BO113" i="29"/>
  <c r="BN113" i="29"/>
  <c r="BM113" i="29"/>
  <c r="BL113" i="29"/>
  <c r="BK113" i="29"/>
  <c r="BJ113" i="29"/>
  <c r="BI113" i="29"/>
  <c r="BH113" i="29"/>
  <c r="BG113" i="29"/>
  <c r="BF113" i="29"/>
  <c r="BE113" i="29"/>
  <c r="BD113" i="29"/>
  <c r="BC113" i="29"/>
  <c r="BB113" i="29"/>
  <c r="BA113" i="29"/>
  <c r="AZ113" i="29"/>
  <c r="AY113" i="29"/>
  <c r="AX113" i="29"/>
  <c r="AW113" i="29"/>
  <c r="AV113" i="29"/>
  <c r="BS112" i="29"/>
  <c r="BR112" i="29"/>
  <c r="BQ112" i="29"/>
  <c r="BP112" i="29"/>
  <c r="BO112" i="29"/>
  <c r="BN112" i="29"/>
  <c r="BM112" i="29"/>
  <c r="BL112" i="29"/>
  <c r="BK112" i="29"/>
  <c r="BJ112" i="29"/>
  <c r="BI112" i="29"/>
  <c r="BH112" i="29"/>
  <c r="BG112" i="29"/>
  <c r="BF112" i="29"/>
  <c r="BE112" i="29"/>
  <c r="BD112" i="29"/>
  <c r="BC112" i="29"/>
  <c r="BB112" i="29"/>
  <c r="BA112" i="29"/>
  <c r="AZ112" i="29"/>
  <c r="AY112" i="29"/>
  <c r="AX112" i="29"/>
  <c r="AW112" i="29"/>
  <c r="AV112" i="29"/>
  <c r="BS111" i="29"/>
  <c r="BR111" i="29"/>
  <c r="BQ111" i="29"/>
  <c r="BP111" i="29"/>
  <c r="BO111" i="29"/>
  <c r="BN111" i="29"/>
  <c r="BM111" i="29"/>
  <c r="BL111" i="29"/>
  <c r="BK111" i="29"/>
  <c r="BJ111" i="29"/>
  <c r="BI111" i="29"/>
  <c r="BH111" i="29"/>
  <c r="BG111" i="29"/>
  <c r="BF111" i="29"/>
  <c r="BE111" i="29"/>
  <c r="BD111" i="29"/>
  <c r="BC111" i="29"/>
  <c r="BB111" i="29"/>
  <c r="BA111" i="29"/>
  <c r="AZ111" i="29"/>
  <c r="AY111" i="29"/>
  <c r="AX111" i="29"/>
  <c r="AW111" i="29"/>
  <c r="AV111" i="29"/>
  <c r="BS110" i="29"/>
  <c r="BR110" i="29"/>
  <c r="BQ110" i="29"/>
  <c r="BP110" i="29"/>
  <c r="BO110" i="29"/>
  <c r="BN110" i="29"/>
  <c r="BM110" i="29"/>
  <c r="BL110" i="29"/>
  <c r="BK110" i="29"/>
  <c r="BJ110" i="29"/>
  <c r="BI110" i="29"/>
  <c r="BH110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BS106" i="29"/>
  <c r="AX106" i="29"/>
  <c r="AW106" i="29"/>
  <c r="AV106" i="29"/>
  <c r="AU105" i="29"/>
  <c r="EB87" i="29"/>
  <c r="EA87" i="29"/>
  <c r="DZ87" i="29"/>
  <c r="DY87" i="29"/>
  <c r="DX87" i="29"/>
  <c r="DW87" i="29"/>
  <c r="DV87" i="29"/>
  <c r="DU87" i="29"/>
  <c r="DT87" i="29"/>
  <c r="DS87" i="29"/>
  <c r="DR87" i="29"/>
  <c r="DQ87" i="29"/>
  <c r="DP87" i="29"/>
  <c r="DO87" i="29"/>
  <c r="DN87" i="29"/>
  <c r="DM87" i="29"/>
  <c r="DL87" i="29"/>
  <c r="DK87" i="29"/>
  <c r="DJ87" i="29"/>
  <c r="DI87" i="29"/>
  <c r="DH87" i="29"/>
  <c r="DG87" i="29"/>
  <c r="DF87" i="29"/>
  <c r="DE87" i="29"/>
  <c r="EB86" i="29"/>
  <c r="EA86" i="29"/>
  <c r="DZ86" i="29"/>
  <c r="DY86" i="29"/>
  <c r="DX86" i="29"/>
  <c r="DW86" i="29"/>
  <c r="DV86" i="29"/>
  <c r="DU86" i="29"/>
  <c r="DT86" i="29"/>
  <c r="DS86" i="29"/>
  <c r="DR86" i="29"/>
  <c r="DQ86" i="29"/>
  <c r="DP86" i="29"/>
  <c r="DO86" i="29"/>
  <c r="DN86" i="29"/>
  <c r="DM86" i="29"/>
  <c r="DL86" i="29"/>
  <c r="DK86" i="29"/>
  <c r="DJ86" i="29"/>
  <c r="DI86" i="29"/>
  <c r="DH86" i="29"/>
  <c r="DG86" i="29"/>
  <c r="DF86" i="29"/>
  <c r="DE86" i="29"/>
  <c r="CY87" i="29"/>
  <c r="CX87" i="29"/>
  <c r="CW87" i="29"/>
  <c r="CV87" i="29"/>
  <c r="CU87" i="29"/>
  <c r="CT87" i="29"/>
  <c r="CS87" i="29"/>
  <c r="CR87" i="29"/>
  <c r="CQ87" i="29"/>
  <c r="CP87" i="29"/>
  <c r="CO87" i="29"/>
  <c r="CN87" i="29"/>
  <c r="CM87" i="29"/>
  <c r="CL87" i="29"/>
  <c r="CK87" i="29"/>
  <c r="CJ87" i="29"/>
  <c r="CI87" i="29"/>
  <c r="CH87" i="29"/>
  <c r="CG87" i="29"/>
  <c r="CF87" i="29"/>
  <c r="CE87" i="29"/>
  <c r="CD87" i="29"/>
  <c r="CC87" i="29"/>
  <c r="CB87" i="29"/>
  <c r="CY86" i="29"/>
  <c r="CX86" i="29"/>
  <c r="CW86" i="29"/>
  <c r="CV86" i="29"/>
  <c r="CU86" i="29"/>
  <c r="CT86" i="29"/>
  <c r="CS86" i="29"/>
  <c r="CR86" i="29"/>
  <c r="CQ86" i="29"/>
  <c r="CP86" i="29"/>
  <c r="CO86" i="29"/>
  <c r="CN86" i="29"/>
  <c r="CM86" i="29"/>
  <c r="CL86" i="29"/>
  <c r="CK86" i="29"/>
  <c r="CJ86" i="29"/>
  <c r="CI86" i="29"/>
  <c r="CH86" i="29"/>
  <c r="CG86" i="29"/>
  <c r="CF86" i="29"/>
  <c r="CE86" i="29"/>
  <c r="CD86" i="29"/>
  <c r="CC86" i="29"/>
  <c r="CB86" i="29"/>
  <c r="F65" i="29"/>
  <c r="F64" i="29"/>
  <c r="F63" i="29"/>
  <c r="F62" i="29"/>
  <c r="F61" i="29"/>
  <c r="C59" i="29"/>
  <c r="D37" i="29"/>
  <c r="B37" i="29"/>
  <c r="D36" i="29"/>
  <c r="B36" i="29"/>
  <c r="D35" i="29"/>
  <c r="B35" i="29"/>
  <c r="D22" i="29"/>
  <c r="D21" i="29"/>
  <c r="D20" i="29"/>
  <c r="D18" i="29"/>
  <c r="D17" i="29"/>
  <c r="D16" i="29"/>
  <c r="AN231" i="31"/>
  <c r="AV231" i="31"/>
  <c r="AU231" i="31"/>
  <c r="AV228" i="31"/>
  <c r="AU228" i="31"/>
  <c r="AN227" i="31"/>
  <c r="AN226" i="31"/>
  <c r="AN225" i="31"/>
  <c r="AN224" i="31"/>
  <c r="AM224" i="31"/>
  <c r="W275" i="30"/>
  <c r="AA260" i="30"/>
  <c r="AA259" i="30"/>
  <c r="AA258" i="30"/>
  <c r="AA257" i="30"/>
  <c r="AA256" i="30"/>
  <c r="U260" i="30"/>
  <c r="U259" i="30"/>
  <c r="U258" i="30"/>
  <c r="U257" i="30"/>
  <c r="U256" i="30"/>
  <c r="W240" i="30"/>
  <c r="AE240" i="30"/>
  <c r="AD240" i="30"/>
  <c r="AE237" i="30"/>
  <c r="AD237" i="30"/>
  <c r="W236" i="30"/>
  <c r="W235" i="30"/>
  <c r="W234" i="30"/>
  <c r="W233" i="30"/>
  <c r="V233" i="30"/>
  <c r="C84" i="29"/>
  <c r="C83" i="29"/>
  <c r="C81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Z54" i="28"/>
  <c r="Y54" i="28"/>
  <c r="X54" i="28"/>
  <c r="W54" i="28"/>
  <c r="V54" i="28"/>
  <c r="U54" i="28"/>
  <c r="T54" i="28"/>
  <c r="S54" i="28"/>
  <c r="R54" i="28"/>
  <c r="Q54" i="28"/>
  <c r="P54" i="28"/>
  <c r="O54" i="28"/>
  <c r="N54" i="28"/>
  <c r="M54" i="28"/>
  <c r="L54" i="28"/>
  <c r="K54" i="28"/>
  <c r="J54" i="28"/>
  <c r="I54" i="28"/>
  <c r="H54" i="28"/>
  <c r="G54" i="28"/>
  <c r="F54" i="28"/>
  <c r="E54" i="28"/>
  <c r="D54" i="28"/>
  <c r="C54" i="28"/>
  <c r="Z52" i="28"/>
  <c r="Y52" i="28"/>
  <c r="X52" i="28"/>
  <c r="W52" i="28"/>
  <c r="V52" i="28"/>
  <c r="U52" i="28"/>
  <c r="T52" i="28"/>
  <c r="S52" i="28"/>
  <c r="R52" i="28"/>
  <c r="Q52" i="28"/>
  <c r="P52" i="28"/>
  <c r="O52" i="28"/>
  <c r="N52" i="28"/>
  <c r="M52" i="28"/>
  <c r="L52" i="28"/>
  <c r="K52" i="28"/>
  <c r="J52" i="28"/>
  <c r="I52" i="28"/>
  <c r="H52" i="28"/>
  <c r="G52" i="28"/>
  <c r="F52" i="28"/>
  <c r="E52" i="28"/>
  <c r="D52" i="28"/>
  <c r="C52" i="28"/>
  <c r="Z51" i="28"/>
  <c r="Y51" i="28"/>
  <c r="X51" i="28"/>
  <c r="W51" i="28"/>
  <c r="V51" i="28"/>
  <c r="U51" i="28"/>
  <c r="T51" i="28"/>
  <c r="S51" i="28"/>
  <c r="R51" i="28"/>
  <c r="Q51" i="28"/>
  <c r="P51" i="28"/>
  <c r="O51" i="28"/>
  <c r="N51" i="28"/>
  <c r="M51" i="28"/>
  <c r="L51" i="28"/>
  <c r="K51" i="28"/>
  <c r="J51" i="28"/>
  <c r="I51" i="28"/>
  <c r="H51" i="28"/>
  <c r="G51" i="28"/>
  <c r="F51" i="28"/>
  <c r="E51" i="28"/>
  <c r="D51" i="28"/>
  <c r="C51" i="28"/>
  <c r="Z50" i="28"/>
  <c r="Y50" i="28"/>
  <c r="X50" i="28"/>
  <c r="W50" i="28"/>
  <c r="V50" i="28"/>
  <c r="U50" i="28"/>
  <c r="T50" i="28"/>
  <c r="S50" i="28"/>
  <c r="R50" i="28"/>
  <c r="Q50" i="28"/>
  <c r="P50" i="28"/>
  <c r="O50" i="28"/>
  <c r="N50" i="28"/>
  <c r="M50" i="28"/>
  <c r="L50" i="28"/>
  <c r="K50" i="28"/>
  <c r="J50" i="28"/>
  <c r="I50" i="28"/>
  <c r="H50" i="28"/>
  <c r="G50" i="28"/>
  <c r="F50" i="28"/>
  <c r="E50" i="28"/>
  <c r="D50" i="28"/>
  <c r="C50" i="28"/>
  <c r="Z33" i="28"/>
  <c r="Y33" i="28"/>
  <c r="X33" i="28"/>
  <c r="W33" i="28"/>
  <c r="V33" i="28"/>
  <c r="U33" i="28"/>
  <c r="T33" i="28"/>
  <c r="S33" i="28"/>
  <c r="R33" i="28"/>
  <c r="Q33" i="28"/>
  <c r="P33" i="28"/>
  <c r="O33" i="28"/>
  <c r="N33" i="28"/>
  <c r="M33" i="28"/>
  <c r="L33" i="28"/>
  <c r="K33" i="28"/>
  <c r="J33" i="28"/>
  <c r="I33" i="28"/>
  <c r="H33" i="28"/>
  <c r="G33" i="28"/>
  <c r="F33" i="28"/>
  <c r="E33" i="28"/>
  <c r="D33" i="28"/>
  <c r="C33" i="28"/>
  <c r="Z31" i="28"/>
  <c r="Y31" i="28"/>
  <c r="X31" i="28"/>
  <c r="W31" i="28"/>
  <c r="V31" i="28"/>
  <c r="U31" i="28"/>
  <c r="T31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G31" i="28"/>
  <c r="F31" i="28"/>
  <c r="E31" i="28"/>
  <c r="D31" i="28"/>
  <c r="C31" i="28"/>
  <c r="Z30" i="28"/>
  <c r="Y30" i="28"/>
  <c r="X30" i="28"/>
  <c r="W30" i="28"/>
  <c r="V30" i="28"/>
  <c r="U30" i="28"/>
  <c r="T30" i="28"/>
  <c r="S30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0" i="28"/>
  <c r="Z29" i="28"/>
  <c r="Y29" i="28"/>
  <c r="X29" i="28"/>
  <c r="W29" i="28"/>
  <c r="V29" i="28"/>
  <c r="U29" i="28"/>
  <c r="T29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9" i="28"/>
  <c r="C29" i="28"/>
  <c r="AP7" i="28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0"/>
  <c r="Y227" i="30"/>
  <c r="X227" i="30"/>
  <c r="Z226" i="30"/>
  <c r="Y226" i="30"/>
  <c r="X226" i="30"/>
  <c r="Z225" i="30"/>
  <c r="Y225" i="30"/>
  <c r="X225" i="30"/>
  <c r="Z224" i="30"/>
  <c r="Y224" i="30"/>
  <c r="X224" i="30"/>
  <c r="Z223" i="30"/>
  <c r="Y223" i="30"/>
  <c r="X223" i="30"/>
  <c r="Z222" i="30"/>
  <c r="Y222" i="30"/>
  <c r="X222" i="30"/>
  <c r="Z221" i="30"/>
  <c r="Y221" i="30"/>
  <c r="X221" i="30"/>
  <c r="Z220" i="30"/>
  <c r="Y220" i="30"/>
  <c r="X220" i="30"/>
  <c r="Z219" i="30"/>
  <c r="Y219" i="30"/>
  <c r="X219" i="30"/>
  <c r="Z218" i="30"/>
  <c r="Y218" i="30"/>
  <c r="X218" i="30"/>
  <c r="Z217" i="30"/>
  <c r="Y217" i="30"/>
  <c r="X217" i="30"/>
  <c r="Z216" i="30"/>
  <c r="Y216" i="30"/>
  <c r="X216" i="30"/>
  <c r="Z215" i="30"/>
  <c r="Y215" i="30"/>
  <c r="X215" i="30"/>
  <c r="Z214" i="30"/>
  <c r="Y214" i="30"/>
  <c r="X214" i="30"/>
  <c r="Z213" i="30"/>
  <c r="Y213" i="30"/>
  <c r="X213" i="30"/>
  <c r="Z212" i="30"/>
  <c r="Y212" i="30"/>
  <c r="X212" i="30"/>
  <c r="Z211" i="30"/>
  <c r="Y211" i="30"/>
  <c r="X211" i="30"/>
  <c r="Z210" i="30"/>
  <c r="Y210" i="30"/>
  <c r="X210" i="30"/>
  <c r="Z209" i="30"/>
  <c r="Y209" i="30"/>
  <c r="X209" i="30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8" i="30"/>
  <c r="Y188" i="30"/>
  <c r="X188" i="30"/>
  <c r="Z187" i="30"/>
  <c r="Y187" i="30"/>
  <c r="X187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Z175" i="30"/>
  <c r="Y175" i="30"/>
  <c r="X175" i="30"/>
  <c r="T227" i="30"/>
  <c r="T226" i="30"/>
  <c r="T225" i="30"/>
  <c r="T224" i="30"/>
  <c r="T223" i="30"/>
  <c r="T222" i="30"/>
  <c r="T221" i="30"/>
  <c r="T220" i="30"/>
  <c r="T219" i="30"/>
  <c r="T218" i="30"/>
  <c r="T217" i="30"/>
  <c r="T216" i="30"/>
  <c r="T215" i="30"/>
  <c r="T214" i="30"/>
  <c r="T213" i="30"/>
  <c r="T212" i="30"/>
  <c r="T211" i="30"/>
  <c r="T210" i="30"/>
  <c r="T209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8" i="30"/>
  <c r="T187" i="30"/>
  <c r="T185" i="30"/>
  <c r="T184" i="30"/>
  <c r="T183" i="30"/>
  <c r="T182" i="30"/>
  <c r="T181" i="30"/>
  <c r="T180" i="30"/>
  <c r="T179" i="30"/>
  <c r="T178" i="30"/>
  <c r="T177" i="30"/>
  <c r="T176" i="30"/>
  <c r="T175" i="30"/>
  <c r="Z207" i="27"/>
  <c r="Y207" i="27"/>
  <c r="X207" i="27"/>
  <c r="Z206" i="27"/>
  <c r="Y206" i="27"/>
  <c r="X206" i="27"/>
  <c r="Z205" i="27"/>
  <c r="Y205" i="27"/>
  <c r="X205" i="27"/>
  <c r="Z204" i="27"/>
  <c r="Y204" i="27"/>
  <c r="X204" i="27"/>
  <c r="Z203" i="27"/>
  <c r="Y203" i="27"/>
  <c r="X203" i="27"/>
  <c r="Z202" i="27"/>
  <c r="Y202" i="27"/>
  <c r="X202" i="27"/>
  <c r="Z201" i="27"/>
  <c r="Y201" i="27"/>
  <c r="X201" i="27"/>
  <c r="Z200" i="27"/>
  <c r="Y200" i="27"/>
  <c r="X200" i="27"/>
  <c r="Z199" i="27"/>
  <c r="Y199" i="27"/>
  <c r="X199" i="27"/>
  <c r="Z198" i="27"/>
  <c r="Y198" i="27"/>
  <c r="X198" i="27"/>
  <c r="Z197" i="27"/>
  <c r="Y197" i="27"/>
  <c r="X197" i="27"/>
  <c r="Z196" i="27"/>
  <c r="Y196" i="27"/>
  <c r="X196" i="27"/>
  <c r="Z195" i="27"/>
  <c r="Y195" i="27"/>
  <c r="X195" i="27"/>
  <c r="Z194" i="27"/>
  <c r="Y194" i="27"/>
  <c r="X194" i="27"/>
  <c r="Z193" i="27"/>
  <c r="Y193" i="27"/>
  <c r="X193" i="27"/>
  <c r="Z192" i="27"/>
  <c r="Y192" i="27"/>
  <c r="X192" i="27"/>
  <c r="Z191" i="27"/>
  <c r="Y191" i="27"/>
  <c r="X191" i="27"/>
  <c r="Z190" i="27"/>
  <c r="Y190" i="27"/>
  <c r="X190" i="27"/>
  <c r="Z188" i="27"/>
  <c r="Y188" i="27"/>
  <c r="X188" i="27"/>
  <c r="Z187" i="27"/>
  <c r="Y187" i="27"/>
  <c r="X187" i="27"/>
  <c r="Z185" i="27"/>
  <c r="Y185" i="27"/>
  <c r="X185" i="27"/>
  <c r="Z184" i="27"/>
  <c r="Y184" i="27"/>
  <c r="X184" i="27"/>
  <c r="Z183" i="27"/>
  <c r="Y183" i="27"/>
  <c r="X183" i="27"/>
  <c r="Z182" i="27"/>
  <c r="Y182" i="27"/>
  <c r="X182" i="27"/>
  <c r="Z181" i="27"/>
  <c r="Y181" i="27"/>
  <c r="X181" i="27"/>
  <c r="Z180" i="27"/>
  <c r="Y180" i="27"/>
  <c r="X180" i="27"/>
  <c r="Z179" i="27"/>
  <c r="Y179" i="27"/>
  <c r="X179" i="27"/>
  <c r="Z178" i="27"/>
  <c r="Y178" i="27"/>
  <c r="X178" i="27"/>
  <c r="Z177" i="27"/>
  <c r="Y177" i="27"/>
  <c r="X177" i="27"/>
  <c r="Z176" i="27"/>
  <c r="Y176" i="27"/>
  <c r="X176" i="27"/>
  <c r="Z175" i="27"/>
  <c r="Y175" i="27"/>
  <c r="X175" i="27"/>
  <c r="T207" i="27"/>
  <c r="T206" i="27"/>
  <c r="T205" i="27"/>
  <c r="T204" i="27"/>
  <c r="T203" i="27"/>
  <c r="T202" i="27"/>
  <c r="T201" i="27"/>
  <c r="T200" i="27"/>
  <c r="T199" i="27"/>
  <c r="T198" i="27"/>
  <c r="T197" i="27"/>
  <c r="T196" i="27"/>
  <c r="T195" i="27"/>
  <c r="T194" i="27"/>
  <c r="T193" i="27"/>
  <c r="T192" i="27"/>
  <c r="T191" i="27"/>
  <c r="T190" i="27"/>
  <c r="T188" i="27"/>
  <c r="T187" i="27"/>
  <c r="T185" i="27"/>
  <c r="T184" i="27"/>
  <c r="T183" i="27"/>
  <c r="T182" i="27"/>
  <c r="T181" i="27"/>
  <c r="T180" i="27"/>
  <c r="T179" i="27"/>
  <c r="T178" i="27"/>
  <c r="T177" i="27"/>
  <c r="T176" i="27"/>
  <c r="T175" i="27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7"/>
  <c r="V32" i="27"/>
  <c r="V31" i="27"/>
  <c r="V30" i="27"/>
  <c r="V29" i="27"/>
  <c r="V28" i="27"/>
  <c r="V27" i="27"/>
  <c r="V24" i="27"/>
  <c r="BD106" i="29" l="1"/>
  <c r="BL106" i="29"/>
  <c r="BC106" i="29"/>
  <c r="BE106" i="29"/>
  <c r="BM106" i="29"/>
  <c r="BK106" i="29"/>
  <c r="BF106" i="29"/>
  <c r="BN106" i="29"/>
  <c r="AY106" i="29"/>
  <c r="BG106" i="29"/>
  <c r="BO106" i="29"/>
  <c r="AZ106" i="29"/>
  <c r="BH106" i="29"/>
  <c r="BP106" i="29"/>
  <c r="BA106" i="29"/>
  <c r="BI106" i="29"/>
  <c r="BQ106" i="29"/>
  <c r="BB106" i="29"/>
  <c r="BJ106" i="29"/>
  <c r="BR106" i="29"/>
  <c r="AD29" i="28"/>
  <c r="AD28" i="28"/>
  <c r="O8" i="23" l="1"/>
  <c r="P64" i="33"/>
  <c r="O64" i="33"/>
  <c r="N64" i="33"/>
  <c r="I64" i="33"/>
  <c r="H64" i="33"/>
  <c r="G64" i="33"/>
  <c r="T63" i="33"/>
  <c r="R63" i="33"/>
  <c r="Q63" i="33"/>
  <c r="P63" i="33"/>
  <c r="M63" i="33"/>
  <c r="K63" i="33"/>
  <c r="L63" i="33" s="1"/>
  <c r="J63" i="33"/>
  <c r="T62" i="33"/>
  <c r="R62" i="33"/>
  <c r="Q62" i="33"/>
  <c r="P62" i="33"/>
  <c r="M62" i="33"/>
  <c r="J62" i="33"/>
  <c r="K62" i="33" s="1"/>
  <c r="L62" i="33" s="1"/>
  <c r="T61" i="33"/>
  <c r="R61" i="33"/>
  <c r="Q61" i="33"/>
  <c r="P61" i="33"/>
  <c r="M61" i="33"/>
  <c r="J61" i="33"/>
  <c r="K61" i="33" s="1"/>
  <c r="L61" i="33" s="1"/>
  <c r="T60" i="33"/>
  <c r="R60" i="33"/>
  <c r="Q60" i="33"/>
  <c r="P60" i="33"/>
  <c r="M60" i="33"/>
  <c r="J60" i="33"/>
  <c r="K60" i="33" s="1"/>
  <c r="L60" i="33" s="1"/>
  <c r="T59" i="33"/>
  <c r="R59" i="33"/>
  <c r="Q59" i="33"/>
  <c r="P59" i="33"/>
  <c r="M59" i="33"/>
  <c r="K59" i="33"/>
  <c r="L59" i="33" s="1"/>
  <c r="J59" i="33"/>
  <c r="T58" i="33"/>
  <c r="R58" i="33"/>
  <c r="Q58" i="33"/>
  <c r="P58" i="33"/>
  <c r="M58" i="33"/>
  <c r="J58" i="33"/>
  <c r="K58" i="33" s="1"/>
  <c r="L58" i="33" s="1"/>
  <c r="T57" i="33"/>
  <c r="R57" i="33"/>
  <c r="Q57" i="33"/>
  <c r="P57" i="33"/>
  <c r="M57" i="33"/>
  <c r="J57" i="33"/>
  <c r="K57" i="33" s="1"/>
  <c r="L57" i="33" s="1"/>
  <c r="T56" i="33"/>
  <c r="R56" i="33"/>
  <c r="Q56" i="33"/>
  <c r="P56" i="33"/>
  <c r="M56" i="33"/>
  <c r="J56" i="33"/>
  <c r="K56" i="33" s="1"/>
  <c r="L56" i="33" s="1"/>
  <c r="T55" i="33"/>
  <c r="R55" i="33"/>
  <c r="Q55" i="33"/>
  <c r="P55" i="33"/>
  <c r="M55" i="33"/>
  <c r="K55" i="33"/>
  <c r="L55" i="33" s="1"/>
  <c r="J55" i="33"/>
  <c r="T54" i="33"/>
  <c r="R54" i="33"/>
  <c r="Q54" i="33"/>
  <c r="P54" i="33"/>
  <c r="M54" i="33"/>
  <c r="J54" i="33"/>
  <c r="K54" i="33" s="1"/>
  <c r="L54" i="33" s="1"/>
  <c r="T53" i="33"/>
  <c r="R53" i="33"/>
  <c r="Q53" i="33"/>
  <c r="P53" i="33"/>
  <c r="M53" i="33"/>
  <c r="J53" i="33"/>
  <c r="K53" i="33" s="1"/>
  <c r="L53" i="33" s="1"/>
  <c r="T52" i="33"/>
  <c r="R52" i="33"/>
  <c r="Q52" i="33"/>
  <c r="P52" i="33"/>
  <c r="M52" i="33"/>
  <c r="J52" i="33"/>
  <c r="K52" i="33" s="1"/>
  <c r="L52" i="33" s="1"/>
  <c r="T51" i="33"/>
  <c r="R51" i="33"/>
  <c r="Q51" i="33"/>
  <c r="P51" i="33"/>
  <c r="M51" i="33"/>
  <c r="K51" i="33"/>
  <c r="L51" i="33" s="1"/>
  <c r="J51" i="33"/>
  <c r="T50" i="33"/>
  <c r="R50" i="33"/>
  <c r="Q50" i="33"/>
  <c r="P50" i="33"/>
  <c r="M50" i="33"/>
  <c r="J50" i="33"/>
  <c r="K50" i="33" s="1"/>
  <c r="L50" i="33" s="1"/>
  <c r="T49" i="33"/>
  <c r="R49" i="33"/>
  <c r="Q49" i="33"/>
  <c r="P49" i="33"/>
  <c r="M49" i="33"/>
  <c r="J49" i="33"/>
  <c r="K49" i="33" s="1"/>
  <c r="L49" i="33" s="1"/>
  <c r="T48" i="33"/>
  <c r="R48" i="33"/>
  <c r="Q48" i="33"/>
  <c r="P48" i="33"/>
  <c r="M48" i="33"/>
  <c r="J48" i="33"/>
  <c r="K48" i="33" s="1"/>
  <c r="L48" i="33" s="1"/>
  <c r="T47" i="33"/>
  <c r="R47" i="33"/>
  <c r="Q47" i="33"/>
  <c r="P47" i="33"/>
  <c r="M47" i="33"/>
  <c r="K47" i="33"/>
  <c r="L47" i="33" s="1"/>
  <c r="J47" i="33"/>
  <c r="T46" i="33"/>
  <c r="R46" i="33"/>
  <c r="Q46" i="33"/>
  <c r="P46" i="33"/>
  <c r="M46" i="33"/>
  <c r="J46" i="33"/>
  <c r="K46" i="33" s="1"/>
  <c r="L46" i="33" s="1"/>
  <c r="T45" i="33"/>
  <c r="R45" i="33"/>
  <c r="Q45" i="33"/>
  <c r="P45" i="33"/>
  <c r="M45" i="33"/>
  <c r="J45" i="33"/>
  <c r="K45" i="33" s="1"/>
  <c r="L45" i="33" s="1"/>
  <c r="T44" i="33"/>
  <c r="R44" i="33"/>
  <c r="Q44" i="33"/>
  <c r="P44" i="33"/>
  <c r="M44" i="33"/>
  <c r="J44" i="33"/>
  <c r="K44" i="33" s="1"/>
  <c r="L44" i="33" s="1"/>
  <c r="T43" i="33"/>
  <c r="R43" i="33"/>
  <c r="Q43" i="33"/>
  <c r="P43" i="33"/>
  <c r="M43" i="33"/>
  <c r="K43" i="33"/>
  <c r="L43" i="33" s="1"/>
  <c r="J43" i="33"/>
  <c r="T42" i="33"/>
  <c r="R42" i="33"/>
  <c r="Q42" i="33"/>
  <c r="P42" i="33"/>
  <c r="M42" i="33"/>
  <c r="J42" i="33"/>
  <c r="K42" i="33" s="1"/>
  <c r="L42" i="33" s="1"/>
  <c r="T41" i="33"/>
  <c r="R41" i="33"/>
  <c r="Q41" i="33"/>
  <c r="P41" i="33"/>
  <c r="M41" i="33"/>
  <c r="J41" i="33"/>
  <c r="K41" i="33" s="1"/>
  <c r="L41" i="33" s="1"/>
  <c r="T40" i="33"/>
  <c r="R40" i="33"/>
  <c r="Q40" i="33"/>
  <c r="P40" i="33"/>
  <c r="M40" i="33"/>
  <c r="J40" i="33"/>
  <c r="K40" i="33" s="1"/>
  <c r="L40" i="33" s="1"/>
  <c r="T39" i="33"/>
  <c r="R39" i="33"/>
  <c r="Q39" i="33"/>
  <c r="P39" i="33"/>
  <c r="M39" i="33"/>
  <c r="K39" i="33"/>
  <c r="L39" i="33" s="1"/>
  <c r="J39" i="33"/>
  <c r="T38" i="33"/>
  <c r="R38" i="33"/>
  <c r="Q38" i="33"/>
  <c r="P38" i="33"/>
  <c r="M38" i="33"/>
  <c r="J38" i="33"/>
  <c r="K38" i="33" s="1"/>
  <c r="L38" i="33" s="1"/>
  <c r="T37" i="33"/>
  <c r="R37" i="33"/>
  <c r="Q37" i="33"/>
  <c r="P37" i="33"/>
  <c r="M37" i="33"/>
  <c r="J37" i="33"/>
  <c r="K37" i="33" s="1"/>
  <c r="L37" i="33" s="1"/>
  <c r="T36" i="33"/>
  <c r="R36" i="33"/>
  <c r="Q36" i="33"/>
  <c r="P36" i="33"/>
  <c r="M36" i="33"/>
  <c r="J36" i="33"/>
  <c r="K36" i="33" s="1"/>
  <c r="L36" i="33" s="1"/>
  <c r="T35" i="33"/>
  <c r="R35" i="33"/>
  <c r="Q35" i="33"/>
  <c r="P35" i="33"/>
  <c r="M35" i="33"/>
  <c r="K35" i="33"/>
  <c r="L35" i="33" s="1"/>
  <c r="J35" i="33"/>
  <c r="T34" i="33"/>
  <c r="R34" i="33"/>
  <c r="Q34" i="33"/>
  <c r="P34" i="33"/>
  <c r="M34" i="33"/>
  <c r="J34" i="33"/>
  <c r="K34" i="33" s="1"/>
  <c r="L34" i="33" s="1"/>
  <c r="T33" i="33"/>
  <c r="R33" i="33"/>
  <c r="Q33" i="33"/>
  <c r="P33" i="33"/>
  <c r="M33" i="33"/>
  <c r="J33" i="33"/>
  <c r="K33" i="33" s="1"/>
  <c r="L33" i="33" s="1"/>
  <c r="T32" i="33"/>
  <c r="R32" i="33"/>
  <c r="Q32" i="33"/>
  <c r="P32" i="33"/>
  <c r="M32" i="33"/>
  <c r="J32" i="33"/>
  <c r="K32" i="33" s="1"/>
  <c r="L32" i="33" s="1"/>
  <c r="T31" i="33"/>
  <c r="R31" i="33"/>
  <c r="Q31" i="33"/>
  <c r="P31" i="33"/>
  <c r="M31" i="33"/>
  <c r="K31" i="33"/>
  <c r="L31" i="33" s="1"/>
  <c r="J31" i="33"/>
  <c r="T30" i="33"/>
  <c r="R30" i="33"/>
  <c r="Q30" i="33"/>
  <c r="P30" i="33"/>
  <c r="M30" i="33"/>
  <c r="J30" i="33"/>
  <c r="K30" i="33" s="1"/>
  <c r="L30" i="33" s="1"/>
  <c r="T29" i="33"/>
  <c r="R29" i="33"/>
  <c r="Q29" i="33"/>
  <c r="M29" i="33"/>
  <c r="J29" i="33"/>
  <c r="K29" i="33" s="1"/>
  <c r="L29" i="33" s="1"/>
  <c r="T28" i="33"/>
  <c r="R28" i="33"/>
  <c r="Q28" i="33"/>
  <c r="M28" i="33"/>
  <c r="J28" i="33"/>
  <c r="K28" i="33" s="1"/>
  <c r="L28" i="33" s="1"/>
  <c r="T27" i="33"/>
  <c r="R27" i="33"/>
  <c r="Q27" i="33"/>
  <c r="M27" i="33"/>
  <c r="K27" i="33"/>
  <c r="L27" i="33" s="1"/>
  <c r="J27" i="33"/>
  <c r="T26" i="33"/>
  <c r="R26" i="33"/>
  <c r="Q26" i="33"/>
  <c r="M26" i="33"/>
  <c r="J26" i="33"/>
  <c r="K26" i="33" s="1"/>
  <c r="L26" i="33" s="1"/>
  <c r="T25" i="33"/>
  <c r="R25" i="33"/>
  <c r="Q25" i="33"/>
  <c r="M25" i="33"/>
  <c r="J25" i="33"/>
  <c r="K25" i="33" s="1"/>
  <c r="L25" i="33" s="1"/>
  <c r="T24" i="33"/>
  <c r="R24" i="33"/>
  <c r="Q24" i="33"/>
  <c r="M24" i="33"/>
  <c r="K24" i="33"/>
  <c r="L24" i="33" s="1"/>
  <c r="J24" i="33"/>
  <c r="R23" i="33"/>
  <c r="Q23" i="33"/>
  <c r="M23" i="33"/>
  <c r="L23" i="33"/>
  <c r="U23" i="33" s="1"/>
  <c r="K23" i="33"/>
  <c r="J23" i="33"/>
  <c r="R22" i="33"/>
  <c r="Q22" i="33"/>
  <c r="M22" i="33"/>
  <c r="J22" i="33"/>
  <c r="K22" i="33" s="1"/>
  <c r="L22" i="33" s="1"/>
  <c r="R21" i="33"/>
  <c r="Q21" i="33"/>
  <c r="M21" i="33"/>
  <c r="J21" i="33"/>
  <c r="K21" i="33" s="1"/>
  <c r="L21" i="33" s="1"/>
  <c r="U20" i="33"/>
  <c r="T20" i="33"/>
  <c r="S20" i="33"/>
  <c r="R20" i="33"/>
  <c r="Q20" i="33"/>
  <c r="M20" i="33"/>
  <c r="J20" i="33"/>
  <c r="K20" i="33" s="1"/>
  <c r="U19" i="33"/>
  <c r="T19" i="33"/>
  <c r="S19" i="33"/>
  <c r="R19" i="33"/>
  <c r="Q19" i="33"/>
  <c r="M19" i="33"/>
  <c r="J19" i="33"/>
  <c r="K19" i="33" s="1"/>
  <c r="U18" i="33"/>
  <c r="T18" i="33"/>
  <c r="S18" i="33"/>
  <c r="R18" i="33"/>
  <c r="Q18" i="33"/>
  <c r="M18" i="33"/>
  <c r="K18" i="33"/>
  <c r="J18" i="33"/>
  <c r="U17" i="33"/>
  <c r="T17" i="33"/>
  <c r="S17" i="33"/>
  <c r="R17" i="33"/>
  <c r="Q17" i="33"/>
  <c r="M17" i="33"/>
  <c r="J17" i="33"/>
  <c r="K17" i="33" s="1"/>
  <c r="U16" i="33"/>
  <c r="T16" i="33"/>
  <c r="S16" i="33"/>
  <c r="R16" i="33"/>
  <c r="Q16" i="33"/>
  <c r="M16" i="33"/>
  <c r="J16" i="33"/>
  <c r="K16" i="33" s="1"/>
  <c r="U15" i="33"/>
  <c r="T15" i="33"/>
  <c r="S15" i="33"/>
  <c r="R15" i="33"/>
  <c r="Q15" i="33"/>
  <c r="M15" i="33"/>
  <c r="J15" i="33"/>
  <c r="K15" i="33" s="1"/>
  <c r="R14" i="33"/>
  <c r="Q14" i="33"/>
  <c r="M14" i="33"/>
  <c r="J14" i="33"/>
  <c r="K14" i="33" s="1"/>
  <c r="L14" i="33" s="1"/>
  <c r="R13" i="33"/>
  <c r="Q13" i="33"/>
  <c r="M13" i="33"/>
  <c r="J13" i="33"/>
  <c r="K13" i="33" s="1"/>
  <c r="L13" i="33" s="1"/>
  <c r="T12" i="33"/>
  <c r="R12" i="33"/>
  <c r="Q12" i="33"/>
  <c r="M12" i="33"/>
  <c r="K12" i="33"/>
  <c r="L12" i="33" s="1"/>
  <c r="J12" i="33"/>
  <c r="AB11" i="33"/>
  <c r="R11" i="33"/>
  <c r="Q11" i="33"/>
  <c r="M11" i="33"/>
  <c r="J11" i="33"/>
  <c r="K11" i="33" s="1"/>
  <c r="L11" i="33" s="1"/>
  <c r="U10" i="33"/>
  <c r="T10" i="33"/>
  <c r="S10" i="33"/>
  <c r="R10" i="33"/>
  <c r="Q10" i="33"/>
  <c r="U9" i="33"/>
  <c r="T9" i="33"/>
  <c r="S9" i="33"/>
  <c r="R9" i="33"/>
  <c r="Q9" i="33"/>
  <c r="M9" i="33"/>
  <c r="J9" i="33"/>
  <c r="K9" i="33" s="1"/>
  <c r="U8" i="33"/>
  <c r="T8" i="33"/>
  <c r="S8" i="33"/>
  <c r="R8" i="33"/>
  <c r="Q8" i="33"/>
  <c r="M8" i="33"/>
  <c r="J8" i="33"/>
  <c r="K8" i="33" s="1"/>
  <c r="U7" i="33"/>
  <c r="T7" i="33"/>
  <c r="S7" i="33"/>
  <c r="R7" i="33"/>
  <c r="Q7" i="33"/>
  <c r="M7" i="33"/>
  <c r="J7" i="33"/>
  <c r="K7" i="33" s="1"/>
  <c r="U6" i="33"/>
  <c r="T6" i="33"/>
  <c r="S6" i="33"/>
  <c r="R6" i="33"/>
  <c r="Q6" i="33"/>
  <c r="M6" i="33"/>
  <c r="J6" i="33"/>
  <c r="K6" i="33" s="1"/>
  <c r="U5" i="33"/>
  <c r="T5" i="33"/>
  <c r="S5" i="33"/>
  <c r="R5" i="33"/>
  <c r="Q5" i="33"/>
  <c r="M5" i="33"/>
  <c r="J5" i="33"/>
  <c r="K5" i="33" s="1"/>
  <c r="R4" i="33"/>
  <c r="Q4" i="33"/>
  <c r="M4" i="33"/>
  <c r="K4" i="33"/>
  <c r="L4" i="33" s="1"/>
  <c r="J4" i="33"/>
  <c r="U3" i="33"/>
  <c r="T3" i="33"/>
  <c r="S3" i="33"/>
  <c r="R3" i="33"/>
  <c r="Q3" i="33"/>
  <c r="R2" i="33"/>
  <c r="R64" i="33" s="1"/>
  <c r="Z18" i="33" s="1"/>
  <c r="Q2" i="33"/>
  <c r="Q64" i="33" s="1"/>
  <c r="M2" i="33"/>
  <c r="M64" i="33" s="1"/>
  <c r="J2" i="33"/>
  <c r="J64" i="33" s="1"/>
  <c r="U29" i="33" l="1"/>
  <c r="S29" i="33"/>
  <c r="T11" i="33"/>
  <c r="U11" i="33"/>
  <c r="S11" i="33"/>
  <c r="U37" i="33"/>
  <c r="S37" i="33"/>
  <c r="U46" i="33"/>
  <c r="S46" i="33"/>
  <c r="S51" i="33"/>
  <c r="U51" i="33"/>
  <c r="U60" i="33"/>
  <c r="S60" i="33"/>
  <c r="U56" i="33"/>
  <c r="S56" i="33"/>
  <c r="S32" i="33"/>
  <c r="U32" i="33"/>
  <c r="U41" i="33"/>
  <c r="S41" i="33"/>
  <c r="U50" i="33"/>
  <c r="S50" i="33"/>
  <c r="S55" i="33"/>
  <c r="U55" i="33"/>
  <c r="U22" i="33"/>
  <c r="S22" i="33"/>
  <c r="T22" i="33"/>
  <c r="S25" i="33"/>
  <c r="U25" i="33"/>
  <c r="U28" i="33"/>
  <c r="S28" i="33"/>
  <c r="S36" i="33"/>
  <c r="U36" i="33"/>
  <c r="U45" i="33"/>
  <c r="S45" i="33"/>
  <c r="U54" i="33"/>
  <c r="S54" i="33"/>
  <c r="S59" i="33"/>
  <c r="U59" i="33"/>
  <c r="T14" i="33"/>
  <c r="S14" i="33"/>
  <c r="U14" i="33"/>
  <c r="S47" i="33"/>
  <c r="U47" i="33"/>
  <c r="S31" i="33"/>
  <c r="U31" i="33"/>
  <c r="U40" i="33"/>
  <c r="S40" i="33"/>
  <c r="U49" i="33"/>
  <c r="S49" i="33"/>
  <c r="U58" i="33"/>
  <c r="S58" i="33"/>
  <c r="S63" i="33"/>
  <c r="U63" i="33"/>
  <c r="S26" i="33"/>
  <c r="U26" i="33"/>
  <c r="U13" i="33"/>
  <c r="T13" i="33"/>
  <c r="S13" i="33"/>
  <c r="U4" i="33"/>
  <c r="T4" i="33"/>
  <c r="S4" i="33"/>
  <c r="U30" i="33"/>
  <c r="S30" i="33"/>
  <c r="S35" i="33"/>
  <c r="U35" i="33"/>
  <c r="U44" i="33"/>
  <c r="S44" i="33"/>
  <c r="U53" i="33"/>
  <c r="S53" i="33"/>
  <c r="U62" i="33"/>
  <c r="S62" i="33"/>
  <c r="U33" i="33"/>
  <c r="S33" i="33"/>
  <c r="U24" i="33"/>
  <c r="S24" i="33"/>
  <c r="S27" i="33"/>
  <c r="U27" i="33"/>
  <c r="U34" i="33"/>
  <c r="S34" i="33"/>
  <c r="S39" i="33"/>
  <c r="U39" i="33"/>
  <c r="U48" i="33"/>
  <c r="S48" i="33"/>
  <c r="U57" i="33"/>
  <c r="S57" i="33"/>
  <c r="U42" i="33"/>
  <c r="S42" i="33"/>
  <c r="U12" i="33"/>
  <c r="S12" i="33"/>
  <c r="U21" i="33"/>
  <c r="T21" i="33"/>
  <c r="S21" i="33"/>
  <c r="U38" i="33"/>
  <c r="S38" i="33"/>
  <c r="S43" i="33"/>
  <c r="U43" i="33"/>
  <c r="U52" i="33"/>
  <c r="S52" i="33"/>
  <c r="U61" i="33"/>
  <c r="S61" i="33"/>
  <c r="K2" i="33"/>
  <c r="S23" i="33"/>
  <c r="T23" i="33"/>
  <c r="K64" i="33" l="1"/>
  <c r="L2" i="33"/>
  <c r="L64" i="33" l="1"/>
  <c r="S2" i="33"/>
  <c r="S64" i="33" s="1"/>
  <c r="Z17" i="33" s="1"/>
  <c r="Z19" i="33" s="1"/>
  <c r="U2" i="33"/>
  <c r="U64" i="33" s="1"/>
  <c r="T2" i="33"/>
  <c r="T64" i="33" s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0" l="1"/>
  <c r="EI67" i="30"/>
  <c r="EH67" i="30"/>
  <c r="EG67" i="30"/>
  <c r="EF67" i="30"/>
  <c r="EE67" i="30"/>
  <c r="ED67" i="30"/>
  <c r="EC67" i="30"/>
  <c r="EB67" i="30"/>
  <c r="EA67" i="30"/>
  <c r="DZ67" i="30"/>
  <c r="DY67" i="30"/>
  <c r="DX67" i="30"/>
  <c r="DW67" i="30"/>
  <c r="DV67" i="30"/>
  <c r="DU67" i="30"/>
  <c r="DT67" i="30"/>
  <c r="DS67" i="30"/>
  <c r="DR67" i="30"/>
  <c r="DQ67" i="30"/>
  <c r="DP67" i="30"/>
  <c r="DO67" i="30"/>
  <c r="DN67" i="30"/>
  <c r="DM67" i="30"/>
  <c r="EJ66" i="30"/>
  <c r="EI66" i="30"/>
  <c r="EH66" i="30"/>
  <c r="EG66" i="30"/>
  <c r="EF66" i="30"/>
  <c r="EE66" i="30"/>
  <c r="ED66" i="30"/>
  <c r="EC66" i="30"/>
  <c r="EB66" i="30"/>
  <c r="EA66" i="30"/>
  <c r="DZ66" i="30"/>
  <c r="DY66" i="30"/>
  <c r="DX66" i="30"/>
  <c r="DW66" i="30"/>
  <c r="DV66" i="30"/>
  <c r="DU66" i="30"/>
  <c r="DT66" i="30"/>
  <c r="DS66" i="30"/>
  <c r="DR66" i="30"/>
  <c r="DQ66" i="30"/>
  <c r="DP66" i="30"/>
  <c r="DO66" i="30"/>
  <c r="DN66" i="30"/>
  <c r="DM66" i="30"/>
  <c r="EJ65" i="30"/>
  <c r="EI65" i="30"/>
  <c r="EH65" i="30"/>
  <c r="EG65" i="30"/>
  <c r="EF65" i="30"/>
  <c r="EE65" i="30"/>
  <c r="ED65" i="30"/>
  <c r="EC65" i="30"/>
  <c r="EB65" i="30"/>
  <c r="EA65" i="30"/>
  <c r="DZ65" i="30"/>
  <c r="DY65" i="30"/>
  <c r="DX65" i="30"/>
  <c r="DW65" i="30"/>
  <c r="DV65" i="30"/>
  <c r="DU65" i="30"/>
  <c r="DT65" i="30"/>
  <c r="DS65" i="30"/>
  <c r="DR65" i="30"/>
  <c r="DQ65" i="30"/>
  <c r="DP65" i="30"/>
  <c r="DO65" i="30"/>
  <c r="DN65" i="30"/>
  <c r="DM65" i="30"/>
  <c r="EJ64" i="30"/>
  <c r="EI64" i="30"/>
  <c r="EH64" i="30"/>
  <c r="EG64" i="30"/>
  <c r="EF64" i="30"/>
  <c r="EE64" i="30"/>
  <c r="ED64" i="30"/>
  <c r="EC64" i="30"/>
  <c r="EB64" i="30"/>
  <c r="EA64" i="30"/>
  <c r="DZ64" i="30"/>
  <c r="DY64" i="30"/>
  <c r="DX64" i="30"/>
  <c r="DW64" i="30"/>
  <c r="DV64" i="30"/>
  <c r="DU64" i="30"/>
  <c r="DT64" i="30"/>
  <c r="DS64" i="30"/>
  <c r="DR64" i="30"/>
  <c r="DQ64" i="30"/>
  <c r="DP64" i="30"/>
  <c r="DO64" i="30"/>
  <c r="DN64" i="30"/>
  <c r="DM64" i="30"/>
  <c r="EJ63" i="30"/>
  <c r="EI63" i="30"/>
  <c r="EH63" i="30"/>
  <c r="EG63" i="30"/>
  <c r="EF63" i="30"/>
  <c r="EE63" i="30"/>
  <c r="ED63" i="30"/>
  <c r="EC63" i="30"/>
  <c r="EB63" i="30"/>
  <c r="EA63" i="30"/>
  <c r="DZ63" i="30"/>
  <c r="DY63" i="30"/>
  <c r="DX63" i="30"/>
  <c r="DW63" i="30"/>
  <c r="DV63" i="30"/>
  <c r="DU63" i="30"/>
  <c r="DT63" i="30"/>
  <c r="DS63" i="30"/>
  <c r="DR63" i="30"/>
  <c r="DQ63" i="30"/>
  <c r="DP63" i="30"/>
  <c r="DO63" i="30"/>
  <c r="DN63" i="30"/>
  <c r="DM63" i="30"/>
  <c r="EJ62" i="30"/>
  <c r="EI62" i="30"/>
  <c r="EH62" i="30"/>
  <c r="EG62" i="30"/>
  <c r="EF62" i="30"/>
  <c r="EE62" i="30"/>
  <c r="ED62" i="30"/>
  <c r="EC62" i="30"/>
  <c r="EB62" i="30"/>
  <c r="EA62" i="30"/>
  <c r="DZ62" i="30"/>
  <c r="DY62" i="30"/>
  <c r="DX62" i="30"/>
  <c r="DW62" i="30"/>
  <c r="DV62" i="30"/>
  <c r="DU62" i="30"/>
  <c r="DT62" i="30"/>
  <c r="DS62" i="30"/>
  <c r="DR62" i="30"/>
  <c r="DQ62" i="30"/>
  <c r="DP62" i="30"/>
  <c r="DO62" i="30"/>
  <c r="DN62" i="30"/>
  <c r="DM62" i="30"/>
  <c r="EJ61" i="30"/>
  <c r="EI61" i="30"/>
  <c r="EH61" i="30"/>
  <c r="EG61" i="30"/>
  <c r="EF61" i="30"/>
  <c r="EE61" i="30"/>
  <c r="ED61" i="30"/>
  <c r="EC61" i="30"/>
  <c r="EB61" i="30"/>
  <c r="EA61" i="30"/>
  <c r="DZ61" i="30"/>
  <c r="DY61" i="30"/>
  <c r="DX61" i="30"/>
  <c r="DW61" i="30"/>
  <c r="DV61" i="30"/>
  <c r="DU61" i="30"/>
  <c r="DT61" i="30"/>
  <c r="DS61" i="30"/>
  <c r="DR61" i="30"/>
  <c r="DQ61" i="30"/>
  <c r="DP61" i="30"/>
  <c r="DO61" i="30"/>
  <c r="DN61" i="30"/>
  <c r="DM61" i="30"/>
  <c r="EJ60" i="30"/>
  <c r="EI60" i="30"/>
  <c r="EH60" i="30"/>
  <c r="EG60" i="30"/>
  <c r="EF60" i="30"/>
  <c r="EE60" i="30"/>
  <c r="ED60" i="30"/>
  <c r="EC60" i="30"/>
  <c r="EB60" i="30"/>
  <c r="EA60" i="30"/>
  <c r="DZ60" i="30"/>
  <c r="DY60" i="30"/>
  <c r="DX60" i="30"/>
  <c r="DW60" i="30"/>
  <c r="DV60" i="30"/>
  <c r="DU60" i="30"/>
  <c r="DT60" i="30"/>
  <c r="DS60" i="30"/>
  <c r="DR60" i="30"/>
  <c r="DQ60" i="30"/>
  <c r="DP60" i="30"/>
  <c r="DO60" i="30"/>
  <c r="DN60" i="30"/>
  <c r="DM60" i="30"/>
  <c r="EJ59" i="30"/>
  <c r="EI59" i="30"/>
  <c r="EH59" i="30"/>
  <c r="EG59" i="30"/>
  <c r="EF59" i="30"/>
  <c r="EE59" i="30"/>
  <c r="ED59" i="30"/>
  <c r="EC59" i="30"/>
  <c r="EB59" i="30"/>
  <c r="EA59" i="30"/>
  <c r="DZ59" i="30"/>
  <c r="DY59" i="30"/>
  <c r="DX59" i="30"/>
  <c r="DW59" i="30"/>
  <c r="DV59" i="30"/>
  <c r="DU59" i="30"/>
  <c r="DT59" i="30"/>
  <c r="DS59" i="30"/>
  <c r="DR59" i="30"/>
  <c r="DQ59" i="30"/>
  <c r="DP59" i="30"/>
  <c r="DO59" i="30"/>
  <c r="DN59" i="30"/>
  <c r="DM59" i="30"/>
  <c r="EJ58" i="30"/>
  <c r="EI58" i="30"/>
  <c r="EH58" i="30"/>
  <c r="EG58" i="30"/>
  <c r="EF58" i="30"/>
  <c r="EE58" i="30"/>
  <c r="ED58" i="30"/>
  <c r="EC58" i="30"/>
  <c r="EB58" i="30"/>
  <c r="EA58" i="30"/>
  <c r="DZ58" i="30"/>
  <c r="DY58" i="30"/>
  <c r="DX58" i="30"/>
  <c r="DW58" i="30"/>
  <c r="DV58" i="30"/>
  <c r="DU58" i="30"/>
  <c r="DT58" i="30"/>
  <c r="DS58" i="30"/>
  <c r="DR58" i="30"/>
  <c r="DQ58" i="30"/>
  <c r="DP58" i="30"/>
  <c r="DO58" i="30"/>
  <c r="DN58" i="30"/>
  <c r="DM58" i="30"/>
  <c r="EJ56" i="30"/>
  <c r="EI56" i="30"/>
  <c r="EH56" i="30"/>
  <c r="EG56" i="30"/>
  <c r="EF56" i="30"/>
  <c r="EE56" i="30"/>
  <c r="ED56" i="30"/>
  <c r="ED78" i="30" s="1"/>
  <c r="EC56" i="30"/>
  <c r="EJ55" i="30"/>
  <c r="EI55" i="30"/>
  <c r="EH55" i="30"/>
  <c r="EG55" i="30"/>
  <c r="EF55" i="30"/>
  <c r="EE55" i="30"/>
  <c r="ED55" i="30"/>
  <c r="ED77" i="30" s="1"/>
  <c r="EC55" i="30"/>
  <c r="EJ54" i="30"/>
  <c r="EI54" i="30"/>
  <c r="EH54" i="30"/>
  <c r="EG54" i="30"/>
  <c r="EF54" i="30"/>
  <c r="EE54" i="30"/>
  <c r="ED54" i="30"/>
  <c r="ED76" i="30" s="1"/>
  <c r="EC54" i="30"/>
  <c r="EJ53" i="30"/>
  <c r="EI53" i="30"/>
  <c r="EH53" i="30"/>
  <c r="EG53" i="30"/>
  <c r="EF53" i="30"/>
  <c r="EE53" i="30"/>
  <c r="ED53" i="30"/>
  <c r="EC53" i="30"/>
  <c r="EJ52" i="30"/>
  <c r="EI52" i="30"/>
  <c r="EH52" i="30"/>
  <c r="EG52" i="30"/>
  <c r="EF52" i="30"/>
  <c r="EE52" i="30"/>
  <c r="ED52" i="30"/>
  <c r="ED74" i="30" s="1"/>
  <c r="EC52" i="30"/>
  <c r="EJ51" i="30"/>
  <c r="EI51" i="30"/>
  <c r="EH51" i="30"/>
  <c r="EG51" i="30"/>
  <c r="EF51" i="30"/>
  <c r="EE51" i="30"/>
  <c r="ED51" i="30"/>
  <c r="EC51" i="30"/>
  <c r="EJ50" i="30"/>
  <c r="EI50" i="30"/>
  <c r="EH50" i="30"/>
  <c r="EG50" i="30"/>
  <c r="EF50" i="30"/>
  <c r="EE50" i="30"/>
  <c r="ED50" i="30"/>
  <c r="ED72" i="30" s="1"/>
  <c r="EC50" i="30"/>
  <c r="EJ49" i="30"/>
  <c r="EI49" i="30"/>
  <c r="EH49" i="30"/>
  <c r="EG49" i="30"/>
  <c r="EF49" i="30"/>
  <c r="EE49" i="30"/>
  <c r="ED49" i="30"/>
  <c r="EC49" i="30"/>
  <c r="EJ48" i="30"/>
  <c r="EI48" i="30"/>
  <c r="EH48" i="30"/>
  <c r="EG48" i="30"/>
  <c r="EF48" i="30"/>
  <c r="EE48" i="30"/>
  <c r="ED48" i="30"/>
  <c r="ED70" i="30" s="1"/>
  <c r="EC48" i="30"/>
  <c r="EJ47" i="30"/>
  <c r="EI47" i="30"/>
  <c r="EH47" i="30"/>
  <c r="EG47" i="30"/>
  <c r="EF47" i="30"/>
  <c r="EE47" i="30"/>
  <c r="ED47" i="30"/>
  <c r="EC47" i="30"/>
  <c r="EB47" i="30"/>
  <c r="EA47" i="30"/>
  <c r="DZ47" i="30"/>
  <c r="DY47" i="30"/>
  <c r="DX47" i="30"/>
  <c r="DW47" i="30"/>
  <c r="DV47" i="30"/>
  <c r="DU47" i="30"/>
  <c r="DT47" i="30"/>
  <c r="DS47" i="30"/>
  <c r="DR47" i="30"/>
  <c r="DQ47" i="30"/>
  <c r="DP47" i="30"/>
  <c r="DO47" i="30"/>
  <c r="DN47" i="30"/>
  <c r="DM47" i="30"/>
  <c r="DL47" i="30"/>
  <c r="AZ3" i="28"/>
  <c r="AY3" i="28"/>
  <c r="AX3" i="28"/>
  <c r="AW3" i="28"/>
  <c r="BD3" i="28" s="1"/>
  <c r="BE3" i="28" s="1"/>
  <c r="AV3" i="28"/>
  <c r="D286" i="31"/>
  <c r="C286" i="31"/>
  <c r="D285" i="31"/>
  <c r="C285" i="31"/>
  <c r="H218" i="31"/>
  <c r="H217" i="31"/>
  <c r="H216" i="31"/>
  <c r="C215" i="31"/>
  <c r="C214" i="31"/>
  <c r="C213" i="31"/>
  <c r="C200" i="31"/>
  <c r="C199" i="31"/>
  <c r="C198" i="31"/>
  <c r="C196" i="31"/>
  <c r="G156" i="31"/>
  <c r="G155" i="31"/>
  <c r="G154" i="31"/>
  <c r="G153" i="31"/>
  <c r="G152" i="31"/>
  <c r="G151" i="31"/>
  <c r="G150" i="31"/>
  <c r="G149" i="31"/>
  <c r="G148" i="31"/>
  <c r="G147" i="31"/>
  <c r="C150" i="31"/>
  <c r="C147" i="31"/>
  <c r="C146" i="31"/>
  <c r="C141" i="31"/>
  <c r="C140" i="31"/>
  <c r="C139" i="31"/>
  <c r="C66" i="31"/>
  <c r="C65" i="31"/>
  <c r="C64" i="31"/>
  <c r="C63" i="31"/>
  <c r="DC62" i="31"/>
  <c r="BZ62" i="31"/>
  <c r="AT62" i="31"/>
  <c r="Z254" i="30"/>
  <c r="Z259" i="30" s="1"/>
  <c r="J153" i="30"/>
  <c r="C226" i="31" s="1"/>
  <c r="J152" i="30"/>
  <c r="C225" i="31" s="1"/>
  <c r="D225" i="31" s="1"/>
  <c r="J151" i="30"/>
  <c r="C224" i="31" s="1"/>
  <c r="D224" i="31" s="1"/>
  <c r="J150" i="30"/>
  <c r="C223" i="31" s="1"/>
  <c r="D223" i="31" s="1"/>
  <c r="AI125" i="30"/>
  <c r="AH125" i="30"/>
  <c r="AG125" i="30"/>
  <c r="AF125" i="30"/>
  <c r="W127" i="30"/>
  <c r="V127" i="30"/>
  <c r="U127" i="30"/>
  <c r="T127" i="30"/>
  <c r="W124" i="30"/>
  <c r="V124" i="30"/>
  <c r="U124" i="30"/>
  <c r="T124" i="30"/>
  <c r="W123" i="30"/>
  <c r="V123" i="30"/>
  <c r="U123" i="30"/>
  <c r="T123" i="30"/>
  <c r="S112" i="30"/>
  <c r="S111" i="30"/>
  <c r="S110" i="30"/>
  <c r="M109" i="30"/>
  <c r="L109" i="30"/>
  <c r="K109" i="30"/>
  <c r="X107" i="30"/>
  <c r="AZ107" i="30" s="1"/>
  <c r="X106" i="30"/>
  <c r="AS106" i="30" s="1"/>
  <c r="X105" i="30"/>
  <c r="BP105" i="30" s="1"/>
  <c r="X104" i="30"/>
  <c r="AW104" i="30" s="1"/>
  <c r="X103" i="30"/>
  <c r="AW103" i="30" s="1"/>
  <c r="X100" i="30"/>
  <c r="BH100" i="30" s="1"/>
  <c r="X99" i="30"/>
  <c r="BJ99" i="30" s="1"/>
  <c r="X98" i="30"/>
  <c r="BJ98" i="30" s="1"/>
  <c r="X97" i="30"/>
  <c r="BD97" i="30" s="1"/>
  <c r="X96" i="30"/>
  <c r="BP96" i="30" s="1"/>
  <c r="X93" i="30"/>
  <c r="BS93" i="30" s="1"/>
  <c r="X92" i="30"/>
  <c r="AS92" i="30" s="1"/>
  <c r="X91" i="30"/>
  <c r="AC91" i="30" s="1"/>
  <c r="X90" i="30"/>
  <c r="BR90" i="30" s="1"/>
  <c r="X89" i="30"/>
  <c r="BU89" i="30" s="1"/>
  <c r="M81" i="30"/>
  <c r="L81" i="30"/>
  <c r="K81" i="30"/>
  <c r="F81" i="30"/>
  <c r="E81" i="30"/>
  <c r="D81" i="30"/>
  <c r="R52" i="30"/>
  <c r="R51" i="30"/>
  <c r="R50" i="30"/>
  <c r="AB51" i="30"/>
  <c r="AA51" i="30"/>
  <c r="Z51" i="30"/>
  <c r="Y51" i="30"/>
  <c r="AB50" i="30"/>
  <c r="AA50" i="30"/>
  <c r="Z50" i="30"/>
  <c r="Y50" i="30"/>
  <c r="AB49" i="30"/>
  <c r="AA49" i="30"/>
  <c r="Z49" i="30"/>
  <c r="AB48" i="30"/>
  <c r="AA48" i="30"/>
  <c r="Z48" i="30"/>
  <c r="Y48" i="30"/>
  <c r="AB47" i="30"/>
  <c r="AA47" i="30"/>
  <c r="Z47" i="30"/>
  <c r="Y47" i="30"/>
  <c r="U32" i="30"/>
  <c r="T32" i="30"/>
  <c r="S32" i="30"/>
  <c r="R32" i="30"/>
  <c r="V32" i="30" s="1"/>
  <c r="X32" i="30" s="1"/>
  <c r="AJ27" i="30" s="1"/>
  <c r="U31" i="30"/>
  <c r="T31" i="30"/>
  <c r="S31" i="30"/>
  <c r="R31" i="30"/>
  <c r="U30" i="30"/>
  <c r="T30" i="30"/>
  <c r="S30" i="30"/>
  <c r="R30" i="30"/>
  <c r="V30" i="30" s="1"/>
  <c r="U29" i="30"/>
  <c r="T29" i="30"/>
  <c r="S29" i="30"/>
  <c r="R29" i="30"/>
  <c r="U28" i="30"/>
  <c r="T28" i="30"/>
  <c r="S28" i="30"/>
  <c r="R28" i="30"/>
  <c r="M4" i="30"/>
  <c r="L4" i="30"/>
  <c r="K4" i="30"/>
  <c r="D4" i="30"/>
  <c r="C4" i="30"/>
  <c r="B4" i="30"/>
  <c r="D105" i="29"/>
  <c r="D104" i="29"/>
  <c r="DC2" i="29"/>
  <c r="BZ2" i="29"/>
  <c r="AT2" i="29"/>
  <c r="B165" i="28"/>
  <c r="B122" i="28"/>
  <c r="B80" i="28"/>
  <c r="K81" i="27"/>
  <c r="K78" i="27"/>
  <c r="K75" i="27"/>
  <c r="K65" i="27"/>
  <c r="K60" i="27"/>
  <c r="K53" i="27"/>
  <c r="AE125" i="31"/>
  <c r="AD125" i="31"/>
  <c r="AC125" i="31"/>
  <c r="AB125" i="31"/>
  <c r="AA125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AE124" i="31"/>
  <c r="AD124" i="31"/>
  <c r="AC124" i="31"/>
  <c r="AB124" i="31"/>
  <c r="AA124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AE123" i="31"/>
  <c r="AD123" i="31"/>
  <c r="AC123" i="31"/>
  <c r="AB123" i="31"/>
  <c r="AA123" i="31"/>
  <c r="Z123" i="31"/>
  <c r="Y123" i="31"/>
  <c r="X123" i="31"/>
  <c r="W123" i="31"/>
  <c r="V123" i="31"/>
  <c r="U123" i="31"/>
  <c r="T123" i="31"/>
  <c r="S123" i="31"/>
  <c r="R123" i="31"/>
  <c r="Q123" i="31"/>
  <c r="P123" i="31"/>
  <c r="O123" i="31"/>
  <c r="N123" i="31"/>
  <c r="M123" i="31"/>
  <c r="L123" i="31"/>
  <c r="K123" i="31"/>
  <c r="J123" i="31"/>
  <c r="I123" i="31"/>
  <c r="H123" i="31"/>
  <c r="G123" i="31"/>
  <c r="AE122" i="31"/>
  <c r="AD122" i="31"/>
  <c r="AC122" i="31"/>
  <c r="AB122" i="31"/>
  <c r="AA122" i="31"/>
  <c r="Z122" i="31"/>
  <c r="Y122" i="31"/>
  <c r="X122" i="31"/>
  <c r="W122" i="31"/>
  <c r="V122" i="31"/>
  <c r="U122" i="31"/>
  <c r="T122" i="31"/>
  <c r="S122" i="31"/>
  <c r="R122" i="31"/>
  <c r="Q122" i="31"/>
  <c r="P122" i="31"/>
  <c r="O122" i="31"/>
  <c r="N122" i="31"/>
  <c r="M122" i="31"/>
  <c r="L122" i="31"/>
  <c r="K122" i="31"/>
  <c r="J122" i="31"/>
  <c r="I122" i="31"/>
  <c r="H122" i="31"/>
  <c r="G122" i="31"/>
  <c r="AE121" i="31"/>
  <c r="AD121" i="31"/>
  <c r="AC121" i="31"/>
  <c r="AB121" i="31"/>
  <c r="AA121" i="31"/>
  <c r="Z121" i="31"/>
  <c r="Y121" i="31"/>
  <c r="X121" i="31"/>
  <c r="W121" i="31"/>
  <c r="V121" i="31"/>
  <c r="U121" i="31"/>
  <c r="T121" i="31"/>
  <c r="S121" i="31"/>
  <c r="R121" i="31"/>
  <c r="Q121" i="31"/>
  <c r="P121" i="31"/>
  <c r="O121" i="31"/>
  <c r="N121" i="31"/>
  <c r="M121" i="31"/>
  <c r="L121" i="31"/>
  <c r="K121" i="31"/>
  <c r="J121" i="31"/>
  <c r="I121" i="31"/>
  <c r="H121" i="31"/>
  <c r="G121" i="31"/>
  <c r="AE120" i="31"/>
  <c r="AD120" i="31"/>
  <c r="AC120" i="31"/>
  <c r="AB120" i="31"/>
  <c r="AA120" i="31"/>
  <c r="Z120" i="31"/>
  <c r="Y120" i="31"/>
  <c r="X120" i="31"/>
  <c r="W120" i="31"/>
  <c r="V120" i="31"/>
  <c r="U120" i="31"/>
  <c r="T120" i="31"/>
  <c r="S120" i="31"/>
  <c r="R120" i="31"/>
  <c r="Q120" i="31"/>
  <c r="P120" i="31"/>
  <c r="O120" i="31"/>
  <c r="N120" i="31"/>
  <c r="M120" i="31"/>
  <c r="L120" i="31"/>
  <c r="K120" i="31"/>
  <c r="J120" i="31"/>
  <c r="I120" i="31"/>
  <c r="H120" i="31"/>
  <c r="G120" i="31"/>
  <c r="AE119" i="31"/>
  <c r="AD119" i="31"/>
  <c r="AC119" i="31"/>
  <c r="AB119" i="31"/>
  <c r="AA119" i="31"/>
  <c r="Z119" i="31"/>
  <c r="Y119" i="31"/>
  <c r="X119" i="31"/>
  <c r="W119" i="31"/>
  <c r="V119" i="31"/>
  <c r="U119" i="31"/>
  <c r="T119" i="31"/>
  <c r="S119" i="31"/>
  <c r="R119" i="31"/>
  <c r="Q119" i="31"/>
  <c r="P119" i="31"/>
  <c r="O119" i="31"/>
  <c r="N119" i="31"/>
  <c r="M119" i="31"/>
  <c r="L119" i="31"/>
  <c r="K119" i="31"/>
  <c r="J119" i="31"/>
  <c r="I119" i="31"/>
  <c r="H119" i="31"/>
  <c r="G119" i="31"/>
  <c r="AE118" i="31"/>
  <c r="AD118" i="31"/>
  <c r="AC118" i="31"/>
  <c r="AB118" i="31"/>
  <c r="AA118" i="31"/>
  <c r="Z118" i="31"/>
  <c r="Y118" i="31"/>
  <c r="X118" i="31"/>
  <c r="W118" i="31"/>
  <c r="V118" i="31"/>
  <c r="U118" i="31"/>
  <c r="T118" i="31"/>
  <c r="S118" i="31"/>
  <c r="R118" i="31"/>
  <c r="Q118" i="31"/>
  <c r="P118" i="31"/>
  <c r="O118" i="31"/>
  <c r="N118" i="31"/>
  <c r="M118" i="31"/>
  <c r="L118" i="31"/>
  <c r="K118" i="31"/>
  <c r="J118" i="31"/>
  <c r="I118" i="31"/>
  <c r="H118" i="31"/>
  <c r="G118" i="31"/>
  <c r="AE117" i="31"/>
  <c r="AD117" i="31"/>
  <c r="AC117" i="31"/>
  <c r="AB117" i="3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AE116" i="31"/>
  <c r="AD116" i="31"/>
  <c r="AC116" i="31"/>
  <c r="AB116" i="31"/>
  <c r="AA116" i="31"/>
  <c r="Z116" i="31"/>
  <c r="Y116" i="31"/>
  <c r="X116" i="31"/>
  <c r="W116" i="31"/>
  <c r="V116" i="31"/>
  <c r="U116" i="31"/>
  <c r="T116" i="31"/>
  <c r="S116" i="31"/>
  <c r="R116" i="31"/>
  <c r="Q116" i="31"/>
  <c r="P116" i="31"/>
  <c r="O116" i="31"/>
  <c r="N116" i="31"/>
  <c r="M116" i="31"/>
  <c r="L116" i="31"/>
  <c r="K116" i="31"/>
  <c r="J116" i="31"/>
  <c r="I116" i="31"/>
  <c r="H116" i="31"/>
  <c r="G116" i="31"/>
  <c r="EB118" i="31"/>
  <c r="EA118" i="31"/>
  <c r="DZ118" i="31"/>
  <c r="DY118" i="31"/>
  <c r="DX118" i="31"/>
  <c r="DW118" i="31"/>
  <c r="DV118" i="31"/>
  <c r="DU118" i="31"/>
  <c r="DT118" i="31"/>
  <c r="DS118" i="31"/>
  <c r="DR118" i="31"/>
  <c r="DQ118" i="31"/>
  <c r="DP118" i="31"/>
  <c r="DO118" i="31"/>
  <c r="DN118" i="31"/>
  <c r="DM118" i="31"/>
  <c r="DL118" i="31"/>
  <c r="DK118" i="31"/>
  <c r="DJ118" i="31"/>
  <c r="DI118" i="31"/>
  <c r="DH118" i="31"/>
  <c r="DG118" i="31"/>
  <c r="DF118" i="31"/>
  <c r="DE118" i="31"/>
  <c r="EB117" i="31"/>
  <c r="EA117" i="31"/>
  <c r="DZ117" i="31"/>
  <c r="DY117" i="31"/>
  <c r="DX117" i="31"/>
  <c r="DW117" i="31"/>
  <c r="DV117" i="31"/>
  <c r="DU117" i="31"/>
  <c r="DT117" i="31"/>
  <c r="DS117" i="31"/>
  <c r="DR117" i="31"/>
  <c r="DQ117" i="31"/>
  <c r="DP117" i="31"/>
  <c r="DO117" i="31"/>
  <c r="DN117" i="31"/>
  <c r="DM117" i="31"/>
  <c r="DL117" i="31"/>
  <c r="DK117" i="31"/>
  <c r="DJ117" i="31"/>
  <c r="DI117" i="31"/>
  <c r="DH117" i="31"/>
  <c r="DG117" i="31"/>
  <c r="DF117" i="31"/>
  <c r="DE117" i="31"/>
  <c r="EB116" i="31"/>
  <c r="EA116" i="31"/>
  <c r="DZ116" i="31"/>
  <c r="DY116" i="31"/>
  <c r="DX116" i="31"/>
  <c r="DW116" i="31"/>
  <c r="DV116" i="31"/>
  <c r="DU116" i="31"/>
  <c r="DT116" i="31"/>
  <c r="DS116" i="31"/>
  <c r="DR116" i="31"/>
  <c r="DQ116" i="31"/>
  <c r="DP116" i="31"/>
  <c r="DO116" i="31"/>
  <c r="DN116" i="31"/>
  <c r="DM116" i="31"/>
  <c r="DL116" i="31"/>
  <c r="DK116" i="31"/>
  <c r="DJ116" i="31"/>
  <c r="DI116" i="31"/>
  <c r="DH116" i="31"/>
  <c r="DG116" i="31"/>
  <c r="DF116" i="31"/>
  <c r="DE116" i="31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EB105" i="31"/>
  <c r="EA105" i="31"/>
  <c r="DZ105" i="31"/>
  <c r="DY105" i="31"/>
  <c r="DX105" i="31"/>
  <c r="DW105" i="31"/>
  <c r="DV105" i="31"/>
  <c r="DU105" i="31"/>
  <c r="DT105" i="31"/>
  <c r="DS105" i="31"/>
  <c r="DR105" i="31"/>
  <c r="DQ105" i="31"/>
  <c r="DP105" i="31"/>
  <c r="DO105" i="31"/>
  <c r="DN105" i="31"/>
  <c r="DM105" i="31"/>
  <c r="DL105" i="31"/>
  <c r="DK105" i="31"/>
  <c r="DJ105" i="31"/>
  <c r="DI105" i="31"/>
  <c r="DH105" i="31"/>
  <c r="DG105" i="31"/>
  <c r="DF105" i="31"/>
  <c r="DE105" i="31"/>
  <c r="EB104" i="31"/>
  <c r="EA104" i="31"/>
  <c r="DZ104" i="31"/>
  <c r="DY104" i="31"/>
  <c r="DX104" i="31"/>
  <c r="DW104" i="31"/>
  <c r="DV104" i="31"/>
  <c r="DU104" i="31"/>
  <c r="DT104" i="31"/>
  <c r="DS104" i="31"/>
  <c r="DR104" i="31"/>
  <c r="DQ104" i="31"/>
  <c r="DP104" i="31"/>
  <c r="DO104" i="31"/>
  <c r="DN104" i="31"/>
  <c r="DM104" i="31"/>
  <c r="DL104" i="31"/>
  <c r="DK104" i="31"/>
  <c r="DJ104" i="31"/>
  <c r="DI104" i="31"/>
  <c r="DH104" i="31"/>
  <c r="DG104" i="31"/>
  <c r="DF104" i="31"/>
  <c r="DE104" i="31"/>
  <c r="EB103" i="31"/>
  <c r="EA103" i="31"/>
  <c r="DZ103" i="31"/>
  <c r="DY103" i="31"/>
  <c r="DX103" i="31"/>
  <c r="DW103" i="31"/>
  <c r="DV103" i="31"/>
  <c r="DU103" i="31"/>
  <c r="DT103" i="31"/>
  <c r="DS103" i="31"/>
  <c r="DR103" i="31"/>
  <c r="DQ103" i="31"/>
  <c r="DP103" i="31"/>
  <c r="DO103" i="31"/>
  <c r="DN103" i="31"/>
  <c r="DM103" i="31"/>
  <c r="DL103" i="31"/>
  <c r="DK103" i="31"/>
  <c r="DJ103" i="31"/>
  <c r="DI103" i="31"/>
  <c r="DH103" i="31"/>
  <c r="DG103" i="31"/>
  <c r="DF103" i="31"/>
  <c r="DE103" i="31"/>
  <c r="EB102" i="31"/>
  <c r="EA102" i="31"/>
  <c r="DZ102" i="31"/>
  <c r="DY102" i="31"/>
  <c r="DX102" i="31"/>
  <c r="DW102" i="31"/>
  <c r="DV102" i="31"/>
  <c r="DU102" i="31"/>
  <c r="DT102" i="31"/>
  <c r="DS102" i="31"/>
  <c r="DR102" i="31"/>
  <c r="DQ102" i="31"/>
  <c r="DP102" i="31"/>
  <c r="DO102" i="31"/>
  <c r="DN102" i="31"/>
  <c r="DM102" i="31"/>
  <c r="DL102" i="31"/>
  <c r="DK102" i="31"/>
  <c r="DJ102" i="31"/>
  <c r="DI102" i="31"/>
  <c r="DH102" i="31"/>
  <c r="DG102" i="31"/>
  <c r="DF102" i="31"/>
  <c r="DE102" i="31"/>
  <c r="EB101" i="31"/>
  <c r="EA101" i="31"/>
  <c r="DZ101" i="31"/>
  <c r="DY101" i="31"/>
  <c r="DX101" i="31"/>
  <c r="DW101" i="31"/>
  <c r="DV101" i="31"/>
  <c r="DU101" i="31"/>
  <c r="DT101" i="31"/>
  <c r="DS101" i="31"/>
  <c r="DR101" i="31"/>
  <c r="DQ101" i="31"/>
  <c r="DP101" i="31"/>
  <c r="DO101" i="31"/>
  <c r="DN101" i="31"/>
  <c r="DM101" i="31"/>
  <c r="DL101" i="31"/>
  <c r="DK101" i="31"/>
  <c r="DJ101" i="31"/>
  <c r="DI101" i="31"/>
  <c r="DH101" i="31"/>
  <c r="DG101" i="31"/>
  <c r="DF101" i="31"/>
  <c r="DE101" i="31"/>
  <c r="EB100" i="31"/>
  <c r="EA100" i="31"/>
  <c r="DZ100" i="31"/>
  <c r="DY100" i="31"/>
  <c r="DX100" i="31"/>
  <c r="DW100" i="31"/>
  <c r="DV100" i="31"/>
  <c r="DU100" i="31"/>
  <c r="DT100" i="31"/>
  <c r="DS100" i="31"/>
  <c r="DR100" i="31"/>
  <c r="DQ100" i="31"/>
  <c r="DP100" i="31"/>
  <c r="DO100" i="31"/>
  <c r="DN100" i="31"/>
  <c r="DM100" i="31"/>
  <c r="DL100" i="31"/>
  <c r="DK100" i="31"/>
  <c r="DJ100" i="31"/>
  <c r="DI100" i="31"/>
  <c r="DH100" i="31"/>
  <c r="DG100" i="31"/>
  <c r="DF100" i="31"/>
  <c r="DE100" i="31"/>
  <c r="EB99" i="31"/>
  <c r="EA99" i="31"/>
  <c r="DZ99" i="31"/>
  <c r="DY99" i="31"/>
  <c r="DX99" i="31"/>
  <c r="DW99" i="31"/>
  <c r="DV99" i="31"/>
  <c r="DU99" i="31"/>
  <c r="DT99" i="31"/>
  <c r="DS99" i="31"/>
  <c r="DR99" i="31"/>
  <c r="DQ99" i="31"/>
  <c r="DP99" i="31"/>
  <c r="DO99" i="31"/>
  <c r="DN99" i="31"/>
  <c r="DM99" i="31"/>
  <c r="DL99" i="31"/>
  <c r="DK99" i="31"/>
  <c r="DJ99" i="31"/>
  <c r="DI99" i="31"/>
  <c r="DH99" i="31"/>
  <c r="DG99" i="31"/>
  <c r="DF99" i="31"/>
  <c r="DE99" i="3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69" i="31"/>
  <c r="DC73" i="31"/>
  <c r="DC72" i="31"/>
  <c r="DC71" i="31"/>
  <c r="DC70" i="31"/>
  <c r="DC69" i="31"/>
  <c r="DC68" i="31"/>
  <c r="DC67" i="31"/>
  <c r="DC66" i="31"/>
  <c r="DC65" i="31"/>
  <c r="DC64" i="31"/>
  <c r="DH67" i="30"/>
  <c r="DG67" i="30"/>
  <c r="DF67" i="30"/>
  <c r="DE67" i="30"/>
  <c r="DD67" i="30"/>
  <c r="DC67" i="30"/>
  <c r="DB67" i="30"/>
  <c r="DA67" i="30"/>
  <c r="CZ67" i="30"/>
  <c r="CY67" i="30"/>
  <c r="CX67" i="30"/>
  <c r="CW67" i="30"/>
  <c r="CV67" i="30"/>
  <c r="CU67" i="30"/>
  <c r="CT67" i="30"/>
  <c r="CS67" i="30"/>
  <c r="CR67" i="30"/>
  <c r="CQ67" i="30"/>
  <c r="CP67" i="30"/>
  <c r="CO67" i="30"/>
  <c r="CN67" i="30"/>
  <c r="CM67" i="30"/>
  <c r="CL67" i="30"/>
  <c r="CK67" i="30"/>
  <c r="DH66" i="30"/>
  <c r="DG66" i="30"/>
  <c r="DF66" i="30"/>
  <c r="DE66" i="30"/>
  <c r="DD66" i="30"/>
  <c r="DC66" i="30"/>
  <c r="DB66" i="30"/>
  <c r="DA66" i="30"/>
  <c r="CZ66" i="30"/>
  <c r="CY66" i="30"/>
  <c r="CX66" i="30"/>
  <c r="CW66" i="30"/>
  <c r="CV66" i="30"/>
  <c r="CU66" i="30"/>
  <c r="CT66" i="30"/>
  <c r="CS66" i="30"/>
  <c r="CR66" i="30"/>
  <c r="CQ66" i="30"/>
  <c r="CP66" i="30"/>
  <c r="CO66" i="30"/>
  <c r="CN66" i="30"/>
  <c r="CM66" i="30"/>
  <c r="CL66" i="30"/>
  <c r="CK66" i="30"/>
  <c r="DH65" i="30"/>
  <c r="DG65" i="30"/>
  <c r="DF65" i="30"/>
  <c r="DE65" i="30"/>
  <c r="DD65" i="30"/>
  <c r="DC65" i="30"/>
  <c r="DB65" i="30"/>
  <c r="DA65" i="30"/>
  <c r="CZ65" i="30"/>
  <c r="CY65" i="30"/>
  <c r="CX65" i="30"/>
  <c r="CW65" i="30"/>
  <c r="CV65" i="30"/>
  <c r="CU65" i="30"/>
  <c r="CT65" i="30"/>
  <c r="CS65" i="30"/>
  <c r="CR65" i="30"/>
  <c r="CQ65" i="30"/>
  <c r="CP65" i="30"/>
  <c r="CO65" i="30"/>
  <c r="CN65" i="30"/>
  <c r="CM65" i="30"/>
  <c r="CL65" i="30"/>
  <c r="CK65" i="30"/>
  <c r="DH64" i="30"/>
  <c r="DG64" i="30"/>
  <c r="DF64" i="30"/>
  <c r="DE64" i="30"/>
  <c r="DD64" i="30"/>
  <c r="DC64" i="30"/>
  <c r="DB64" i="30"/>
  <c r="DA64" i="30"/>
  <c r="CZ64" i="30"/>
  <c r="CY64" i="30"/>
  <c r="CX64" i="30"/>
  <c r="CW64" i="30"/>
  <c r="CV64" i="30"/>
  <c r="CU64" i="30"/>
  <c r="CT64" i="30"/>
  <c r="CS64" i="30"/>
  <c r="CR64" i="30"/>
  <c r="CQ64" i="30"/>
  <c r="CP64" i="30"/>
  <c r="CO64" i="30"/>
  <c r="CN64" i="30"/>
  <c r="CM64" i="30"/>
  <c r="CL64" i="30"/>
  <c r="CK64" i="30"/>
  <c r="DH63" i="30"/>
  <c r="DG63" i="30"/>
  <c r="DF63" i="30"/>
  <c r="DE63" i="30"/>
  <c r="DD63" i="30"/>
  <c r="DC63" i="30"/>
  <c r="DB63" i="30"/>
  <c r="DA63" i="30"/>
  <c r="CZ63" i="30"/>
  <c r="CY63" i="30"/>
  <c r="CX63" i="30"/>
  <c r="CW63" i="30"/>
  <c r="CV63" i="30"/>
  <c r="CU63" i="30"/>
  <c r="CT63" i="30"/>
  <c r="CS63" i="30"/>
  <c r="CR63" i="30"/>
  <c r="CQ63" i="30"/>
  <c r="CP63" i="30"/>
  <c r="CO63" i="30"/>
  <c r="CN63" i="30"/>
  <c r="CM63" i="30"/>
  <c r="CL63" i="30"/>
  <c r="CK63" i="30"/>
  <c r="DH62" i="30"/>
  <c r="DG62" i="30"/>
  <c r="DF62" i="30"/>
  <c r="DE62" i="30"/>
  <c r="DD62" i="30"/>
  <c r="DC62" i="30"/>
  <c r="DB62" i="30"/>
  <c r="DA62" i="30"/>
  <c r="CZ62" i="30"/>
  <c r="CY62" i="30"/>
  <c r="CX62" i="30"/>
  <c r="CW62" i="30"/>
  <c r="CV62" i="30"/>
  <c r="CU62" i="30"/>
  <c r="CT62" i="30"/>
  <c r="CS62" i="30"/>
  <c r="CR62" i="30"/>
  <c r="CQ62" i="30"/>
  <c r="CP62" i="30"/>
  <c r="CO62" i="30"/>
  <c r="CN62" i="30"/>
  <c r="CM62" i="30"/>
  <c r="CL62" i="30"/>
  <c r="CK62" i="30"/>
  <c r="DH61" i="30"/>
  <c r="DG61" i="30"/>
  <c r="DF61" i="30"/>
  <c r="DE61" i="30"/>
  <c r="DD61" i="30"/>
  <c r="DC61" i="30"/>
  <c r="DB61" i="30"/>
  <c r="DA61" i="30"/>
  <c r="CZ61" i="30"/>
  <c r="CY61" i="30"/>
  <c r="CX61" i="30"/>
  <c r="CW61" i="30"/>
  <c r="CV61" i="30"/>
  <c r="CU61" i="30"/>
  <c r="CT61" i="30"/>
  <c r="CS61" i="30"/>
  <c r="CR61" i="30"/>
  <c r="CQ61" i="30"/>
  <c r="CP61" i="30"/>
  <c r="CO61" i="30"/>
  <c r="CN61" i="30"/>
  <c r="CM61" i="30"/>
  <c r="CL61" i="30"/>
  <c r="CK61" i="30"/>
  <c r="DH60" i="30"/>
  <c r="DG60" i="30"/>
  <c r="DF60" i="30"/>
  <c r="DE60" i="30"/>
  <c r="DD60" i="30"/>
  <c r="DC60" i="30"/>
  <c r="DB60" i="30"/>
  <c r="DA60" i="30"/>
  <c r="CZ60" i="30"/>
  <c r="CY60" i="30"/>
  <c r="CX60" i="30"/>
  <c r="CW60" i="30"/>
  <c r="CV60" i="30"/>
  <c r="CU60" i="30"/>
  <c r="CT60" i="30"/>
  <c r="CS60" i="30"/>
  <c r="CR60" i="30"/>
  <c r="CQ60" i="30"/>
  <c r="CP60" i="30"/>
  <c r="CO60" i="30"/>
  <c r="CN60" i="30"/>
  <c r="CM60" i="30"/>
  <c r="CL60" i="30"/>
  <c r="CK60" i="30"/>
  <c r="DH59" i="30"/>
  <c r="DG59" i="30"/>
  <c r="DF59" i="30"/>
  <c r="DE59" i="30"/>
  <c r="DD59" i="30"/>
  <c r="DC59" i="30"/>
  <c r="DB59" i="30"/>
  <c r="DA59" i="30"/>
  <c r="CZ59" i="30"/>
  <c r="CY59" i="30"/>
  <c r="CX59" i="30"/>
  <c r="CW59" i="30"/>
  <c r="CV59" i="30"/>
  <c r="CU59" i="30"/>
  <c r="CT59" i="30"/>
  <c r="CS59" i="30"/>
  <c r="CR59" i="30"/>
  <c r="CQ59" i="30"/>
  <c r="CP59" i="30"/>
  <c r="CO59" i="30"/>
  <c r="CN59" i="30"/>
  <c r="CM59" i="30"/>
  <c r="CL59" i="30"/>
  <c r="CK59" i="30"/>
  <c r="DH58" i="30"/>
  <c r="DG58" i="30"/>
  <c r="DF58" i="30"/>
  <c r="DE58" i="30"/>
  <c r="DD58" i="30"/>
  <c r="DC58" i="30"/>
  <c r="DB58" i="30"/>
  <c r="DA58" i="30"/>
  <c r="CZ58" i="30"/>
  <c r="CY58" i="30"/>
  <c r="CX58" i="30"/>
  <c r="CW58" i="30"/>
  <c r="CV58" i="30"/>
  <c r="CU58" i="30"/>
  <c r="CT58" i="30"/>
  <c r="CS58" i="30"/>
  <c r="CR58" i="30"/>
  <c r="CQ58" i="30"/>
  <c r="CP58" i="30"/>
  <c r="CO58" i="30"/>
  <c r="CN58" i="30"/>
  <c r="CM58" i="30"/>
  <c r="CL58" i="30"/>
  <c r="CK58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DD56" i="30"/>
  <c r="DC56" i="30"/>
  <c r="DB56" i="30"/>
  <c r="DA56" i="30"/>
  <c r="CZ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DD55" i="30"/>
  <c r="DC55" i="30"/>
  <c r="DB55" i="30"/>
  <c r="DA55" i="30"/>
  <c r="CZ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DD54" i="30"/>
  <c r="DC54" i="30"/>
  <c r="DB54" i="30"/>
  <c r="DA54" i="30"/>
  <c r="CZ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DD53" i="30"/>
  <c r="DC53" i="30"/>
  <c r="DB53" i="30"/>
  <c r="DA53" i="30"/>
  <c r="CZ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DD52" i="30"/>
  <c r="DC52" i="30"/>
  <c r="DB52" i="30"/>
  <c r="DA52" i="30"/>
  <c r="CZ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DD51" i="30"/>
  <c r="DC51" i="30"/>
  <c r="DB51" i="30"/>
  <c r="DA51" i="30"/>
  <c r="CZ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DD50" i="30"/>
  <c r="DC50" i="30"/>
  <c r="DB50" i="30"/>
  <c r="DA50" i="30"/>
  <c r="CZ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DD49" i="30"/>
  <c r="DC49" i="30"/>
  <c r="DB49" i="30"/>
  <c r="DA49" i="30"/>
  <c r="CZ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DD48" i="30"/>
  <c r="DC48" i="30"/>
  <c r="DB48" i="30"/>
  <c r="DA48" i="30"/>
  <c r="CZ48" i="30"/>
  <c r="DH47" i="30"/>
  <c r="DG47" i="30"/>
  <c r="DF47" i="30"/>
  <c r="DE47" i="30"/>
  <c r="DD47" i="30"/>
  <c r="DC47" i="30"/>
  <c r="DB47" i="30"/>
  <c r="DA47" i="30"/>
  <c r="CZ47" i="30"/>
  <c r="CY47" i="30"/>
  <c r="CX47" i="30"/>
  <c r="CW47" i="30"/>
  <c r="CV47" i="30"/>
  <c r="CU47" i="30"/>
  <c r="CT47" i="30"/>
  <c r="CS47" i="30"/>
  <c r="CR47" i="30"/>
  <c r="CQ47" i="30"/>
  <c r="CP47" i="30"/>
  <c r="CO47" i="30"/>
  <c r="CN47" i="30"/>
  <c r="CM47" i="30"/>
  <c r="CL47" i="30"/>
  <c r="CK47" i="30"/>
  <c r="CJ4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EB46" i="29"/>
  <c r="EA46" i="29"/>
  <c r="DZ46" i="29"/>
  <c r="DY46" i="29"/>
  <c r="DX46" i="29"/>
  <c r="DW46" i="29"/>
  <c r="DV46" i="29"/>
  <c r="DU46" i="29"/>
  <c r="DT46" i="29"/>
  <c r="DS46" i="29"/>
  <c r="DR46" i="29"/>
  <c r="DQ46" i="29"/>
  <c r="DP46" i="29"/>
  <c r="DO46" i="29"/>
  <c r="DN46" i="29"/>
  <c r="DM46" i="29"/>
  <c r="DL46" i="29"/>
  <c r="DK46" i="29"/>
  <c r="DJ46" i="29"/>
  <c r="DI46" i="29"/>
  <c r="DH46" i="29"/>
  <c r="DG46" i="29"/>
  <c r="DF46" i="29"/>
  <c r="DE46" i="29"/>
  <c r="EB45" i="29"/>
  <c r="EA45" i="29"/>
  <c r="DZ45" i="29"/>
  <c r="DY45" i="29"/>
  <c r="DX45" i="29"/>
  <c r="DW45" i="29"/>
  <c r="DV45" i="29"/>
  <c r="DU45" i="29"/>
  <c r="DT45" i="29"/>
  <c r="DS45" i="29"/>
  <c r="DR45" i="29"/>
  <c r="DQ45" i="29"/>
  <c r="DP45" i="29"/>
  <c r="DO45" i="29"/>
  <c r="DN45" i="29"/>
  <c r="DM45" i="29"/>
  <c r="DL45" i="29"/>
  <c r="DK45" i="29"/>
  <c r="DJ45" i="29"/>
  <c r="DI45" i="29"/>
  <c r="DH45" i="29"/>
  <c r="DG45" i="29"/>
  <c r="DF45" i="29"/>
  <c r="DE45" i="29"/>
  <c r="EB44" i="29"/>
  <c r="EA44" i="29"/>
  <c r="DZ44" i="29"/>
  <c r="DY44" i="29"/>
  <c r="DX44" i="29"/>
  <c r="DW44" i="29"/>
  <c r="DV44" i="29"/>
  <c r="DU44" i="29"/>
  <c r="DT44" i="29"/>
  <c r="DS44" i="29"/>
  <c r="DR44" i="29"/>
  <c r="DQ44" i="29"/>
  <c r="DP44" i="29"/>
  <c r="DO44" i="29"/>
  <c r="DN44" i="29"/>
  <c r="DM44" i="29"/>
  <c r="DL44" i="29"/>
  <c r="DK44" i="29"/>
  <c r="DJ44" i="29"/>
  <c r="DI44" i="29"/>
  <c r="DH44" i="29"/>
  <c r="DG44" i="29"/>
  <c r="DF44" i="29"/>
  <c r="DE44" i="29"/>
  <c r="EB43" i="29"/>
  <c r="EA43" i="29"/>
  <c r="DZ43" i="29"/>
  <c r="DY43" i="29"/>
  <c r="DX43" i="29"/>
  <c r="DW43" i="29"/>
  <c r="DV43" i="29"/>
  <c r="DU43" i="29"/>
  <c r="DT43" i="29"/>
  <c r="DS43" i="29"/>
  <c r="DR43" i="29"/>
  <c r="DQ43" i="29"/>
  <c r="DP43" i="29"/>
  <c r="DO43" i="29"/>
  <c r="DN43" i="29"/>
  <c r="DM43" i="29"/>
  <c r="DL43" i="29"/>
  <c r="DK43" i="29"/>
  <c r="DJ43" i="29"/>
  <c r="DI43" i="29"/>
  <c r="DH43" i="29"/>
  <c r="DG43" i="29"/>
  <c r="DF43" i="29"/>
  <c r="DE43" i="29"/>
  <c r="EB42" i="29"/>
  <c r="EA42" i="29"/>
  <c r="DZ42" i="29"/>
  <c r="DY42" i="29"/>
  <c r="DX42" i="29"/>
  <c r="DW42" i="29"/>
  <c r="DV42" i="29"/>
  <c r="DU42" i="29"/>
  <c r="DT42" i="29"/>
  <c r="DS42" i="29"/>
  <c r="DR42" i="29"/>
  <c r="DQ42" i="29"/>
  <c r="DP42" i="29"/>
  <c r="DO42" i="29"/>
  <c r="DN42" i="29"/>
  <c r="DM42" i="29"/>
  <c r="DL42" i="29"/>
  <c r="DK42" i="29"/>
  <c r="DJ42" i="29"/>
  <c r="DI42" i="29"/>
  <c r="DH42" i="29"/>
  <c r="DG42" i="29"/>
  <c r="DF42" i="29"/>
  <c r="DE42" i="29"/>
  <c r="EB41" i="29"/>
  <c r="EA41" i="29"/>
  <c r="DZ41" i="29"/>
  <c r="DY41" i="29"/>
  <c r="DX41" i="29"/>
  <c r="DW41" i="29"/>
  <c r="DV41" i="29"/>
  <c r="DU41" i="29"/>
  <c r="DT41" i="29"/>
  <c r="DS41" i="29"/>
  <c r="DR41" i="29"/>
  <c r="DQ41" i="29"/>
  <c r="DP41" i="29"/>
  <c r="DO41" i="29"/>
  <c r="DN41" i="29"/>
  <c r="DM41" i="29"/>
  <c r="DL41" i="29"/>
  <c r="DK41" i="29"/>
  <c r="DJ41" i="29"/>
  <c r="DI41" i="29"/>
  <c r="DH41" i="29"/>
  <c r="DG41" i="29"/>
  <c r="DF41" i="29"/>
  <c r="DE41" i="29"/>
  <c r="EB40" i="29"/>
  <c r="EA40" i="29"/>
  <c r="DZ40" i="29"/>
  <c r="DY40" i="29"/>
  <c r="DX40" i="29"/>
  <c r="DW40" i="29"/>
  <c r="DV40" i="29"/>
  <c r="DU40" i="29"/>
  <c r="DT40" i="29"/>
  <c r="DS40" i="29"/>
  <c r="DR40" i="29"/>
  <c r="DQ40" i="29"/>
  <c r="DP40" i="29"/>
  <c r="DO40" i="29"/>
  <c r="DN40" i="29"/>
  <c r="DM40" i="29"/>
  <c r="DL40" i="29"/>
  <c r="DK40" i="29"/>
  <c r="DJ40" i="29"/>
  <c r="DI40" i="29"/>
  <c r="DH40" i="29"/>
  <c r="DG40" i="29"/>
  <c r="DF40" i="29"/>
  <c r="DE40" i="29"/>
  <c r="EB39" i="29"/>
  <c r="EA39" i="29"/>
  <c r="DZ39" i="29"/>
  <c r="DY39" i="29"/>
  <c r="DX39" i="29"/>
  <c r="DW39" i="29"/>
  <c r="DV39" i="29"/>
  <c r="DU39" i="29"/>
  <c r="DT39" i="29"/>
  <c r="DS39" i="29"/>
  <c r="DR39" i="29"/>
  <c r="DQ39" i="29"/>
  <c r="DP39" i="29"/>
  <c r="DO39" i="29"/>
  <c r="DN39" i="29"/>
  <c r="DM39" i="29"/>
  <c r="DL39" i="29"/>
  <c r="DK39" i="29"/>
  <c r="DJ39" i="29"/>
  <c r="DI39" i="29"/>
  <c r="DH39" i="29"/>
  <c r="DG39" i="29"/>
  <c r="DF39" i="29"/>
  <c r="DE39" i="29"/>
  <c r="EB38" i="29"/>
  <c r="EA38" i="29"/>
  <c r="DZ38" i="29"/>
  <c r="DY38" i="29"/>
  <c r="DX38" i="29"/>
  <c r="DW38" i="29"/>
  <c r="DV38" i="29"/>
  <c r="DU38" i="29"/>
  <c r="DT38" i="29"/>
  <c r="DS38" i="29"/>
  <c r="DR38" i="29"/>
  <c r="DQ38" i="29"/>
  <c r="DP38" i="29"/>
  <c r="DO38" i="29"/>
  <c r="DN38" i="29"/>
  <c r="DM38" i="29"/>
  <c r="DL38" i="29"/>
  <c r="DK38" i="29"/>
  <c r="DJ38" i="29"/>
  <c r="DI38" i="29"/>
  <c r="DH38" i="29"/>
  <c r="DG38" i="29"/>
  <c r="DF38" i="29"/>
  <c r="DE38" i="29"/>
  <c r="EB37" i="29"/>
  <c r="EA37" i="29"/>
  <c r="DZ37" i="29"/>
  <c r="DY37" i="29"/>
  <c r="DX37" i="29"/>
  <c r="DW37" i="29"/>
  <c r="DV37" i="29"/>
  <c r="DU37" i="29"/>
  <c r="DT37" i="29"/>
  <c r="DS37" i="29"/>
  <c r="DR37" i="29"/>
  <c r="DQ37" i="29"/>
  <c r="DP37" i="29"/>
  <c r="DO37" i="29"/>
  <c r="DN37" i="29"/>
  <c r="DM37" i="29"/>
  <c r="DL37" i="29"/>
  <c r="DK37" i="29"/>
  <c r="DJ37" i="29"/>
  <c r="DI37" i="29"/>
  <c r="DH37" i="29"/>
  <c r="DG37" i="29"/>
  <c r="DF37" i="29"/>
  <c r="DE37" i="29"/>
  <c r="EB13" i="29"/>
  <c r="EA13" i="29"/>
  <c r="DZ13" i="29"/>
  <c r="DY13" i="29"/>
  <c r="DX13" i="29"/>
  <c r="DW13" i="29"/>
  <c r="DV13" i="29"/>
  <c r="DU13" i="29"/>
  <c r="DT13" i="29"/>
  <c r="DS13" i="29"/>
  <c r="DR13" i="29"/>
  <c r="DQ13" i="29"/>
  <c r="DP13" i="29"/>
  <c r="DO13" i="29"/>
  <c r="DN13" i="29"/>
  <c r="DM13" i="29"/>
  <c r="DL13" i="29"/>
  <c r="DK13" i="29"/>
  <c r="DJ13" i="29"/>
  <c r="DI13" i="29"/>
  <c r="DH13" i="29"/>
  <c r="DG13" i="29"/>
  <c r="DF13" i="29"/>
  <c r="DE13" i="29"/>
  <c r="DC13" i="29"/>
  <c r="EB12" i="29"/>
  <c r="EA12" i="29"/>
  <c r="DZ12" i="29"/>
  <c r="DY12" i="29"/>
  <c r="DX12" i="29"/>
  <c r="DW12" i="29"/>
  <c r="DV12" i="29"/>
  <c r="DU12" i="29"/>
  <c r="DT12" i="29"/>
  <c r="DS12" i="29"/>
  <c r="DR12" i="29"/>
  <c r="DQ12" i="29"/>
  <c r="DP12" i="29"/>
  <c r="DO12" i="29"/>
  <c r="DN12" i="29"/>
  <c r="DM12" i="29"/>
  <c r="DL12" i="29"/>
  <c r="DK12" i="29"/>
  <c r="DJ12" i="29"/>
  <c r="DI12" i="29"/>
  <c r="DH12" i="29"/>
  <c r="DG12" i="29"/>
  <c r="DF12" i="29"/>
  <c r="DE12" i="29"/>
  <c r="DC12" i="29"/>
  <c r="EB11" i="29"/>
  <c r="EA11" i="29"/>
  <c r="DZ11" i="29"/>
  <c r="DY11" i="29"/>
  <c r="DX11" i="29"/>
  <c r="DW11" i="29"/>
  <c r="DV11" i="29"/>
  <c r="DU11" i="29"/>
  <c r="DT11" i="29"/>
  <c r="DS11" i="29"/>
  <c r="DR11" i="29"/>
  <c r="DQ11" i="29"/>
  <c r="DP11" i="29"/>
  <c r="DO11" i="29"/>
  <c r="DN11" i="29"/>
  <c r="DM11" i="29"/>
  <c r="DL11" i="29"/>
  <c r="DK11" i="29"/>
  <c r="DJ11" i="29"/>
  <c r="DI11" i="29"/>
  <c r="DH11" i="29"/>
  <c r="DG11" i="29"/>
  <c r="DF11" i="29"/>
  <c r="DE11" i="29"/>
  <c r="DC11" i="29"/>
  <c r="EB10" i="29"/>
  <c r="EA10" i="29"/>
  <c r="DZ10" i="29"/>
  <c r="DY10" i="29"/>
  <c r="DX10" i="29"/>
  <c r="DW10" i="29"/>
  <c r="DV10" i="29"/>
  <c r="DU10" i="29"/>
  <c r="DT10" i="29"/>
  <c r="DS10" i="29"/>
  <c r="DR10" i="29"/>
  <c r="DQ10" i="29"/>
  <c r="DP10" i="29"/>
  <c r="DO10" i="29"/>
  <c r="DN10" i="29"/>
  <c r="DM10" i="29"/>
  <c r="DL10" i="29"/>
  <c r="DK10" i="29"/>
  <c r="DJ10" i="29"/>
  <c r="DI10" i="29"/>
  <c r="DH10" i="29"/>
  <c r="DG10" i="29"/>
  <c r="DF10" i="29"/>
  <c r="DE10" i="29"/>
  <c r="DC10" i="29"/>
  <c r="EB9" i="29"/>
  <c r="EA9" i="29"/>
  <c r="DZ9" i="29"/>
  <c r="DY9" i="29"/>
  <c r="DX9" i="29"/>
  <c r="DW9" i="29"/>
  <c r="DV9" i="29"/>
  <c r="DU9" i="29"/>
  <c r="DT9" i="29"/>
  <c r="DS9" i="29"/>
  <c r="DR9" i="29"/>
  <c r="DQ9" i="29"/>
  <c r="DP9" i="29"/>
  <c r="DO9" i="29"/>
  <c r="DN9" i="29"/>
  <c r="DM9" i="29"/>
  <c r="DL9" i="29"/>
  <c r="DK9" i="29"/>
  <c r="DJ9" i="29"/>
  <c r="DI9" i="29"/>
  <c r="DH9" i="29"/>
  <c r="DG9" i="29"/>
  <c r="DF9" i="29"/>
  <c r="DE9" i="29"/>
  <c r="DC9" i="29"/>
  <c r="EB8" i="29"/>
  <c r="EA8" i="29"/>
  <c r="DZ8" i="29"/>
  <c r="DY8" i="29"/>
  <c r="DX8" i="29"/>
  <c r="DW8" i="29"/>
  <c r="DV8" i="29"/>
  <c r="DU8" i="29"/>
  <c r="DT8" i="29"/>
  <c r="DS8" i="29"/>
  <c r="DR8" i="29"/>
  <c r="DQ8" i="29"/>
  <c r="DP8" i="29"/>
  <c r="DO8" i="29"/>
  <c r="DN8" i="29"/>
  <c r="DM8" i="29"/>
  <c r="DL8" i="29"/>
  <c r="DK8" i="29"/>
  <c r="DJ8" i="29"/>
  <c r="DI8" i="29"/>
  <c r="DH8" i="29"/>
  <c r="DG8" i="29"/>
  <c r="DF8" i="29"/>
  <c r="DE8" i="29"/>
  <c r="DC8" i="29"/>
  <c r="EB7" i="29"/>
  <c r="EA7" i="29"/>
  <c r="DZ7" i="29"/>
  <c r="DY7" i="29"/>
  <c r="DX7" i="29"/>
  <c r="DW7" i="29"/>
  <c r="DV7" i="29"/>
  <c r="DU7" i="29"/>
  <c r="DT7" i="29"/>
  <c r="DS7" i="29"/>
  <c r="DR7" i="29"/>
  <c r="DQ7" i="29"/>
  <c r="DP7" i="29"/>
  <c r="DO7" i="29"/>
  <c r="DN7" i="29"/>
  <c r="DM7" i="29"/>
  <c r="DL7" i="29"/>
  <c r="DK7" i="29"/>
  <c r="DJ7" i="29"/>
  <c r="DI7" i="29"/>
  <c r="DH7" i="29"/>
  <c r="DG7" i="29"/>
  <c r="DF7" i="29"/>
  <c r="DE7" i="29"/>
  <c r="DC7" i="29"/>
  <c r="EB6" i="29"/>
  <c r="EA6" i="29"/>
  <c r="DZ6" i="29"/>
  <c r="DY6" i="29"/>
  <c r="DX6" i="29"/>
  <c r="DW6" i="29"/>
  <c r="DV6" i="29"/>
  <c r="DU6" i="29"/>
  <c r="DT6" i="29"/>
  <c r="DS6" i="29"/>
  <c r="DR6" i="29"/>
  <c r="DQ6" i="29"/>
  <c r="DP6" i="29"/>
  <c r="DO6" i="29"/>
  <c r="DN6" i="29"/>
  <c r="DM6" i="29"/>
  <c r="DL6" i="29"/>
  <c r="DK6" i="29"/>
  <c r="DJ6" i="29"/>
  <c r="DI6" i="29"/>
  <c r="DH6" i="29"/>
  <c r="DG6" i="29"/>
  <c r="DF6" i="29"/>
  <c r="DE6" i="29"/>
  <c r="DC6" i="29"/>
  <c r="EB5" i="29"/>
  <c r="EA5" i="29"/>
  <c r="DZ5" i="29"/>
  <c r="DY5" i="29"/>
  <c r="DX5" i="29"/>
  <c r="DW5" i="29"/>
  <c r="DV5" i="29"/>
  <c r="DU5" i="29"/>
  <c r="DT5" i="29"/>
  <c r="DS5" i="29"/>
  <c r="DR5" i="29"/>
  <c r="DQ5" i="29"/>
  <c r="DP5" i="29"/>
  <c r="DO5" i="29"/>
  <c r="DN5" i="29"/>
  <c r="DM5" i="29"/>
  <c r="DL5" i="29"/>
  <c r="DK5" i="29"/>
  <c r="DJ5" i="29"/>
  <c r="DI5" i="29"/>
  <c r="DH5" i="29"/>
  <c r="DG5" i="29"/>
  <c r="DF5" i="29"/>
  <c r="DE5" i="29"/>
  <c r="DC5" i="29"/>
  <c r="EB4" i="29"/>
  <c r="EA4" i="29"/>
  <c r="DZ4" i="29"/>
  <c r="DY4" i="29"/>
  <c r="DX4" i="29"/>
  <c r="DW4" i="29"/>
  <c r="DV4" i="29"/>
  <c r="DU4" i="29"/>
  <c r="DT4" i="29"/>
  <c r="DS4" i="29"/>
  <c r="DR4" i="29"/>
  <c r="DQ4" i="29"/>
  <c r="DP4" i="29"/>
  <c r="DO4" i="29"/>
  <c r="DN4" i="29"/>
  <c r="DM4" i="29"/>
  <c r="DL4" i="29"/>
  <c r="DK4" i="29"/>
  <c r="DJ4" i="29"/>
  <c r="DI4" i="29"/>
  <c r="DH4" i="29"/>
  <c r="DG4" i="29"/>
  <c r="DF4" i="29"/>
  <c r="DE4" i="29"/>
  <c r="DC4" i="29"/>
  <c r="Z175" i="28"/>
  <c r="Y175" i="28"/>
  <c r="X175" i="28"/>
  <c r="W175" i="28"/>
  <c r="V175" i="28"/>
  <c r="U175" i="28"/>
  <c r="T175" i="28"/>
  <c r="S175" i="28"/>
  <c r="R175" i="28"/>
  <c r="Q175" i="28"/>
  <c r="P175" i="28"/>
  <c r="O175" i="28"/>
  <c r="N175" i="28"/>
  <c r="M175" i="28"/>
  <c r="L175" i="28"/>
  <c r="K175" i="28"/>
  <c r="J175" i="28"/>
  <c r="I175" i="28"/>
  <c r="H175" i="28"/>
  <c r="G175" i="28"/>
  <c r="F175" i="28"/>
  <c r="E175" i="28"/>
  <c r="D175" i="28"/>
  <c r="C175" i="28"/>
  <c r="B175" i="28"/>
  <c r="Z174" i="28"/>
  <c r="Y174" i="28"/>
  <c r="X174" i="28"/>
  <c r="W174" i="28"/>
  <c r="V174" i="28"/>
  <c r="U174" i="28"/>
  <c r="T174" i="28"/>
  <c r="S174" i="28"/>
  <c r="R174" i="28"/>
  <c r="Q174" i="28"/>
  <c r="P174" i="28"/>
  <c r="O174" i="28"/>
  <c r="N174" i="28"/>
  <c r="M174" i="28"/>
  <c r="L174" i="28"/>
  <c r="K174" i="28"/>
  <c r="J174" i="28"/>
  <c r="I174" i="28"/>
  <c r="H174" i="28"/>
  <c r="G174" i="28"/>
  <c r="F174" i="28"/>
  <c r="E174" i="28"/>
  <c r="D174" i="28"/>
  <c r="C174" i="28"/>
  <c r="B174" i="28"/>
  <c r="Z173" i="28"/>
  <c r="Y173" i="28"/>
  <c r="X173" i="28"/>
  <c r="W173" i="28"/>
  <c r="V173" i="28"/>
  <c r="U173" i="28"/>
  <c r="T173" i="28"/>
  <c r="S173" i="28"/>
  <c r="R173" i="28"/>
  <c r="Q173" i="28"/>
  <c r="P173" i="28"/>
  <c r="O173" i="28"/>
  <c r="N173" i="28"/>
  <c r="M173" i="28"/>
  <c r="L173" i="28"/>
  <c r="K173" i="28"/>
  <c r="J173" i="28"/>
  <c r="I173" i="28"/>
  <c r="H173" i="28"/>
  <c r="G173" i="28"/>
  <c r="F173" i="28"/>
  <c r="E173" i="28"/>
  <c r="D173" i="28"/>
  <c r="C173" i="28"/>
  <c r="B173" i="28"/>
  <c r="Z172" i="28"/>
  <c r="Y172" i="28"/>
  <c r="X172" i="28"/>
  <c r="W172" i="28"/>
  <c r="V172" i="28"/>
  <c r="U172" i="28"/>
  <c r="T172" i="28"/>
  <c r="S172" i="28"/>
  <c r="R172" i="28"/>
  <c r="Q172" i="28"/>
  <c r="P172" i="28"/>
  <c r="O172" i="28"/>
  <c r="N172" i="28"/>
  <c r="M172" i="28"/>
  <c r="L172" i="28"/>
  <c r="K172" i="28"/>
  <c r="J172" i="28"/>
  <c r="I172" i="28"/>
  <c r="H172" i="28"/>
  <c r="G172" i="28"/>
  <c r="F172" i="28"/>
  <c r="E172" i="28"/>
  <c r="D172" i="28"/>
  <c r="C172" i="28"/>
  <c r="B172" i="28"/>
  <c r="Z171" i="28"/>
  <c r="Y171" i="28"/>
  <c r="X171" i="28"/>
  <c r="W171" i="28"/>
  <c r="V171" i="28"/>
  <c r="U171" i="28"/>
  <c r="T171" i="28"/>
  <c r="S171" i="28"/>
  <c r="R171" i="28"/>
  <c r="Q171" i="28"/>
  <c r="P171" i="28"/>
  <c r="O171" i="28"/>
  <c r="N171" i="28"/>
  <c r="M171" i="28"/>
  <c r="L171" i="28"/>
  <c r="K171" i="28"/>
  <c r="J171" i="28"/>
  <c r="I171" i="28"/>
  <c r="H171" i="28"/>
  <c r="G171" i="28"/>
  <c r="F171" i="28"/>
  <c r="E171" i="28"/>
  <c r="D171" i="28"/>
  <c r="C171" i="28"/>
  <c r="B171" i="28"/>
  <c r="Z170" i="28"/>
  <c r="Y170" i="28"/>
  <c r="X170" i="28"/>
  <c r="W170" i="28"/>
  <c r="V170" i="28"/>
  <c r="U170" i="28"/>
  <c r="T170" i="28"/>
  <c r="S170" i="28"/>
  <c r="R170" i="28"/>
  <c r="Q170" i="28"/>
  <c r="P170" i="28"/>
  <c r="O170" i="28"/>
  <c r="N170" i="28"/>
  <c r="M170" i="28"/>
  <c r="L170" i="28"/>
  <c r="K170" i="28"/>
  <c r="J170" i="28"/>
  <c r="I170" i="28"/>
  <c r="H170" i="28"/>
  <c r="G170" i="28"/>
  <c r="F170" i="28"/>
  <c r="E170" i="28"/>
  <c r="D170" i="28"/>
  <c r="C170" i="28"/>
  <c r="B170" i="28"/>
  <c r="Z169" i="28"/>
  <c r="Y169" i="28"/>
  <c r="X169" i="28"/>
  <c r="W169" i="28"/>
  <c r="V169" i="28"/>
  <c r="U169" i="28"/>
  <c r="T169" i="28"/>
  <c r="S169" i="28"/>
  <c r="R169" i="28"/>
  <c r="Q169" i="28"/>
  <c r="P169" i="28"/>
  <c r="O169" i="28"/>
  <c r="N169" i="28"/>
  <c r="M169" i="28"/>
  <c r="L169" i="28"/>
  <c r="K169" i="28"/>
  <c r="J169" i="28"/>
  <c r="I169" i="28"/>
  <c r="H169" i="28"/>
  <c r="G169" i="28"/>
  <c r="F169" i="28"/>
  <c r="E169" i="28"/>
  <c r="D169" i="28"/>
  <c r="C169" i="28"/>
  <c r="B169" i="28"/>
  <c r="Z168" i="28"/>
  <c r="Y168" i="28"/>
  <c r="X168" i="28"/>
  <c r="W168" i="28"/>
  <c r="V168" i="28"/>
  <c r="U168" i="28"/>
  <c r="T168" i="28"/>
  <c r="S168" i="28"/>
  <c r="R168" i="28"/>
  <c r="Q168" i="28"/>
  <c r="P168" i="28"/>
  <c r="O168" i="28"/>
  <c r="N168" i="28"/>
  <c r="M168" i="28"/>
  <c r="L168" i="28"/>
  <c r="K168" i="28"/>
  <c r="J168" i="28"/>
  <c r="I168" i="28"/>
  <c r="H168" i="28"/>
  <c r="G168" i="28"/>
  <c r="F168" i="28"/>
  <c r="E168" i="28"/>
  <c r="D168" i="28"/>
  <c r="C168" i="28"/>
  <c r="B168" i="28"/>
  <c r="Z167" i="28"/>
  <c r="Y167" i="28"/>
  <c r="X167" i="28"/>
  <c r="W167" i="28"/>
  <c r="V167" i="28"/>
  <c r="U167" i="28"/>
  <c r="T167" i="28"/>
  <c r="S167" i="28"/>
  <c r="R167" i="28"/>
  <c r="Q167" i="28"/>
  <c r="P167" i="28"/>
  <c r="O167" i="28"/>
  <c r="N167" i="28"/>
  <c r="M167" i="28"/>
  <c r="L167" i="28"/>
  <c r="K167" i="28"/>
  <c r="J167" i="28"/>
  <c r="I167" i="28"/>
  <c r="H167" i="28"/>
  <c r="G167" i="28"/>
  <c r="F167" i="28"/>
  <c r="E167" i="28"/>
  <c r="D167" i="28"/>
  <c r="C167" i="28"/>
  <c r="B167" i="28"/>
  <c r="Z166" i="28"/>
  <c r="Y166" i="28"/>
  <c r="X166" i="28"/>
  <c r="W166" i="28"/>
  <c r="V166" i="28"/>
  <c r="U166" i="28"/>
  <c r="T166" i="28"/>
  <c r="S166" i="28"/>
  <c r="R166" i="28"/>
  <c r="Q166" i="28"/>
  <c r="P166" i="28"/>
  <c r="O166" i="28"/>
  <c r="N166" i="28"/>
  <c r="M166" i="28"/>
  <c r="L166" i="28"/>
  <c r="K166" i="28"/>
  <c r="J166" i="28"/>
  <c r="I166" i="28"/>
  <c r="H166" i="28"/>
  <c r="G166" i="28"/>
  <c r="F166" i="28"/>
  <c r="E166" i="28"/>
  <c r="D166" i="28"/>
  <c r="C166" i="28"/>
  <c r="B166" i="28"/>
  <c r="AA162" i="28"/>
  <c r="T162" i="28" s="1"/>
  <c r="U162" i="28"/>
  <c r="S162" i="28"/>
  <c r="R162" i="28"/>
  <c r="Q162" i="28"/>
  <c r="M162" i="28"/>
  <c r="L162" i="28"/>
  <c r="K162" i="28"/>
  <c r="J162" i="28"/>
  <c r="I162" i="28"/>
  <c r="H162" i="28"/>
  <c r="G162" i="28"/>
  <c r="E162" i="28"/>
  <c r="D162" i="28"/>
  <c r="C162" i="28"/>
  <c r="B162" i="28"/>
  <c r="AA161" i="28"/>
  <c r="V161" i="28" s="1"/>
  <c r="W161" i="28"/>
  <c r="S161" i="28"/>
  <c r="O161" i="28"/>
  <c r="M161" i="28"/>
  <c r="K161" i="28"/>
  <c r="G161" i="28"/>
  <c r="E161" i="28"/>
  <c r="C161" i="28"/>
  <c r="B161" i="28"/>
  <c r="AA160" i="28"/>
  <c r="Z160" i="28" s="1"/>
  <c r="Y160" i="28"/>
  <c r="X160" i="28"/>
  <c r="W160" i="28"/>
  <c r="V160" i="28"/>
  <c r="U160" i="28"/>
  <c r="T160" i="28"/>
  <c r="S160" i="28"/>
  <c r="Q160" i="28"/>
  <c r="P160" i="28"/>
  <c r="O160" i="28"/>
  <c r="N160" i="28"/>
  <c r="M160" i="28"/>
  <c r="L160" i="28"/>
  <c r="K160" i="28"/>
  <c r="I160" i="28"/>
  <c r="H160" i="28"/>
  <c r="G160" i="28"/>
  <c r="F160" i="28"/>
  <c r="E160" i="28"/>
  <c r="D160" i="28"/>
  <c r="C160" i="28"/>
  <c r="B160" i="28"/>
  <c r="AA159" i="28"/>
  <c r="B159" i="28"/>
  <c r="AA158" i="28"/>
  <c r="T158" i="28" s="1"/>
  <c r="Y158" i="28"/>
  <c r="U158" i="28"/>
  <c r="S158" i="28"/>
  <c r="Q158" i="28"/>
  <c r="P158" i="28"/>
  <c r="N158" i="28"/>
  <c r="M158" i="28"/>
  <c r="L158" i="28"/>
  <c r="K158" i="28"/>
  <c r="J158" i="28"/>
  <c r="I158" i="28"/>
  <c r="H158" i="28"/>
  <c r="G158" i="28"/>
  <c r="F158" i="28"/>
  <c r="E158" i="28"/>
  <c r="D158" i="28"/>
  <c r="C158" i="28"/>
  <c r="B158" i="28"/>
  <c r="AA157" i="28"/>
  <c r="V157" i="28" s="1"/>
  <c r="W157" i="28"/>
  <c r="S157" i="28"/>
  <c r="O157" i="28"/>
  <c r="K157" i="28"/>
  <c r="G157" i="28"/>
  <c r="C157" i="28"/>
  <c r="B157" i="28"/>
  <c r="AA156" i="28"/>
  <c r="X156" i="28" s="1"/>
  <c r="Z156" i="28"/>
  <c r="Y156" i="28"/>
  <c r="W156" i="28"/>
  <c r="V156" i="28"/>
  <c r="U156" i="28"/>
  <c r="T156" i="28"/>
  <c r="S156" i="28"/>
  <c r="R156" i="28"/>
  <c r="Q156" i="28"/>
  <c r="P156" i="28"/>
  <c r="O156" i="28"/>
  <c r="N156" i="28"/>
  <c r="M156" i="28"/>
  <c r="L156" i="28"/>
  <c r="K156" i="28"/>
  <c r="J156" i="28"/>
  <c r="I156" i="28"/>
  <c r="H156" i="28"/>
  <c r="G156" i="28"/>
  <c r="F156" i="28"/>
  <c r="E156" i="28"/>
  <c r="D156" i="28"/>
  <c r="C156" i="28"/>
  <c r="B156" i="28"/>
  <c r="AA155" i="28"/>
  <c r="S155" i="28" s="1"/>
  <c r="K155" i="28"/>
  <c r="B155" i="28"/>
  <c r="AA154" i="28"/>
  <c r="Z154" i="28"/>
  <c r="Y154" i="28"/>
  <c r="X154" i="28"/>
  <c r="W154" i="28"/>
  <c r="V154" i="28"/>
  <c r="U154" i="28"/>
  <c r="T154" i="28"/>
  <c r="S154" i="28"/>
  <c r="R154" i="28"/>
  <c r="Q154" i="28"/>
  <c r="P154" i="28"/>
  <c r="O154" i="28"/>
  <c r="N154" i="28"/>
  <c r="M154" i="28"/>
  <c r="L154" i="28"/>
  <c r="K154" i="28"/>
  <c r="J154" i="28"/>
  <c r="I154" i="28"/>
  <c r="H154" i="28"/>
  <c r="G154" i="28"/>
  <c r="F154" i="28"/>
  <c r="E154" i="28"/>
  <c r="D154" i="28"/>
  <c r="C154" i="28"/>
  <c r="B154" i="28"/>
  <c r="AA153" i="28"/>
  <c r="V153" i="28" s="1"/>
  <c r="W153" i="28"/>
  <c r="T153" i="28"/>
  <c r="S153" i="28"/>
  <c r="O153" i="28"/>
  <c r="L153" i="28"/>
  <c r="K153" i="28"/>
  <c r="G153" i="28"/>
  <c r="F153" i="28"/>
  <c r="D153" i="28"/>
  <c r="C153" i="28"/>
  <c r="B153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125" i="27"/>
  <c r="L124" i="27"/>
  <c r="L123" i="27"/>
  <c r="L122" i="27"/>
  <c r="L121" i="27"/>
  <c r="L120" i="27"/>
  <c r="L119" i="27"/>
  <c r="L118" i="27"/>
  <c r="L117" i="27"/>
  <c r="L116" i="27"/>
  <c r="L82" i="27"/>
  <c r="L66" i="27"/>
  <c r="EB57" i="27"/>
  <c r="EA57" i="27"/>
  <c r="DZ57" i="27"/>
  <c r="DY57" i="27"/>
  <c r="DX57" i="27"/>
  <c r="DW57" i="27"/>
  <c r="DV57" i="27"/>
  <c r="DU57" i="27"/>
  <c r="DT57" i="27"/>
  <c r="DS57" i="27"/>
  <c r="DR57" i="27"/>
  <c r="DQ57" i="27"/>
  <c r="DP57" i="27"/>
  <c r="DO57" i="27"/>
  <c r="DN57" i="27"/>
  <c r="DM57" i="27"/>
  <c r="DL57" i="27"/>
  <c r="DK57" i="27"/>
  <c r="DJ57" i="27"/>
  <c r="DI57" i="27"/>
  <c r="DH57" i="27"/>
  <c r="DG57" i="27"/>
  <c r="DF57" i="27"/>
  <c r="DE57" i="27"/>
  <c r="EB56" i="27"/>
  <c r="EA56" i="27"/>
  <c r="DZ56" i="27"/>
  <c r="DY56" i="27"/>
  <c r="DX56" i="27"/>
  <c r="DW56" i="27"/>
  <c r="DV56" i="27"/>
  <c r="DU56" i="27"/>
  <c r="DT56" i="27"/>
  <c r="DS56" i="27"/>
  <c r="DR56" i="27"/>
  <c r="DQ56" i="27"/>
  <c r="DP56" i="27"/>
  <c r="DO56" i="27"/>
  <c r="DN56" i="27"/>
  <c r="DM56" i="27"/>
  <c r="DL56" i="27"/>
  <c r="DK56" i="27"/>
  <c r="DJ56" i="27"/>
  <c r="DI56" i="27"/>
  <c r="DH56" i="27"/>
  <c r="DG56" i="27"/>
  <c r="DF56" i="27"/>
  <c r="DE56" i="27"/>
  <c r="EB55" i="27"/>
  <c r="EA55" i="27"/>
  <c r="DZ55" i="27"/>
  <c r="DY55" i="27"/>
  <c r="DX55" i="27"/>
  <c r="DW55" i="27"/>
  <c r="DV55" i="27"/>
  <c r="DU55" i="27"/>
  <c r="DT55" i="27"/>
  <c r="DS55" i="27"/>
  <c r="DR55" i="27"/>
  <c r="DQ55" i="27"/>
  <c r="DP55" i="27"/>
  <c r="DO55" i="27"/>
  <c r="DN55" i="27"/>
  <c r="DM55" i="27"/>
  <c r="DL55" i="27"/>
  <c r="DK55" i="27"/>
  <c r="DJ55" i="27"/>
  <c r="DI55" i="27"/>
  <c r="DH55" i="27"/>
  <c r="DG55" i="27"/>
  <c r="DF55" i="27"/>
  <c r="DE55" i="27"/>
  <c r="EB54" i="27"/>
  <c r="EA54" i="27"/>
  <c r="DZ54" i="27"/>
  <c r="DY54" i="27"/>
  <c r="DX54" i="27"/>
  <c r="DW54" i="27"/>
  <c r="DV54" i="27"/>
  <c r="DU54" i="27"/>
  <c r="DT54" i="27"/>
  <c r="DS54" i="27"/>
  <c r="DR54" i="27"/>
  <c r="DQ54" i="27"/>
  <c r="DP54" i="27"/>
  <c r="DO54" i="27"/>
  <c r="DN54" i="27"/>
  <c r="DM54" i="27"/>
  <c r="DL54" i="27"/>
  <c r="DK54" i="27"/>
  <c r="DJ54" i="27"/>
  <c r="DI54" i="27"/>
  <c r="DH54" i="27"/>
  <c r="DG54" i="27"/>
  <c r="DF54" i="27"/>
  <c r="DE54" i="27"/>
  <c r="EB53" i="27"/>
  <c r="EA53" i="27"/>
  <c r="DZ53" i="27"/>
  <c r="DY53" i="27"/>
  <c r="DX53" i="27"/>
  <c r="DW53" i="27"/>
  <c r="DV53" i="27"/>
  <c r="DU53" i="27"/>
  <c r="DT53" i="27"/>
  <c r="DS53" i="27"/>
  <c r="DR53" i="27"/>
  <c r="DQ53" i="27"/>
  <c r="DP53" i="27"/>
  <c r="DO53" i="27"/>
  <c r="DN53" i="27"/>
  <c r="DM53" i="27"/>
  <c r="DL53" i="27"/>
  <c r="DK53" i="27"/>
  <c r="DJ53" i="27"/>
  <c r="DI53" i="27"/>
  <c r="DH53" i="27"/>
  <c r="DG53" i="27"/>
  <c r="DF53" i="27"/>
  <c r="DE53" i="27"/>
  <c r="EB52" i="27"/>
  <c r="EA52" i="27"/>
  <c r="DZ52" i="27"/>
  <c r="DY52" i="27"/>
  <c r="DX52" i="27"/>
  <c r="DW52" i="27"/>
  <c r="DV52" i="27"/>
  <c r="DU52" i="27"/>
  <c r="DT52" i="27"/>
  <c r="DS52" i="27"/>
  <c r="DR52" i="27"/>
  <c r="DQ52" i="27"/>
  <c r="DP52" i="27"/>
  <c r="DO52" i="27"/>
  <c r="DN52" i="27"/>
  <c r="DM52" i="27"/>
  <c r="DL52" i="27"/>
  <c r="DK52" i="27"/>
  <c r="DJ52" i="27"/>
  <c r="DI52" i="27"/>
  <c r="DH52" i="27"/>
  <c r="DG52" i="27"/>
  <c r="DF52" i="27"/>
  <c r="DE52" i="27"/>
  <c r="EB51" i="27"/>
  <c r="EA51" i="27"/>
  <c r="DZ51" i="27"/>
  <c r="DY51" i="27"/>
  <c r="DX51" i="27"/>
  <c r="DW51" i="27"/>
  <c r="DV51" i="27"/>
  <c r="DU51" i="27"/>
  <c r="DT51" i="27"/>
  <c r="DS51" i="27"/>
  <c r="DR51" i="27"/>
  <c r="DQ51" i="27"/>
  <c r="DP51" i="27"/>
  <c r="DO51" i="27"/>
  <c r="DN51" i="27"/>
  <c r="DM51" i="27"/>
  <c r="DL51" i="27"/>
  <c r="DK51" i="27"/>
  <c r="DJ51" i="27"/>
  <c r="DI51" i="27"/>
  <c r="DH51" i="27"/>
  <c r="DG51" i="27"/>
  <c r="DF51" i="27"/>
  <c r="DE51" i="27"/>
  <c r="EB50" i="27"/>
  <c r="EA50" i="27"/>
  <c r="DZ50" i="27"/>
  <c r="DY50" i="27"/>
  <c r="DX50" i="27"/>
  <c r="DW50" i="27"/>
  <c r="DV50" i="27"/>
  <c r="DU50" i="27"/>
  <c r="DT50" i="27"/>
  <c r="DS50" i="27"/>
  <c r="DR50" i="27"/>
  <c r="DQ50" i="27"/>
  <c r="DP50" i="27"/>
  <c r="DO50" i="27"/>
  <c r="DN50" i="27"/>
  <c r="DM50" i="27"/>
  <c r="DL50" i="27"/>
  <c r="DK50" i="27"/>
  <c r="DJ50" i="27"/>
  <c r="DI50" i="27"/>
  <c r="DH50" i="27"/>
  <c r="DG50" i="27"/>
  <c r="DF50" i="27"/>
  <c r="DE50" i="27"/>
  <c r="EB49" i="27"/>
  <c r="EA49" i="27"/>
  <c r="DZ49" i="27"/>
  <c r="DY49" i="27"/>
  <c r="DX49" i="27"/>
  <c r="DW49" i="27"/>
  <c r="DV49" i="27"/>
  <c r="DU49" i="27"/>
  <c r="DT49" i="27"/>
  <c r="DS49" i="27"/>
  <c r="DR49" i="27"/>
  <c r="DQ49" i="27"/>
  <c r="DP49" i="27"/>
  <c r="DO49" i="27"/>
  <c r="DN49" i="27"/>
  <c r="DM49" i="27"/>
  <c r="DL49" i="27"/>
  <c r="DK49" i="27"/>
  <c r="DJ49" i="27"/>
  <c r="DI49" i="27"/>
  <c r="DH49" i="27"/>
  <c r="DG49" i="27"/>
  <c r="DF49" i="27"/>
  <c r="DE49" i="27"/>
  <c r="EB48" i="27"/>
  <c r="EA48" i="27"/>
  <c r="DZ48" i="27"/>
  <c r="DY48" i="27"/>
  <c r="DX48" i="27"/>
  <c r="DW48" i="27"/>
  <c r="DV48" i="27"/>
  <c r="DU48" i="27"/>
  <c r="DT48" i="27"/>
  <c r="DS48" i="27"/>
  <c r="DR48" i="27"/>
  <c r="DQ48" i="27"/>
  <c r="DP48" i="27"/>
  <c r="DO48" i="27"/>
  <c r="DN48" i="27"/>
  <c r="DM48" i="27"/>
  <c r="DL48" i="27"/>
  <c r="DK48" i="27"/>
  <c r="DJ48" i="27"/>
  <c r="DI48" i="27"/>
  <c r="DH48" i="27"/>
  <c r="DG48" i="27"/>
  <c r="DF48" i="27"/>
  <c r="DE48" i="27"/>
  <c r="C168" i="31"/>
  <c r="C167" i="31"/>
  <c r="AE114" i="31"/>
  <c r="AD114" i="31"/>
  <c r="AC114" i="31"/>
  <c r="AB114" i="31"/>
  <c r="AA114" i="31"/>
  <c r="Z114" i="31"/>
  <c r="Y114" i="31"/>
  <c r="X114" i="31"/>
  <c r="W114" i="31"/>
  <c r="V114" i="31"/>
  <c r="U114" i="31"/>
  <c r="T114" i="31"/>
  <c r="S114" i="31"/>
  <c r="R114" i="31"/>
  <c r="Q114" i="31"/>
  <c r="P114" i="31"/>
  <c r="O114" i="31"/>
  <c r="N114" i="31"/>
  <c r="M114" i="31"/>
  <c r="L114" i="31"/>
  <c r="K114" i="31"/>
  <c r="J114" i="31"/>
  <c r="I114" i="31"/>
  <c r="H114" i="31"/>
  <c r="G114" i="31"/>
  <c r="AE113" i="31"/>
  <c r="AD113" i="31"/>
  <c r="AC113" i="31"/>
  <c r="AB113" i="31"/>
  <c r="AA113" i="31"/>
  <c r="Z113" i="31"/>
  <c r="Y113" i="31"/>
  <c r="X113" i="31"/>
  <c r="W113" i="31"/>
  <c r="V113" i="31"/>
  <c r="U113" i="31"/>
  <c r="T113" i="31"/>
  <c r="S113" i="31"/>
  <c r="R113" i="31"/>
  <c r="Q113" i="31"/>
  <c r="P113" i="31"/>
  <c r="O113" i="31"/>
  <c r="N113" i="31"/>
  <c r="M113" i="31"/>
  <c r="L113" i="31"/>
  <c r="K113" i="31"/>
  <c r="J113" i="31"/>
  <c r="I113" i="31"/>
  <c r="H113" i="31"/>
  <c r="G113" i="31"/>
  <c r="AE112" i="31"/>
  <c r="AD112" i="31"/>
  <c r="AC112" i="31"/>
  <c r="AB112" i="31"/>
  <c r="AA112" i="31"/>
  <c r="Z112" i="31"/>
  <c r="Y112" i="31"/>
  <c r="X112" i="31"/>
  <c r="W112" i="31"/>
  <c r="V112" i="31"/>
  <c r="U112" i="31"/>
  <c r="T112" i="31"/>
  <c r="S112" i="31"/>
  <c r="R112" i="31"/>
  <c r="Q112" i="31"/>
  <c r="P112" i="31"/>
  <c r="O112" i="31"/>
  <c r="N112" i="31"/>
  <c r="M112" i="31"/>
  <c r="L112" i="31"/>
  <c r="K112" i="31"/>
  <c r="J112" i="31"/>
  <c r="I112" i="31"/>
  <c r="H112" i="31"/>
  <c r="G112" i="31"/>
  <c r="AE111" i="31"/>
  <c r="AD111" i="31"/>
  <c r="AC111" i="31"/>
  <c r="AB111" i="31"/>
  <c r="AA111" i="31"/>
  <c r="Z111" i="31"/>
  <c r="Y111" i="31"/>
  <c r="X111" i="31"/>
  <c r="W111" i="31"/>
  <c r="V111" i="31"/>
  <c r="U111" i="31"/>
  <c r="T111" i="31"/>
  <c r="S111" i="31"/>
  <c r="R111" i="31"/>
  <c r="Q111" i="31"/>
  <c r="P111" i="31"/>
  <c r="O111" i="31"/>
  <c r="N111" i="31"/>
  <c r="M111" i="31"/>
  <c r="L111" i="31"/>
  <c r="K111" i="31"/>
  <c r="J111" i="31"/>
  <c r="I111" i="31"/>
  <c r="H111" i="31"/>
  <c r="G111" i="31"/>
  <c r="AE110" i="31"/>
  <c r="AD110" i="31"/>
  <c r="AC110" i="31"/>
  <c r="AB110" i="31"/>
  <c r="AA110" i="31"/>
  <c r="Z110" i="31"/>
  <c r="Y110" i="31"/>
  <c r="X110" i="31"/>
  <c r="W110" i="31"/>
  <c r="V110" i="31"/>
  <c r="U110" i="31"/>
  <c r="T110" i="31"/>
  <c r="S110" i="31"/>
  <c r="R110" i="31"/>
  <c r="Q110" i="31"/>
  <c r="P110" i="31"/>
  <c r="O110" i="31"/>
  <c r="N110" i="31"/>
  <c r="M110" i="31"/>
  <c r="L110" i="31"/>
  <c r="K110" i="31"/>
  <c r="J110" i="31"/>
  <c r="I110" i="31"/>
  <c r="H110" i="31"/>
  <c r="G110" i="31"/>
  <c r="AE109" i="31"/>
  <c r="AD109" i="31"/>
  <c r="AC109" i="31"/>
  <c r="AB109" i="31"/>
  <c r="AA109" i="31"/>
  <c r="Z109" i="31"/>
  <c r="Y109" i="31"/>
  <c r="X109" i="31"/>
  <c r="W109" i="31"/>
  <c r="V109" i="31"/>
  <c r="U109" i="31"/>
  <c r="T109" i="31"/>
  <c r="S109" i="31"/>
  <c r="R109" i="31"/>
  <c r="Q109" i="31"/>
  <c r="P109" i="31"/>
  <c r="O109" i="31"/>
  <c r="N109" i="31"/>
  <c r="M109" i="31"/>
  <c r="L109" i="31"/>
  <c r="K109" i="31"/>
  <c r="J109" i="31"/>
  <c r="I109" i="31"/>
  <c r="H109" i="31"/>
  <c r="G109" i="31"/>
  <c r="AE108" i="31"/>
  <c r="AD108" i="31"/>
  <c r="AC108" i="31"/>
  <c r="AB108" i="31"/>
  <c r="AA108" i="31"/>
  <c r="Z108" i="31"/>
  <c r="Y108" i="31"/>
  <c r="X108" i="31"/>
  <c r="W108" i="31"/>
  <c r="V108" i="31"/>
  <c r="U108" i="31"/>
  <c r="T108" i="31"/>
  <c r="S108" i="31"/>
  <c r="R108" i="31"/>
  <c r="Q108" i="31"/>
  <c r="P108" i="31"/>
  <c r="O108" i="31"/>
  <c r="N108" i="31"/>
  <c r="M108" i="31"/>
  <c r="L108" i="31"/>
  <c r="K108" i="31"/>
  <c r="J108" i="31"/>
  <c r="I108" i="31"/>
  <c r="H108" i="31"/>
  <c r="G108" i="31"/>
  <c r="AE107" i="31"/>
  <c r="AD107" i="31"/>
  <c r="AC107" i="31"/>
  <c r="AB107" i="31"/>
  <c r="AA107" i="31"/>
  <c r="Z107" i="31"/>
  <c r="Y107" i="31"/>
  <c r="X107" i="31"/>
  <c r="W107" i="31"/>
  <c r="V107" i="31"/>
  <c r="U107" i="31"/>
  <c r="T107" i="31"/>
  <c r="S107" i="31"/>
  <c r="R107" i="31"/>
  <c r="Q107" i="31"/>
  <c r="P107" i="31"/>
  <c r="O107" i="31"/>
  <c r="N107" i="31"/>
  <c r="M107" i="31"/>
  <c r="L107" i="31"/>
  <c r="K107" i="31"/>
  <c r="J107" i="31"/>
  <c r="I107" i="31"/>
  <c r="H107" i="31"/>
  <c r="G107" i="31"/>
  <c r="AE106" i="31"/>
  <c r="AD106" i="31"/>
  <c r="AC106" i="31"/>
  <c r="AB106" i="31"/>
  <c r="AA106" i="31"/>
  <c r="Z106" i="31"/>
  <c r="Y106" i="31"/>
  <c r="X106" i="31"/>
  <c r="W106" i="31"/>
  <c r="V106" i="31"/>
  <c r="U106" i="31"/>
  <c r="T106" i="31"/>
  <c r="S106" i="31"/>
  <c r="R106" i="31"/>
  <c r="Q106" i="31"/>
  <c r="P106" i="31"/>
  <c r="O106" i="31"/>
  <c r="N106" i="31"/>
  <c r="M106" i="31"/>
  <c r="L106" i="31"/>
  <c r="K106" i="31"/>
  <c r="J106" i="31"/>
  <c r="I106" i="31"/>
  <c r="H106" i="31"/>
  <c r="G106" i="31"/>
  <c r="AE105" i="31"/>
  <c r="AD105" i="31"/>
  <c r="AC105" i="31"/>
  <c r="AB105" i="31"/>
  <c r="AA105" i="31"/>
  <c r="Z105" i="31"/>
  <c r="Y105" i="31"/>
  <c r="X105" i="31"/>
  <c r="W105" i="31"/>
  <c r="V105" i="31"/>
  <c r="U105" i="31"/>
  <c r="T105" i="31"/>
  <c r="S105" i="31"/>
  <c r="R105" i="31"/>
  <c r="Q105" i="31"/>
  <c r="P105" i="31"/>
  <c r="O105" i="31"/>
  <c r="N105" i="31"/>
  <c r="M105" i="31"/>
  <c r="L105" i="31"/>
  <c r="K105" i="31"/>
  <c r="J105" i="31"/>
  <c r="I105" i="31"/>
  <c r="H105" i="31"/>
  <c r="G105" i="31"/>
  <c r="CY118" i="31"/>
  <c r="CX118" i="31"/>
  <c r="CW118" i="31"/>
  <c r="CV118" i="31"/>
  <c r="CU118" i="31"/>
  <c r="CT118" i="31"/>
  <c r="CS118" i="31"/>
  <c r="CR118" i="31"/>
  <c r="CQ118" i="31"/>
  <c r="CP118" i="31"/>
  <c r="CO118" i="31"/>
  <c r="CN118" i="31"/>
  <c r="CM118" i="31"/>
  <c r="CL118" i="31"/>
  <c r="CK118" i="31"/>
  <c r="CJ118" i="31"/>
  <c r="CI118" i="31"/>
  <c r="CH118" i="31"/>
  <c r="CG118" i="31"/>
  <c r="CF118" i="31"/>
  <c r="CE118" i="31"/>
  <c r="CD118" i="31"/>
  <c r="CC118" i="31"/>
  <c r="CB118" i="31"/>
  <c r="CY117" i="31"/>
  <c r="CX117" i="31"/>
  <c r="CW117" i="31"/>
  <c r="CV117" i="31"/>
  <c r="CU117" i="31"/>
  <c r="CT117" i="31"/>
  <c r="CS117" i="31"/>
  <c r="CR117" i="31"/>
  <c r="CQ117" i="31"/>
  <c r="CP117" i="31"/>
  <c r="CO117" i="31"/>
  <c r="CN117" i="31"/>
  <c r="CM117" i="31"/>
  <c r="CL117" i="31"/>
  <c r="CK117" i="31"/>
  <c r="CJ117" i="31"/>
  <c r="CI117" i="31"/>
  <c r="CH117" i="31"/>
  <c r="CG117" i="31"/>
  <c r="CF117" i="31"/>
  <c r="CE117" i="31"/>
  <c r="CD117" i="31"/>
  <c r="CC117" i="31"/>
  <c r="CB117" i="31"/>
  <c r="CY116" i="31"/>
  <c r="CX116" i="31"/>
  <c r="CW116" i="31"/>
  <c r="CV116" i="31"/>
  <c r="CU116" i="31"/>
  <c r="CT116" i="31"/>
  <c r="CS116" i="31"/>
  <c r="CR116" i="31"/>
  <c r="CQ116" i="31"/>
  <c r="CP116" i="31"/>
  <c r="CO116" i="31"/>
  <c r="CN116" i="31"/>
  <c r="CM116" i="31"/>
  <c r="CL116" i="31"/>
  <c r="CK116" i="31"/>
  <c r="CJ116" i="31"/>
  <c r="CI116" i="31"/>
  <c r="CH116" i="31"/>
  <c r="CG116" i="31"/>
  <c r="CF116" i="31"/>
  <c r="CE116" i="31"/>
  <c r="CD116" i="31"/>
  <c r="CC116" i="31"/>
  <c r="CB116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V106" i="31"/>
  <c r="CU106" i="31"/>
  <c r="CT106" i="31"/>
  <c r="CS106" i="31"/>
  <c r="CR106" i="31"/>
  <c r="CQ106" i="31"/>
  <c r="CP106" i="31"/>
  <c r="CO106" i="31"/>
  <c r="CN106" i="31"/>
  <c r="CM106" i="31"/>
  <c r="CL106" i="31"/>
  <c r="CK106" i="31"/>
  <c r="CJ106" i="31"/>
  <c r="CI106" i="31"/>
  <c r="CH106" i="31"/>
  <c r="CG106" i="31"/>
  <c r="CF106" i="31"/>
  <c r="CE106" i="31"/>
  <c r="CD106" i="31"/>
  <c r="CC106" i="31"/>
  <c r="CB106" i="31"/>
  <c r="CY105" i="31"/>
  <c r="CX105" i="31"/>
  <c r="CW105" i="31"/>
  <c r="CV105" i="31"/>
  <c r="CU105" i="31"/>
  <c r="CT105" i="31"/>
  <c r="CS105" i="31"/>
  <c r="CR105" i="31"/>
  <c r="CQ105" i="31"/>
  <c r="CP105" i="31"/>
  <c r="CO105" i="31"/>
  <c r="CN105" i="31"/>
  <c r="CM105" i="31"/>
  <c r="CL105" i="31"/>
  <c r="CK105" i="31"/>
  <c r="CJ105" i="31"/>
  <c r="CI105" i="31"/>
  <c r="CH105" i="31"/>
  <c r="CG105" i="31"/>
  <c r="CF105" i="31"/>
  <c r="CE105" i="31"/>
  <c r="CD105" i="31"/>
  <c r="CC105" i="31"/>
  <c r="CB105" i="31"/>
  <c r="CY104" i="31"/>
  <c r="CX104" i="31"/>
  <c r="CW104" i="31"/>
  <c r="CV104" i="31"/>
  <c r="CU104" i="31"/>
  <c r="CT104" i="31"/>
  <c r="CS104" i="31"/>
  <c r="CR104" i="31"/>
  <c r="CQ104" i="31"/>
  <c r="CP104" i="31"/>
  <c r="CO104" i="31"/>
  <c r="CN104" i="31"/>
  <c r="CM104" i="31"/>
  <c r="CL104" i="31"/>
  <c r="CK104" i="31"/>
  <c r="CJ104" i="31"/>
  <c r="CI104" i="31"/>
  <c r="CH104" i="31"/>
  <c r="CG104" i="31"/>
  <c r="CF104" i="31"/>
  <c r="CE104" i="31"/>
  <c r="CD104" i="31"/>
  <c r="CC104" i="31"/>
  <c r="CB104" i="31"/>
  <c r="CY103" i="31"/>
  <c r="CX103" i="31"/>
  <c r="CW103" i="31"/>
  <c r="CV103" i="31"/>
  <c r="CU103" i="31"/>
  <c r="CT103" i="31"/>
  <c r="CS103" i="31"/>
  <c r="CR103" i="31"/>
  <c r="CQ103" i="31"/>
  <c r="CP103" i="31"/>
  <c r="CO103" i="31"/>
  <c r="CN103" i="31"/>
  <c r="CM103" i="31"/>
  <c r="CL103" i="31"/>
  <c r="CK103" i="31"/>
  <c r="CJ103" i="31"/>
  <c r="CI103" i="31"/>
  <c r="CH103" i="31"/>
  <c r="CG103" i="31"/>
  <c r="CF103" i="31"/>
  <c r="CE103" i="31"/>
  <c r="CD103" i="31"/>
  <c r="CC103" i="31"/>
  <c r="CB103" i="31"/>
  <c r="CY102" i="31"/>
  <c r="CX102" i="31"/>
  <c r="CW102" i="31"/>
  <c r="CV102" i="31"/>
  <c r="CU102" i="31"/>
  <c r="CT102" i="31"/>
  <c r="CS102" i="31"/>
  <c r="CR102" i="31"/>
  <c r="CQ102" i="31"/>
  <c r="CP102" i="31"/>
  <c r="CO102" i="31"/>
  <c r="CN102" i="31"/>
  <c r="CM102" i="31"/>
  <c r="CL102" i="31"/>
  <c r="CK102" i="31"/>
  <c r="CJ102" i="31"/>
  <c r="CI102" i="31"/>
  <c r="CH102" i="31"/>
  <c r="CG102" i="31"/>
  <c r="CF102" i="31"/>
  <c r="CE102" i="31"/>
  <c r="CD102" i="31"/>
  <c r="CC102" i="31"/>
  <c r="CB102" i="31"/>
  <c r="CY101" i="31"/>
  <c r="CX101" i="31"/>
  <c r="CW101" i="31"/>
  <c r="CV101" i="31"/>
  <c r="CU101" i="31"/>
  <c r="CT101" i="31"/>
  <c r="CS101" i="31"/>
  <c r="CR101" i="31"/>
  <c r="CQ101" i="31"/>
  <c r="CP101" i="31"/>
  <c r="CO101" i="31"/>
  <c r="CN101" i="31"/>
  <c r="CM101" i="31"/>
  <c r="CL101" i="31"/>
  <c r="CK101" i="31"/>
  <c r="CJ101" i="31"/>
  <c r="CI101" i="31"/>
  <c r="CH101" i="31"/>
  <c r="CG101" i="31"/>
  <c r="CF101" i="31"/>
  <c r="CE101" i="31"/>
  <c r="CD101" i="31"/>
  <c r="CC101" i="31"/>
  <c r="CB101" i="31"/>
  <c r="CY100" i="31"/>
  <c r="CX100" i="31"/>
  <c r="CW100" i="31"/>
  <c r="CV100" i="31"/>
  <c r="CU100" i="31"/>
  <c r="CT100" i="31"/>
  <c r="CS100" i="31"/>
  <c r="CR100" i="31"/>
  <c r="CQ100" i="31"/>
  <c r="CP100" i="31"/>
  <c r="CO100" i="31"/>
  <c r="CN100" i="31"/>
  <c r="CM100" i="31"/>
  <c r="CL100" i="31"/>
  <c r="CK100" i="31"/>
  <c r="CJ100" i="31"/>
  <c r="CI100" i="31"/>
  <c r="CH100" i="31"/>
  <c r="CG100" i="31"/>
  <c r="CF100" i="31"/>
  <c r="CE100" i="31"/>
  <c r="CD100" i="31"/>
  <c r="CC100" i="31"/>
  <c r="CB100" i="31"/>
  <c r="CY99" i="31"/>
  <c r="CX99" i="31"/>
  <c r="CW99" i="31"/>
  <c r="CV99" i="31"/>
  <c r="CU99" i="31"/>
  <c r="CT99" i="31"/>
  <c r="CS99" i="31"/>
  <c r="CR99" i="31"/>
  <c r="CQ99" i="31"/>
  <c r="CP99" i="31"/>
  <c r="CO99" i="31"/>
  <c r="CN99" i="31"/>
  <c r="CM99" i="31"/>
  <c r="CL99" i="31"/>
  <c r="CK99" i="31"/>
  <c r="CJ99" i="31"/>
  <c r="CI99" i="31"/>
  <c r="CH99" i="31"/>
  <c r="CG99" i="31"/>
  <c r="CF99" i="31"/>
  <c r="CE99" i="31"/>
  <c r="CD99" i="31"/>
  <c r="CC99" i="31"/>
  <c r="CB99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C68" i="31"/>
  <c r="BZ73" i="31"/>
  <c r="BZ72" i="31"/>
  <c r="BZ71" i="31"/>
  <c r="BZ70" i="31"/>
  <c r="BZ69" i="31"/>
  <c r="BZ68" i="31"/>
  <c r="BZ67" i="31"/>
  <c r="BZ66" i="31"/>
  <c r="BZ65" i="31"/>
  <c r="BZ64" i="31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Y46" i="29"/>
  <c r="CX46" i="29"/>
  <c r="CW46" i="29"/>
  <c r="CV46" i="29"/>
  <c r="CU46" i="29"/>
  <c r="CT46" i="29"/>
  <c r="CS46" i="29"/>
  <c r="CR46" i="29"/>
  <c r="CQ46" i="29"/>
  <c r="CP46" i="29"/>
  <c r="CO46" i="29"/>
  <c r="CN46" i="29"/>
  <c r="CM46" i="29"/>
  <c r="CL46" i="29"/>
  <c r="CK46" i="29"/>
  <c r="CJ46" i="29"/>
  <c r="CI46" i="29"/>
  <c r="CH46" i="29"/>
  <c r="CG46" i="29"/>
  <c r="CF46" i="29"/>
  <c r="CE46" i="29"/>
  <c r="CD46" i="29"/>
  <c r="CC46" i="29"/>
  <c r="CB46" i="29"/>
  <c r="CY45" i="29"/>
  <c r="CX45" i="29"/>
  <c r="CW45" i="29"/>
  <c r="CV45" i="29"/>
  <c r="CU45" i="29"/>
  <c r="CT45" i="29"/>
  <c r="CS45" i="29"/>
  <c r="CR45" i="29"/>
  <c r="CQ45" i="29"/>
  <c r="CP45" i="29"/>
  <c r="CO45" i="29"/>
  <c r="CN45" i="29"/>
  <c r="CM45" i="29"/>
  <c r="CL45" i="29"/>
  <c r="CK45" i="29"/>
  <c r="CJ45" i="29"/>
  <c r="CI45" i="29"/>
  <c r="CH45" i="29"/>
  <c r="CG45" i="29"/>
  <c r="CF45" i="29"/>
  <c r="CE45" i="29"/>
  <c r="CD45" i="29"/>
  <c r="CC45" i="29"/>
  <c r="CB45" i="29"/>
  <c r="CY44" i="29"/>
  <c r="CX44" i="29"/>
  <c r="CW44" i="29"/>
  <c r="CV44" i="29"/>
  <c r="CU44" i="29"/>
  <c r="CT44" i="29"/>
  <c r="CS44" i="29"/>
  <c r="CR44" i="29"/>
  <c r="CQ44" i="29"/>
  <c r="CP44" i="29"/>
  <c r="CO44" i="29"/>
  <c r="CN44" i="29"/>
  <c r="CM44" i="29"/>
  <c r="CL44" i="29"/>
  <c r="CK44" i="29"/>
  <c r="CJ44" i="29"/>
  <c r="CI44" i="29"/>
  <c r="CH44" i="29"/>
  <c r="CG44" i="29"/>
  <c r="CF44" i="29"/>
  <c r="CE44" i="29"/>
  <c r="CD44" i="29"/>
  <c r="CC44" i="29"/>
  <c r="CB44" i="29"/>
  <c r="CY43" i="29"/>
  <c r="CX43" i="29"/>
  <c r="CW43" i="29"/>
  <c r="CV43" i="29"/>
  <c r="CU43" i="29"/>
  <c r="CT43" i="29"/>
  <c r="CS43" i="29"/>
  <c r="CR43" i="29"/>
  <c r="CQ43" i="29"/>
  <c r="CP43" i="29"/>
  <c r="CO43" i="29"/>
  <c r="CN43" i="29"/>
  <c r="CM43" i="29"/>
  <c r="CL43" i="29"/>
  <c r="CK43" i="29"/>
  <c r="CJ43" i="29"/>
  <c r="CI43" i="29"/>
  <c r="CH43" i="29"/>
  <c r="CG43" i="29"/>
  <c r="CF43" i="29"/>
  <c r="CE43" i="29"/>
  <c r="CD43" i="29"/>
  <c r="CC43" i="29"/>
  <c r="CB43" i="29"/>
  <c r="CY42" i="29"/>
  <c r="CX42" i="29"/>
  <c r="CW42" i="29"/>
  <c r="CV42" i="29"/>
  <c r="CU42" i="29"/>
  <c r="CT42" i="29"/>
  <c r="CS42" i="29"/>
  <c r="CR42" i="29"/>
  <c r="CQ42" i="29"/>
  <c r="CP42" i="29"/>
  <c r="CO42" i="29"/>
  <c r="CN42" i="29"/>
  <c r="CM42" i="29"/>
  <c r="CL42" i="29"/>
  <c r="CK42" i="29"/>
  <c r="CJ42" i="29"/>
  <c r="CI42" i="29"/>
  <c r="CH42" i="29"/>
  <c r="CG42" i="29"/>
  <c r="CF42" i="29"/>
  <c r="CE42" i="29"/>
  <c r="CD42" i="29"/>
  <c r="CC42" i="29"/>
  <c r="CB42" i="29"/>
  <c r="CY41" i="29"/>
  <c r="CX41" i="29"/>
  <c r="CW41" i="29"/>
  <c r="CV41" i="29"/>
  <c r="CU41" i="29"/>
  <c r="CT41" i="29"/>
  <c r="CS41" i="29"/>
  <c r="CR41" i="29"/>
  <c r="CQ41" i="29"/>
  <c r="CP41" i="29"/>
  <c r="CO41" i="29"/>
  <c r="CN41" i="29"/>
  <c r="CM41" i="29"/>
  <c r="CL41" i="29"/>
  <c r="CK41" i="29"/>
  <c r="CJ41" i="29"/>
  <c r="CI41" i="29"/>
  <c r="CH41" i="29"/>
  <c r="CG41" i="29"/>
  <c r="CF41" i="29"/>
  <c r="CE41" i="29"/>
  <c r="CD41" i="29"/>
  <c r="CC41" i="29"/>
  <c r="CB41" i="29"/>
  <c r="CY40" i="29"/>
  <c r="CX40" i="29"/>
  <c r="CW40" i="29"/>
  <c r="CV40" i="29"/>
  <c r="CU40" i="29"/>
  <c r="CT40" i="29"/>
  <c r="CS40" i="29"/>
  <c r="CR40" i="29"/>
  <c r="CQ40" i="29"/>
  <c r="CP40" i="29"/>
  <c r="CO40" i="29"/>
  <c r="CN40" i="29"/>
  <c r="CM40" i="29"/>
  <c r="CL40" i="29"/>
  <c r="CK40" i="29"/>
  <c r="CJ40" i="29"/>
  <c r="CI40" i="29"/>
  <c r="CH40" i="29"/>
  <c r="CG40" i="29"/>
  <c r="CF40" i="29"/>
  <c r="CE40" i="29"/>
  <c r="CD40" i="29"/>
  <c r="CC40" i="29"/>
  <c r="CB40" i="29"/>
  <c r="CY39" i="29"/>
  <c r="CX39" i="29"/>
  <c r="CW39" i="29"/>
  <c r="CV39" i="29"/>
  <c r="CU39" i="29"/>
  <c r="CT39" i="29"/>
  <c r="CS39" i="29"/>
  <c r="CR39" i="29"/>
  <c r="CQ39" i="29"/>
  <c r="CP39" i="29"/>
  <c r="CO39" i="29"/>
  <c r="CN39" i="29"/>
  <c r="CM39" i="29"/>
  <c r="CL39" i="29"/>
  <c r="CK39" i="29"/>
  <c r="CJ39" i="29"/>
  <c r="CI39" i="29"/>
  <c r="CH39" i="29"/>
  <c r="CG39" i="29"/>
  <c r="CF39" i="29"/>
  <c r="CE39" i="29"/>
  <c r="CD39" i="29"/>
  <c r="CC39" i="29"/>
  <c r="CB39" i="29"/>
  <c r="CY38" i="29"/>
  <c r="CX38" i="29"/>
  <c r="CW38" i="29"/>
  <c r="CV38" i="29"/>
  <c r="CU38" i="29"/>
  <c r="CT38" i="29"/>
  <c r="CS38" i="29"/>
  <c r="CR38" i="29"/>
  <c r="CQ38" i="29"/>
  <c r="CP38" i="29"/>
  <c r="CO38" i="29"/>
  <c r="CN38" i="29"/>
  <c r="CM38" i="29"/>
  <c r="CL38" i="29"/>
  <c r="CK38" i="29"/>
  <c r="CJ38" i="29"/>
  <c r="CI38" i="29"/>
  <c r="CH38" i="29"/>
  <c r="CG38" i="29"/>
  <c r="CF38" i="29"/>
  <c r="CE38" i="29"/>
  <c r="CD38" i="29"/>
  <c r="CC38" i="29"/>
  <c r="CB38" i="29"/>
  <c r="CY37" i="29"/>
  <c r="CX37" i="29"/>
  <c r="CW37" i="29"/>
  <c r="CV37" i="29"/>
  <c r="CU37" i="29"/>
  <c r="CT37" i="29"/>
  <c r="CS37" i="29"/>
  <c r="CR37" i="29"/>
  <c r="CQ37" i="29"/>
  <c r="CP37" i="29"/>
  <c r="CO37" i="29"/>
  <c r="CN37" i="29"/>
  <c r="CM37" i="29"/>
  <c r="CL37" i="29"/>
  <c r="CK37" i="29"/>
  <c r="CJ37" i="29"/>
  <c r="CI37" i="29"/>
  <c r="CH37" i="29"/>
  <c r="CG37" i="29"/>
  <c r="CF37" i="29"/>
  <c r="CE37" i="29"/>
  <c r="CD37" i="29"/>
  <c r="CC37" i="29"/>
  <c r="CB37" i="29"/>
  <c r="CY13" i="29"/>
  <c r="CX13" i="29"/>
  <c r="CW13" i="29"/>
  <c r="CV13" i="29"/>
  <c r="CU13" i="29"/>
  <c r="CT13" i="29"/>
  <c r="CS13" i="29"/>
  <c r="CR13" i="29"/>
  <c r="CQ13" i="29"/>
  <c r="CP13" i="29"/>
  <c r="CO13" i="29"/>
  <c r="CN13" i="29"/>
  <c r="CM13" i="29"/>
  <c r="CL13" i="29"/>
  <c r="CK13" i="29"/>
  <c r="CJ13" i="29"/>
  <c r="CI13" i="29"/>
  <c r="CH13" i="29"/>
  <c r="CG13" i="29"/>
  <c r="CF13" i="29"/>
  <c r="CE13" i="29"/>
  <c r="CD13" i="29"/>
  <c r="CC13" i="29"/>
  <c r="CB13" i="29"/>
  <c r="BZ13" i="29"/>
  <c r="CY12" i="29"/>
  <c r="CX12" i="29"/>
  <c r="CW12" i="29"/>
  <c r="CV12" i="29"/>
  <c r="CU12" i="29"/>
  <c r="CT12" i="29"/>
  <c r="CS12" i="29"/>
  <c r="CR12" i="29"/>
  <c r="CQ12" i="29"/>
  <c r="CP12" i="29"/>
  <c r="CO12" i="29"/>
  <c r="CN12" i="29"/>
  <c r="CM12" i="29"/>
  <c r="CL12" i="29"/>
  <c r="CK12" i="29"/>
  <c r="CJ12" i="29"/>
  <c r="CI12" i="29"/>
  <c r="CH12" i="29"/>
  <c r="CG12" i="29"/>
  <c r="CF12" i="29"/>
  <c r="CE12" i="29"/>
  <c r="CD12" i="29"/>
  <c r="CC12" i="29"/>
  <c r="CB12" i="29"/>
  <c r="BZ12" i="29"/>
  <c r="CY11" i="29"/>
  <c r="CX11" i="29"/>
  <c r="CW11" i="29"/>
  <c r="CV11" i="29"/>
  <c r="CU11" i="29"/>
  <c r="CT11" i="29"/>
  <c r="CS11" i="29"/>
  <c r="CR11" i="29"/>
  <c r="CQ11" i="29"/>
  <c r="CP11" i="29"/>
  <c r="CO11" i="29"/>
  <c r="CN11" i="29"/>
  <c r="CM11" i="29"/>
  <c r="CL11" i="29"/>
  <c r="CK11" i="29"/>
  <c r="CJ11" i="29"/>
  <c r="CI11" i="29"/>
  <c r="CH11" i="29"/>
  <c r="CG11" i="29"/>
  <c r="CF11" i="29"/>
  <c r="CE11" i="29"/>
  <c r="CD11" i="29"/>
  <c r="CC11" i="29"/>
  <c r="CB11" i="29"/>
  <c r="BZ11" i="29"/>
  <c r="CY10" i="29"/>
  <c r="CX10" i="29"/>
  <c r="CW10" i="29"/>
  <c r="CV10" i="29"/>
  <c r="CU10" i="29"/>
  <c r="CT10" i="29"/>
  <c r="CS10" i="29"/>
  <c r="CR10" i="29"/>
  <c r="CQ10" i="29"/>
  <c r="CP10" i="29"/>
  <c r="CO10" i="29"/>
  <c r="CN10" i="29"/>
  <c r="CM10" i="29"/>
  <c r="CL10" i="29"/>
  <c r="CK10" i="29"/>
  <c r="CJ10" i="29"/>
  <c r="CI10" i="29"/>
  <c r="CH10" i="29"/>
  <c r="CG10" i="29"/>
  <c r="CF10" i="29"/>
  <c r="CE10" i="29"/>
  <c r="CD10" i="29"/>
  <c r="CC10" i="29"/>
  <c r="CB10" i="29"/>
  <c r="BZ10" i="29"/>
  <c r="CY9" i="29"/>
  <c r="CX9" i="29"/>
  <c r="CW9" i="29"/>
  <c r="CV9" i="29"/>
  <c r="CU9" i="29"/>
  <c r="CT9" i="29"/>
  <c r="CS9" i="29"/>
  <c r="CR9" i="29"/>
  <c r="CQ9" i="29"/>
  <c r="CP9" i="29"/>
  <c r="CO9" i="29"/>
  <c r="CN9" i="29"/>
  <c r="CM9" i="29"/>
  <c r="CL9" i="29"/>
  <c r="CK9" i="29"/>
  <c r="CJ9" i="29"/>
  <c r="CI9" i="29"/>
  <c r="CH9" i="29"/>
  <c r="CG9" i="29"/>
  <c r="CF9" i="29"/>
  <c r="CE9" i="29"/>
  <c r="CD9" i="29"/>
  <c r="CC9" i="29"/>
  <c r="CB9" i="29"/>
  <c r="BZ9" i="29"/>
  <c r="CY8" i="29"/>
  <c r="CX8" i="29"/>
  <c r="CW8" i="29"/>
  <c r="CV8" i="29"/>
  <c r="CU8" i="29"/>
  <c r="CT8" i="29"/>
  <c r="CS8" i="29"/>
  <c r="CR8" i="29"/>
  <c r="CQ8" i="29"/>
  <c r="CP8" i="29"/>
  <c r="CO8" i="29"/>
  <c r="CN8" i="29"/>
  <c r="CM8" i="29"/>
  <c r="CL8" i="29"/>
  <c r="CK8" i="29"/>
  <c r="CJ8" i="29"/>
  <c r="CI8" i="29"/>
  <c r="CH8" i="29"/>
  <c r="CG8" i="29"/>
  <c r="CF8" i="29"/>
  <c r="CE8" i="29"/>
  <c r="CD8" i="29"/>
  <c r="CC8" i="29"/>
  <c r="CB8" i="29"/>
  <c r="BZ8" i="29"/>
  <c r="CY7" i="29"/>
  <c r="CX7" i="29"/>
  <c r="CW7" i="29"/>
  <c r="CV7" i="29"/>
  <c r="CU7" i="29"/>
  <c r="CT7" i="29"/>
  <c r="CS7" i="29"/>
  <c r="CR7" i="29"/>
  <c r="CQ7" i="29"/>
  <c r="CP7" i="29"/>
  <c r="CO7" i="29"/>
  <c r="CN7" i="29"/>
  <c r="CM7" i="29"/>
  <c r="CL7" i="29"/>
  <c r="CK7" i="29"/>
  <c r="CJ7" i="29"/>
  <c r="CI7" i="29"/>
  <c r="CH7" i="29"/>
  <c r="CG7" i="29"/>
  <c r="CF7" i="29"/>
  <c r="CE7" i="29"/>
  <c r="CD7" i="29"/>
  <c r="CC7" i="29"/>
  <c r="CB7" i="29"/>
  <c r="BZ7" i="29"/>
  <c r="CY6" i="29"/>
  <c r="CX6" i="29"/>
  <c r="CW6" i="29"/>
  <c r="CV6" i="29"/>
  <c r="CU6" i="29"/>
  <c r="CT6" i="29"/>
  <c r="CS6" i="29"/>
  <c r="CR6" i="29"/>
  <c r="CQ6" i="29"/>
  <c r="CP6" i="29"/>
  <c r="CO6" i="29"/>
  <c r="CN6" i="29"/>
  <c r="CM6" i="29"/>
  <c r="CL6" i="29"/>
  <c r="CK6" i="29"/>
  <c r="CJ6" i="29"/>
  <c r="CI6" i="29"/>
  <c r="CH6" i="29"/>
  <c r="CG6" i="29"/>
  <c r="CF6" i="29"/>
  <c r="CE6" i="29"/>
  <c r="CD6" i="29"/>
  <c r="CC6" i="29"/>
  <c r="CB6" i="29"/>
  <c r="BZ6" i="29"/>
  <c r="CY5" i="29"/>
  <c r="CX5" i="29"/>
  <c r="CW5" i="29"/>
  <c r="CV5" i="29"/>
  <c r="CU5" i="29"/>
  <c r="CT5" i="29"/>
  <c r="CS5" i="29"/>
  <c r="CR5" i="29"/>
  <c r="CQ5" i="29"/>
  <c r="CP5" i="29"/>
  <c r="CO5" i="29"/>
  <c r="CN5" i="29"/>
  <c r="CM5" i="29"/>
  <c r="CL5" i="29"/>
  <c r="CK5" i="29"/>
  <c r="CJ5" i="29"/>
  <c r="CI5" i="29"/>
  <c r="CH5" i="29"/>
  <c r="CG5" i="29"/>
  <c r="CF5" i="29"/>
  <c r="CE5" i="29"/>
  <c r="CD5" i="29"/>
  <c r="CC5" i="29"/>
  <c r="CB5" i="29"/>
  <c r="BZ5" i="29"/>
  <c r="CY4" i="29"/>
  <c r="CX4" i="29"/>
  <c r="CW4" i="29"/>
  <c r="CV4" i="29"/>
  <c r="CU4" i="29"/>
  <c r="CT4" i="29"/>
  <c r="CS4" i="29"/>
  <c r="CR4" i="29"/>
  <c r="CQ4" i="29"/>
  <c r="CP4" i="29"/>
  <c r="CO4" i="29"/>
  <c r="CN4" i="29"/>
  <c r="CM4" i="29"/>
  <c r="CL4" i="29"/>
  <c r="CK4" i="29"/>
  <c r="CJ4" i="29"/>
  <c r="CI4" i="29"/>
  <c r="CH4" i="29"/>
  <c r="CG4" i="29"/>
  <c r="CF4" i="29"/>
  <c r="CE4" i="29"/>
  <c r="CD4" i="29"/>
  <c r="CC4" i="29"/>
  <c r="CB4" i="29"/>
  <c r="BZ4" i="29"/>
  <c r="Z132" i="28"/>
  <c r="Y132" i="28"/>
  <c r="X132" i="28"/>
  <c r="W132" i="28"/>
  <c r="V132" i="28"/>
  <c r="U132" i="28"/>
  <c r="T132" i="28"/>
  <c r="S132" i="28"/>
  <c r="R132" i="28"/>
  <c r="Q132" i="28"/>
  <c r="P132" i="28"/>
  <c r="O132" i="28"/>
  <c r="N132" i="28"/>
  <c r="M132" i="28"/>
  <c r="L132" i="28"/>
  <c r="K132" i="28"/>
  <c r="J132" i="28"/>
  <c r="I132" i="28"/>
  <c r="H132" i="28"/>
  <c r="G132" i="28"/>
  <c r="F132" i="28"/>
  <c r="E132" i="28"/>
  <c r="D132" i="28"/>
  <c r="C132" i="28"/>
  <c r="B132" i="28"/>
  <c r="Z131" i="28"/>
  <c r="Y131" i="28"/>
  <c r="X131" i="28"/>
  <c r="W131" i="28"/>
  <c r="V131" i="28"/>
  <c r="U131" i="28"/>
  <c r="T131" i="28"/>
  <c r="S131" i="28"/>
  <c r="R131" i="28"/>
  <c r="Q131" i="28"/>
  <c r="P131" i="28"/>
  <c r="O131" i="28"/>
  <c r="N131" i="28"/>
  <c r="M131" i="28"/>
  <c r="L131" i="28"/>
  <c r="K131" i="28"/>
  <c r="J131" i="28"/>
  <c r="I131" i="28"/>
  <c r="H131" i="28"/>
  <c r="G131" i="28"/>
  <c r="F131" i="28"/>
  <c r="E131" i="28"/>
  <c r="D131" i="28"/>
  <c r="C131" i="28"/>
  <c r="B131" i="28"/>
  <c r="Z130" i="28"/>
  <c r="Y130" i="28"/>
  <c r="X130" i="28"/>
  <c r="W130" i="28"/>
  <c r="V130" i="28"/>
  <c r="U130" i="28"/>
  <c r="T130" i="28"/>
  <c r="S130" i="28"/>
  <c r="R130" i="28"/>
  <c r="Q130" i="28"/>
  <c r="P130" i="28"/>
  <c r="O130" i="28"/>
  <c r="N130" i="28"/>
  <c r="M130" i="28"/>
  <c r="L130" i="28"/>
  <c r="K130" i="28"/>
  <c r="J130" i="28"/>
  <c r="I130" i="28"/>
  <c r="H130" i="28"/>
  <c r="G130" i="28"/>
  <c r="F130" i="28"/>
  <c r="E130" i="28"/>
  <c r="D130" i="28"/>
  <c r="C130" i="28"/>
  <c r="B130" i="28"/>
  <c r="Z129" i="28"/>
  <c r="Y129" i="28"/>
  <c r="X129" i="28"/>
  <c r="W129" i="28"/>
  <c r="V129" i="28"/>
  <c r="U129" i="28"/>
  <c r="T129" i="28"/>
  <c r="S129" i="28"/>
  <c r="R129" i="28"/>
  <c r="Q129" i="28"/>
  <c r="P129" i="28"/>
  <c r="O129" i="28"/>
  <c r="N129" i="28"/>
  <c r="M129" i="28"/>
  <c r="L129" i="28"/>
  <c r="K129" i="28"/>
  <c r="J129" i="28"/>
  <c r="I129" i="28"/>
  <c r="H129" i="28"/>
  <c r="G129" i="28"/>
  <c r="F129" i="28"/>
  <c r="E129" i="28"/>
  <c r="D129" i="28"/>
  <c r="C129" i="28"/>
  <c r="B129" i="28"/>
  <c r="Z128" i="28"/>
  <c r="Y128" i="28"/>
  <c r="X128" i="28"/>
  <c r="W128" i="28"/>
  <c r="V128" i="28"/>
  <c r="U128" i="28"/>
  <c r="T128" i="28"/>
  <c r="S128" i="28"/>
  <c r="R128" i="28"/>
  <c r="Q128" i="28"/>
  <c r="P128" i="28"/>
  <c r="O128" i="28"/>
  <c r="N128" i="28"/>
  <c r="M128" i="28"/>
  <c r="L128" i="28"/>
  <c r="K128" i="28"/>
  <c r="J128" i="28"/>
  <c r="I128" i="28"/>
  <c r="H128" i="28"/>
  <c r="G128" i="28"/>
  <c r="F128" i="28"/>
  <c r="E128" i="28"/>
  <c r="D128" i="28"/>
  <c r="C128" i="28"/>
  <c r="B128" i="28"/>
  <c r="Z127" i="28"/>
  <c r="Y127" i="28"/>
  <c r="X127" i="28"/>
  <c r="W127" i="28"/>
  <c r="V127" i="28"/>
  <c r="U127" i="28"/>
  <c r="T127" i="28"/>
  <c r="S127" i="28"/>
  <c r="R127" i="28"/>
  <c r="Q127" i="28"/>
  <c r="P127" i="28"/>
  <c r="O127" i="28"/>
  <c r="N127" i="28"/>
  <c r="M127" i="28"/>
  <c r="L127" i="28"/>
  <c r="K127" i="28"/>
  <c r="J127" i="28"/>
  <c r="I127" i="28"/>
  <c r="H127" i="28"/>
  <c r="G127" i="28"/>
  <c r="F127" i="28"/>
  <c r="E127" i="28"/>
  <c r="D127" i="28"/>
  <c r="C127" i="28"/>
  <c r="B127" i="28"/>
  <c r="Z126" i="28"/>
  <c r="Y126" i="28"/>
  <c r="X126" i="28"/>
  <c r="W126" i="28"/>
  <c r="V126" i="28"/>
  <c r="U126" i="28"/>
  <c r="T126" i="28"/>
  <c r="S126" i="28"/>
  <c r="R126" i="28"/>
  <c r="Q126" i="28"/>
  <c r="P126" i="28"/>
  <c r="O126" i="28"/>
  <c r="N126" i="28"/>
  <c r="M126" i="28"/>
  <c r="L126" i="28"/>
  <c r="K126" i="28"/>
  <c r="J126" i="28"/>
  <c r="I126" i="28"/>
  <c r="H126" i="28"/>
  <c r="G126" i="28"/>
  <c r="F126" i="28"/>
  <c r="E126" i="28"/>
  <c r="D126" i="28"/>
  <c r="C126" i="28"/>
  <c r="B126" i="28"/>
  <c r="Z125" i="28"/>
  <c r="Y125" i="28"/>
  <c r="X125" i="28"/>
  <c r="W125" i="28"/>
  <c r="V125" i="28"/>
  <c r="U125" i="28"/>
  <c r="T125" i="28"/>
  <c r="S125" i="28"/>
  <c r="R125" i="28"/>
  <c r="Q125" i="28"/>
  <c r="P125" i="28"/>
  <c r="O125" i="28"/>
  <c r="N125" i="28"/>
  <c r="M125" i="28"/>
  <c r="L125" i="28"/>
  <c r="K125" i="28"/>
  <c r="J125" i="28"/>
  <c r="I125" i="28"/>
  <c r="H125" i="28"/>
  <c r="G125" i="28"/>
  <c r="F125" i="28"/>
  <c r="E125" i="28"/>
  <c r="D125" i="28"/>
  <c r="C125" i="28"/>
  <c r="B125" i="28"/>
  <c r="Z124" i="28"/>
  <c r="Y124" i="28"/>
  <c r="X124" i="28"/>
  <c r="W124" i="28"/>
  <c r="V124" i="28"/>
  <c r="U124" i="28"/>
  <c r="T124" i="28"/>
  <c r="S124" i="28"/>
  <c r="R124" i="28"/>
  <c r="Q124" i="28"/>
  <c r="P124" i="28"/>
  <c r="O124" i="28"/>
  <c r="N124" i="28"/>
  <c r="M124" i="28"/>
  <c r="L124" i="28"/>
  <c r="K124" i="28"/>
  <c r="J124" i="28"/>
  <c r="I124" i="28"/>
  <c r="H124" i="28"/>
  <c r="G124" i="28"/>
  <c r="F124" i="28"/>
  <c r="E124" i="28"/>
  <c r="D124" i="28"/>
  <c r="C124" i="28"/>
  <c r="B124" i="28"/>
  <c r="Z123" i="28"/>
  <c r="Y123" i="28"/>
  <c r="X123" i="28"/>
  <c r="W123" i="28"/>
  <c r="V123" i="28"/>
  <c r="U123" i="28"/>
  <c r="T123" i="28"/>
  <c r="S123" i="28"/>
  <c r="R123" i="28"/>
  <c r="Q123" i="28"/>
  <c r="P123" i="28"/>
  <c r="O123" i="28"/>
  <c r="N123" i="28"/>
  <c r="M123" i="28"/>
  <c r="L123" i="28"/>
  <c r="K123" i="28"/>
  <c r="J123" i="28"/>
  <c r="I123" i="28"/>
  <c r="H123" i="28"/>
  <c r="G123" i="28"/>
  <c r="F123" i="28"/>
  <c r="E123" i="28"/>
  <c r="D123" i="28"/>
  <c r="C123" i="28"/>
  <c r="B123" i="28"/>
  <c r="AA119" i="28"/>
  <c r="Y119" i="28" s="1"/>
  <c r="Z119" i="28"/>
  <c r="X119" i="28"/>
  <c r="W119" i="28"/>
  <c r="V119" i="28"/>
  <c r="U119" i="28"/>
  <c r="T119" i="28"/>
  <c r="S119" i="28"/>
  <c r="R119" i="28"/>
  <c r="Q119" i="28"/>
  <c r="P119" i="28"/>
  <c r="O119" i="28"/>
  <c r="N119" i="28"/>
  <c r="M119" i="28"/>
  <c r="L119" i="28"/>
  <c r="K119" i="28"/>
  <c r="J119" i="28"/>
  <c r="I119" i="28"/>
  <c r="H119" i="28"/>
  <c r="G119" i="28"/>
  <c r="F119" i="28"/>
  <c r="E119" i="28"/>
  <c r="D119" i="28"/>
  <c r="C119" i="28"/>
  <c r="B119" i="28"/>
  <c r="AA118" i="28"/>
  <c r="V118" i="28" s="1"/>
  <c r="Z118" i="28"/>
  <c r="Y118" i="28"/>
  <c r="X118" i="28"/>
  <c r="W118" i="28"/>
  <c r="T118" i="28"/>
  <c r="S118" i="28"/>
  <c r="R118" i="28"/>
  <c r="Q118" i="28"/>
  <c r="P118" i="28"/>
  <c r="O118" i="28"/>
  <c r="L118" i="28"/>
  <c r="K118" i="28"/>
  <c r="J118" i="28"/>
  <c r="I118" i="28"/>
  <c r="H118" i="28"/>
  <c r="G118" i="28"/>
  <c r="F118" i="28"/>
  <c r="E118" i="28"/>
  <c r="D118" i="28"/>
  <c r="C118" i="28"/>
  <c r="B118" i="28"/>
  <c r="AA117" i="28"/>
  <c r="X117" i="28" s="1"/>
  <c r="Z117" i="28"/>
  <c r="Y117" i="28"/>
  <c r="T117" i="28"/>
  <c r="S117" i="28"/>
  <c r="R117" i="28"/>
  <c r="Q117" i="28"/>
  <c r="L117" i="28"/>
  <c r="K117" i="28"/>
  <c r="J117" i="28"/>
  <c r="I117" i="28"/>
  <c r="D117" i="28"/>
  <c r="C117" i="28"/>
  <c r="B117" i="28"/>
  <c r="AA116" i="28"/>
  <c r="V116" i="28" s="1"/>
  <c r="T116" i="28"/>
  <c r="L116" i="28"/>
  <c r="D116" i="28"/>
  <c r="B116" i="28"/>
  <c r="AA115" i="28"/>
  <c r="Z115" i="28"/>
  <c r="Y115" i="28"/>
  <c r="X115" i="28"/>
  <c r="W115" i="28"/>
  <c r="V115" i="28"/>
  <c r="U115" i="28"/>
  <c r="T115" i="28"/>
  <c r="S115" i="28"/>
  <c r="R115" i="28"/>
  <c r="Q115" i="28"/>
  <c r="P115" i="28"/>
  <c r="O115" i="28"/>
  <c r="N115" i="28"/>
  <c r="M115" i="28"/>
  <c r="L115" i="28"/>
  <c r="K115" i="28"/>
  <c r="J115" i="28"/>
  <c r="I115" i="28"/>
  <c r="H115" i="28"/>
  <c r="G115" i="28"/>
  <c r="F115" i="28"/>
  <c r="E115" i="28"/>
  <c r="D115" i="28"/>
  <c r="C115" i="28"/>
  <c r="B115" i="28"/>
  <c r="AA114" i="28"/>
  <c r="U114" i="28" s="1"/>
  <c r="Z114" i="28"/>
  <c r="Y114" i="28"/>
  <c r="X114" i="28"/>
  <c r="W114" i="28"/>
  <c r="V114" i="28"/>
  <c r="T114" i="28"/>
  <c r="S114" i="28"/>
  <c r="R114" i="28"/>
  <c r="Q114" i="28"/>
  <c r="P114" i="28"/>
  <c r="O114" i="28"/>
  <c r="N114" i="28"/>
  <c r="L114" i="28"/>
  <c r="K114" i="28"/>
  <c r="J114" i="28"/>
  <c r="I114" i="28"/>
  <c r="H114" i="28"/>
  <c r="G114" i="28"/>
  <c r="F114" i="28"/>
  <c r="E114" i="28"/>
  <c r="D114" i="28"/>
  <c r="C114" i="28"/>
  <c r="B114" i="28"/>
  <c r="AA113" i="28"/>
  <c r="X113" i="28" s="1"/>
  <c r="Z113" i="28"/>
  <c r="Y113" i="28"/>
  <c r="T113" i="28"/>
  <c r="S113" i="28"/>
  <c r="R113" i="28"/>
  <c r="Q113" i="28"/>
  <c r="L113" i="28"/>
  <c r="K113" i="28"/>
  <c r="J113" i="28"/>
  <c r="I113" i="28"/>
  <c r="D113" i="28"/>
  <c r="C113" i="28"/>
  <c r="B113" i="28"/>
  <c r="AA112" i="28"/>
  <c r="V112" i="28"/>
  <c r="T112" i="28"/>
  <c r="S112" i="28"/>
  <c r="N112" i="28"/>
  <c r="L112" i="28"/>
  <c r="K112" i="28"/>
  <c r="F112" i="28"/>
  <c r="D112" i="28"/>
  <c r="C112" i="28"/>
  <c r="B112" i="28"/>
  <c r="AA111" i="28"/>
  <c r="Z111" i="28"/>
  <c r="Y111" i="28"/>
  <c r="X111" i="28"/>
  <c r="W111" i="28"/>
  <c r="V111" i="28"/>
  <c r="U111" i="28"/>
  <c r="T111" i="28"/>
  <c r="S111" i="28"/>
  <c r="R111" i="28"/>
  <c r="Q111" i="28"/>
  <c r="P111" i="28"/>
  <c r="O111" i="28"/>
  <c r="N111" i="28"/>
  <c r="M111" i="28"/>
  <c r="L111" i="28"/>
  <c r="K111" i="28"/>
  <c r="J111" i="28"/>
  <c r="I111" i="28"/>
  <c r="H111" i="28"/>
  <c r="G111" i="28"/>
  <c r="F111" i="28"/>
  <c r="E111" i="28"/>
  <c r="D111" i="28"/>
  <c r="C111" i="28"/>
  <c r="B111" i="28"/>
  <c r="AA110" i="28"/>
  <c r="Z110" i="28"/>
  <c r="Y110" i="28"/>
  <c r="X110" i="28"/>
  <c r="W110" i="28"/>
  <c r="V110" i="28"/>
  <c r="U110" i="28"/>
  <c r="T110" i="28"/>
  <c r="S110" i="28"/>
  <c r="R110" i="28"/>
  <c r="Q110" i="28"/>
  <c r="P110" i="28"/>
  <c r="O110" i="28"/>
  <c r="N110" i="28"/>
  <c r="M110" i="28"/>
  <c r="L110" i="28"/>
  <c r="K110" i="28"/>
  <c r="J110" i="28"/>
  <c r="I110" i="28"/>
  <c r="H110" i="28"/>
  <c r="G110" i="28"/>
  <c r="F110" i="28"/>
  <c r="E110" i="28"/>
  <c r="D110" i="28"/>
  <c r="C110" i="28"/>
  <c r="B110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115" i="27"/>
  <c r="L114" i="27"/>
  <c r="L113" i="27"/>
  <c r="L112" i="27"/>
  <c r="L111" i="27"/>
  <c r="L110" i="27"/>
  <c r="L109" i="27"/>
  <c r="L108" i="27"/>
  <c r="L107" i="27"/>
  <c r="L106" i="27"/>
  <c r="L79" i="27"/>
  <c r="L61" i="27"/>
  <c r="CY57" i="27"/>
  <c r="CX57" i="27"/>
  <c r="CW57" i="27"/>
  <c r="CV57" i="27"/>
  <c r="CU57" i="27"/>
  <c r="CT57" i="27"/>
  <c r="CS57" i="27"/>
  <c r="CR57" i="27"/>
  <c r="CQ57" i="27"/>
  <c r="CP57" i="27"/>
  <c r="CO57" i="27"/>
  <c r="CN57" i="27"/>
  <c r="CM57" i="27"/>
  <c r="CL57" i="27"/>
  <c r="CK57" i="27"/>
  <c r="CJ57" i="27"/>
  <c r="CI57" i="27"/>
  <c r="CH57" i="27"/>
  <c r="CG57" i="27"/>
  <c r="CF57" i="27"/>
  <c r="CE57" i="27"/>
  <c r="CD57" i="27"/>
  <c r="CC57" i="27"/>
  <c r="CB57" i="27"/>
  <c r="CY56" i="27"/>
  <c r="CX56" i="27"/>
  <c r="CW56" i="27"/>
  <c r="CV56" i="27"/>
  <c r="CU56" i="27"/>
  <c r="CT56" i="27"/>
  <c r="CS56" i="27"/>
  <c r="CR56" i="27"/>
  <c r="CQ56" i="27"/>
  <c r="CP56" i="27"/>
  <c r="CO56" i="27"/>
  <c r="CN56" i="27"/>
  <c r="CM56" i="27"/>
  <c r="CL56" i="27"/>
  <c r="CK56" i="27"/>
  <c r="CJ56" i="27"/>
  <c r="CI56" i="27"/>
  <c r="CH56" i="27"/>
  <c r="CG56" i="27"/>
  <c r="CF56" i="27"/>
  <c r="CE56" i="27"/>
  <c r="CD56" i="27"/>
  <c r="CC56" i="27"/>
  <c r="CB56" i="27"/>
  <c r="CY55" i="27"/>
  <c r="CX55" i="27"/>
  <c r="CW55" i="27"/>
  <c r="CV55" i="27"/>
  <c r="CU55" i="27"/>
  <c r="CT55" i="27"/>
  <c r="CS55" i="27"/>
  <c r="CR55" i="27"/>
  <c r="CQ55" i="27"/>
  <c r="CP55" i="27"/>
  <c r="CO55" i="27"/>
  <c r="CN55" i="27"/>
  <c r="CM55" i="27"/>
  <c r="CL55" i="27"/>
  <c r="CK55" i="27"/>
  <c r="CJ55" i="27"/>
  <c r="CI55" i="27"/>
  <c r="CH55" i="27"/>
  <c r="CG55" i="27"/>
  <c r="CF55" i="27"/>
  <c r="CE55" i="27"/>
  <c r="CD55" i="27"/>
  <c r="CC55" i="27"/>
  <c r="CB55" i="27"/>
  <c r="CY54" i="27"/>
  <c r="CX54" i="27"/>
  <c r="CW54" i="27"/>
  <c r="CV54" i="27"/>
  <c r="CU54" i="27"/>
  <c r="CT54" i="27"/>
  <c r="CS54" i="27"/>
  <c r="CR54" i="27"/>
  <c r="CQ54" i="27"/>
  <c r="CP54" i="27"/>
  <c r="CO54" i="27"/>
  <c r="CN54" i="27"/>
  <c r="CM54" i="27"/>
  <c r="CL54" i="27"/>
  <c r="CK54" i="27"/>
  <c r="CJ54" i="27"/>
  <c r="CI54" i="27"/>
  <c r="CH54" i="27"/>
  <c r="CG54" i="27"/>
  <c r="CF54" i="27"/>
  <c r="CE54" i="27"/>
  <c r="CD54" i="27"/>
  <c r="CC54" i="27"/>
  <c r="CB54" i="27"/>
  <c r="CY53" i="27"/>
  <c r="CX53" i="27"/>
  <c r="CW53" i="27"/>
  <c r="CV53" i="27"/>
  <c r="CU53" i="27"/>
  <c r="CT53" i="27"/>
  <c r="CS53" i="27"/>
  <c r="CR53" i="27"/>
  <c r="CQ53" i="27"/>
  <c r="CP53" i="27"/>
  <c r="CO53" i="27"/>
  <c r="CN53" i="27"/>
  <c r="CM53" i="27"/>
  <c r="CL53" i="27"/>
  <c r="CK53" i="27"/>
  <c r="CJ53" i="27"/>
  <c r="CI53" i="27"/>
  <c r="CH53" i="27"/>
  <c r="CG53" i="27"/>
  <c r="CF53" i="27"/>
  <c r="CE53" i="27"/>
  <c r="CD53" i="27"/>
  <c r="CC53" i="27"/>
  <c r="CB53" i="27"/>
  <c r="CY52" i="27"/>
  <c r="CX52" i="27"/>
  <c r="CW52" i="27"/>
  <c r="CV52" i="27"/>
  <c r="CU52" i="27"/>
  <c r="CT52" i="27"/>
  <c r="CS52" i="27"/>
  <c r="CR52" i="27"/>
  <c r="CQ52" i="27"/>
  <c r="CP52" i="27"/>
  <c r="CO52" i="27"/>
  <c r="CN52" i="27"/>
  <c r="CM52" i="27"/>
  <c r="CL52" i="27"/>
  <c r="CK52" i="27"/>
  <c r="CJ52" i="27"/>
  <c r="CI52" i="27"/>
  <c r="CH52" i="27"/>
  <c r="CG52" i="27"/>
  <c r="CF52" i="27"/>
  <c r="CE52" i="27"/>
  <c r="CD52" i="27"/>
  <c r="CC52" i="27"/>
  <c r="CB52" i="27"/>
  <c r="CY51" i="27"/>
  <c r="CX51" i="27"/>
  <c r="CW51" i="27"/>
  <c r="CV51" i="27"/>
  <c r="CU51" i="27"/>
  <c r="CT51" i="27"/>
  <c r="CS51" i="27"/>
  <c r="CR51" i="27"/>
  <c r="CQ51" i="27"/>
  <c r="CP51" i="27"/>
  <c r="CO51" i="27"/>
  <c r="CN51" i="27"/>
  <c r="CM51" i="27"/>
  <c r="CL51" i="27"/>
  <c r="CK51" i="27"/>
  <c r="CJ51" i="27"/>
  <c r="CI51" i="27"/>
  <c r="CH51" i="27"/>
  <c r="CG51" i="27"/>
  <c r="CF51" i="27"/>
  <c r="CE51" i="27"/>
  <c r="CD51" i="27"/>
  <c r="CC51" i="27"/>
  <c r="CB51" i="27"/>
  <c r="CY50" i="27"/>
  <c r="CX50" i="27"/>
  <c r="CW50" i="27"/>
  <c r="CV50" i="27"/>
  <c r="CU50" i="27"/>
  <c r="CT50" i="27"/>
  <c r="CS50" i="27"/>
  <c r="CR50" i="27"/>
  <c r="CQ50" i="27"/>
  <c r="CP50" i="27"/>
  <c r="CO50" i="27"/>
  <c r="CN50" i="27"/>
  <c r="CM50" i="27"/>
  <c r="CL50" i="27"/>
  <c r="CK50" i="27"/>
  <c r="CJ50" i="27"/>
  <c r="CI50" i="27"/>
  <c r="CH50" i="27"/>
  <c r="CG50" i="27"/>
  <c r="CF50" i="27"/>
  <c r="CE50" i="27"/>
  <c r="CD50" i="27"/>
  <c r="CC50" i="27"/>
  <c r="CB50" i="27"/>
  <c r="CY49" i="27"/>
  <c r="CX49" i="27"/>
  <c r="CW49" i="27"/>
  <c r="CV49" i="27"/>
  <c r="CU49" i="27"/>
  <c r="CT49" i="27"/>
  <c r="CS49" i="27"/>
  <c r="CR49" i="27"/>
  <c r="CQ49" i="27"/>
  <c r="CP49" i="27"/>
  <c r="CO49" i="27"/>
  <c r="CN49" i="27"/>
  <c r="CM49" i="27"/>
  <c r="CL49" i="27"/>
  <c r="CK49" i="27"/>
  <c r="CJ49" i="27"/>
  <c r="CI49" i="27"/>
  <c r="CH49" i="27"/>
  <c r="CG49" i="27"/>
  <c r="CF49" i="27"/>
  <c r="CE49" i="27"/>
  <c r="CD49" i="27"/>
  <c r="CC49" i="27"/>
  <c r="CB49" i="27"/>
  <c r="CY48" i="27"/>
  <c r="CX48" i="27"/>
  <c r="CW48" i="27"/>
  <c r="CV48" i="27"/>
  <c r="CU48" i="27"/>
  <c r="CT48" i="27"/>
  <c r="CS48" i="27"/>
  <c r="CR48" i="27"/>
  <c r="CQ48" i="27"/>
  <c r="CP48" i="27"/>
  <c r="CO48" i="27"/>
  <c r="CN48" i="27"/>
  <c r="CM48" i="27"/>
  <c r="CL48" i="27"/>
  <c r="CK48" i="27"/>
  <c r="CJ48" i="27"/>
  <c r="CI48" i="27"/>
  <c r="CH48" i="27"/>
  <c r="CG48" i="27"/>
  <c r="CF48" i="27"/>
  <c r="CE48" i="27"/>
  <c r="CD48" i="27"/>
  <c r="CC48" i="27"/>
  <c r="CB48" i="27"/>
  <c r="C166" i="31"/>
  <c r="C165" i="31"/>
  <c r="C164" i="31"/>
  <c r="C163" i="31"/>
  <c r="AE103" i="31"/>
  <c r="AD103" i="31"/>
  <c r="AC103" i="31"/>
  <c r="AB103" i="31"/>
  <c r="AA103" i="31"/>
  <c r="Z103" i="31"/>
  <c r="Y103" i="31"/>
  <c r="X103" i="31"/>
  <c r="W103" i="31"/>
  <c r="V103" i="31"/>
  <c r="U103" i="31"/>
  <c r="T103" i="31"/>
  <c r="S103" i="31"/>
  <c r="R103" i="31"/>
  <c r="Q103" i="31"/>
  <c r="P103" i="31"/>
  <c r="O103" i="31"/>
  <c r="N103" i="31"/>
  <c r="M103" i="31"/>
  <c r="L103" i="31"/>
  <c r="K103" i="31"/>
  <c r="J103" i="31"/>
  <c r="I103" i="31"/>
  <c r="H103" i="31"/>
  <c r="G103" i="31"/>
  <c r="AE102" i="31"/>
  <c r="AD102" i="31"/>
  <c r="AC102" i="31"/>
  <c r="AB102" i="31"/>
  <c r="AA102" i="31"/>
  <c r="Z102" i="31"/>
  <c r="Y102" i="31"/>
  <c r="X102" i="31"/>
  <c r="W102" i="31"/>
  <c r="V102" i="31"/>
  <c r="U102" i="31"/>
  <c r="T102" i="31"/>
  <c r="S102" i="31"/>
  <c r="R102" i="31"/>
  <c r="Q102" i="31"/>
  <c r="P102" i="31"/>
  <c r="O102" i="31"/>
  <c r="N102" i="31"/>
  <c r="M102" i="31"/>
  <c r="L102" i="31"/>
  <c r="K102" i="31"/>
  <c r="J102" i="31"/>
  <c r="I102" i="31"/>
  <c r="H102" i="31"/>
  <c r="G102" i="31"/>
  <c r="AE101" i="31"/>
  <c r="AD101" i="31"/>
  <c r="AC101" i="31"/>
  <c r="AB101" i="31"/>
  <c r="AA101" i="31"/>
  <c r="Z101" i="31"/>
  <c r="Y101" i="31"/>
  <c r="X101" i="31"/>
  <c r="W101" i="31"/>
  <c r="V101" i="31"/>
  <c r="U101" i="31"/>
  <c r="T101" i="31"/>
  <c r="S101" i="31"/>
  <c r="R101" i="31"/>
  <c r="Q101" i="31"/>
  <c r="P101" i="31"/>
  <c r="O101" i="31"/>
  <c r="N101" i="31"/>
  <c r="M101" i="31"/>
  <c r="L101" i="31"/>
  <c r="K101" i="31"/>
  <c r="J101" i="31"/>
  <c r="I101" i="31"/>
  <c r="H101" i="31"/>
  <c r="G101" i="31"/>
  <c r="AE100" i="31"/>
  <c r="AD100" i="31"/>
  <c r="AC100" i="31"/>
  <c r="AB100" i="31"/>
  <c r="AA100" i="31"/>
  <c r="Z100" i="31"/>
  <c r="Y100" i="31"/>
  <c r="X100" i="31"/>
  <c r="W100" i="31"/>
  <c r="V100" i="31"/>
  <c r="U100" i="31"/>
  <c r="T100" i="31"/>
  <c r="S100" i="31"/>
  <c r="R100" i="31"/>
  <c r="Q100" i="31"/>
  <c r="P100" i="31"/>
  <c r="O100" i="31"/>
  <c r="N100" i="31"/>
  <c r="M100" i="31"/>
  <c r="L100" i="31"/>
  <c r="K100" i="31"/>
  <c r="J100" i="31"/>
  <c r="I100" i="31"/>
  <c r="H100" i="31"/>
  <c r="G100" i="31"/>
  <c r="AE99" i="31"/>
  <c r="AD99" i="31"/>
  <c r="AC99" i="31"/>
  <c r="AB99" i="31"/>
  <c r="AA99" i="31"/>
  <c r="Z99" i="31"/>
  <c r="Y99" i="31"/>
  <c r="X99" i="31"/>
  <c r="W99" i="31"/>
  <c r="V99" i="31"/>
  <c r="U99" i="31"/>
  <c r="T99" i="31"/>
  <c r="S99" i="31"/>
  <c r="R99" i="31"/>
  <c r="Q99" i="31"/>
  <c r="P99" i="31"/>
  <c r="O99" i="31"/>
  <c r="N99" i="31"/>
  <c r="M99" i="31"/>
  <c r="L99" i="31"/>
  <c r="K99" i="31"/>
  <c r="J99" i="31"/>
  <c r="I99" i="31"/>
  <c r="H99" i="31"/>
  <c r="G99" i="31"/>
  <c r="AE98" i="31"/>
  <c r="AD98" i="31"/>
  <c r="AC98" i="31"/>
  <c r="AB98" i="31"/>
  <c r="AA98" i="31"/>
  <c r="Z98" i="31"/>
  <c r="Y98" i="31"/>
  <c r="X98" i="31"/>
  <c r="W98" i="31"/>
  <c r="V98" i="31"/>
  <c r="U98" i="31"/>
  <c r="T98" i="31"/>
  <c r="S98" i="31"/>
  <c r="R98" i="31"/>
  <c r="Q98" i="31"/>
  <c r="P98" i="31"/>
  <c r="O98" i="31"/>
  <c r="N98" i="31"/>
  <c r="M98" i="31"/>
  <c r="L98" i="31"/>
  <c r="K98" i="31"/>
  <c r="J98" i="31"/>
  <c r="I98" i="31"/>
  <c r="H98" i="31"/>
  <c r="G98" i="31"/>
  <c r="AE97" i="31"/>
  <c r="AD97" i="31"/>
  <c r="AC97" i="31"/>
  <c r="AB97" i="31"/>
  <c r="AA97" i="31"/>
  <c r="Z97" i="31"/>
  <c r="Y97" i="31"/>
  <c r="X97" i="31"/>
  <c r="W97" i="31"/>
  <c r="V97" i="31"/>
  <c r="U97" i="31"/>
  <c r="T97" i="31"/>
  <c r="S97" i="31"/>
  <c r="R97" i="31"/>
  <c r="Q97" i="31"/>
  <c r="P97" i="31"/>
  <c r="O97" i="31"/>
  <c r="N97" i="31"/>
  <c r="M97" i="31"/>
  <c r="L97" i="31"/>
  <c r="K97" i="31"/>
  <c r="J97" i="31"/>
  <c r="I97" i="31"/>
  <c r="H97" i="31"/>
  <c r="G97" i="31"/>
  <c r="AE96" i="31"/>
  <c r="AD96" i="31"/>
  <c r="AC96" i="31"/>
  <c r="AB96" i="31"/>
  <c r="AA96" i="31"/>
  <c r="Z96" i="31"/>
  <c r="Y96" i="31"/>
  <c r="X96" i="31"/>
  <c r="W96" i="31"/>
  <c r="V96" i="31"/>
  <c r="U96" i="31"/>
  <c r="T96" i="31"/>
  <c r="S96" i="31"/>
  <c r="R96" i="31"/>
  <c r="Q96" i="31"/>
  <c r="P96" i="31"/>
  <c r="O96" i="31"/>
  <c r="N96" i="31"/>
  <c r="M96" i="31"/>
  <c r="L96" i="31"/>
  <c r="K96" i="31"/>
  <c r="J96" i="31"/>
  <c r="I96" i="31"/>
  <c r="H96" i="31"/>
  <c r="G96" i="31"/>
  <c r="AE95" i="31"/>
  <c r="AD95" i="31"/>
  <c r="AC95" i="31"/>
  <c r="AC129" i="31" s="1"/>
  <c r="AB95" i="31"/>
  <c r="AA95" i="31"/>
  <c r="Z95" i="31"/>
  <c r="Y95" i="31"/>
  <c r="X95" i="31"/>
  <c r="W95" i="31"/>
  <c r="V95" i="31"/>
  <c r="U95" i="31"/>
  <c r="T95" i="31"/>
  <c r="S95" i="31"/>
  <c r="R95" i="31"/>
  <c r="Q95" i="31"/>
  <c r="P95" i="31"/>
  <c r="O95" i="31"/>
  <c r="N95" i="31"/>
  <c r="M95" i="31"/>
  <c r="M129" i="31" s="1"/>
  <c r="L95" i="31"/>
  <c r="K95" i="31"/>
  <c r="J95" i="31"/>
  <c r="I95" i="31"/>
  <c r="H95" i="31"/>
  <c r="G95" i="31"/>
  <c r="AE94" i="31"/>
  <c r="AD94" i="31"/>
  <c r="AC94" i="31"/>
  <c r="AB94" i="31"/>
  <c r="AA94" i="31"/>
  <c r="Z94" i="31"/>
  <c r="Y94" i="31"/>
  <c r="X94" i="31"/>
  <c r="W94" i="31"/>
  <c r="V94" i="31"/>
  <c r="U94" i="31"/>
  <c r="T94" i="31"/>
  <c r="S94" i="31"/>
  <c r="R94" i="31"/>
  <c r="Q94" i="31"/>
  <c r="P94" i="31"/>
  <c r="O94" i="31"/>
  <c r="N94" i="31"/>
  <c r="M94" i="31"/>
  <c r="L94" i="31"/>
  <c r="K94" i="31"/>
  <c r="J94" i="31"/>
  <c r="I94" i="31"/>
  <c r="H94" i="31"/>
  <c r="G94" i="31"/>
  <c r="BS118" i="31"/>
  <c r="BR118" i="31"/>
  <c r="BQ118" i="31"/>
  <c r="BP118" i="31"/>
  <c r="BO118" i="31"/>
  <c r="BN118" i="31"/>
  <c r="BM118" i="31"/>
  <c r="BL118" i="31"/>
  <c r="BK118" i="31"/>
  <c r="BJ118" i="31"/>
  <c r="BI118" i="31"/>
  <c r="BH118" i="31"/>
  <c r="BG118" i="31"/>
  <c r="BF118" i="31"/>
  <c r="BE118" i="31"/>
  <c r="BD118" i="31"/>
  <c r="BC118" i="31"/>
  <c r="BB118" i="31"/>
  <c r="BA118" i="31"/>
  <c r="AZ118" i="31"/>
  <c r="AY118" i="31"/>
  <c r="AX118" i="31"/>
  <c r="AW118" i="31"/>
  <c r="AV118" i="31"/>
  <c r="BS117" i="31"/>
  <c r="BR117" i="31"/>
  <c r="BQ117" i="31"/>
  <c r="BP117" i="31"/>
  <c r="BO117" i="31"/>
  <c r="BN117" i="31"/>
  <c r="BM117" i="31"/>
  <c r="BL117" i="31"/>
  <c r="BK117" i="31"/>
  <c r="BJ117" i="31"/>
  <c r="BI117" i="31"/>
  <c r="BH117" i="31"/>
  <c r="BG117" i="31"/>
  <c r="BF117" i="31"/>
  <c r="BE117" i="31"/>
  <c r="BD117" i="31"/>
  <c r="BC117" i="31"/>
  <c r="BB117" i="31"/>
  <c r="BA117" i="31"/>
  <c r="AZ117" i="31"/>
  <c r="AY117" i="31"/>
  <c r="AX117" i="31"/>
  <c r="AW117" i="31"/>
  <c r="AV117" i="31"/>
  <c r="BS116" i="31"/>
  <c r="BR116" i="31"/>
  <c r="BQ116" i="31"/>
  <c r="BP116" i="31"/>
  <c r="BO116" i="31"/>
  <c r="BN116" i="31"/>
  <c r="BM116" i="31"/>
  <c r="BL116" i="31"/>
  <c r="BK116" i="31"/>
  <c r="BJ116" i="31"/>
  <c r="BI116" i="31"/>
  <c r="BH116" i="31"/>
  <c r="BG116" i="31"/>
  <c r="BF116" i="31"/>
  <c r="BE116" i="31"/>
  <c r="BD116" i="31"/>
  <c r="BC116" i="31"/>
  <c r="BB116" i="31"/>
  <c r="BA116" i="31"/>
  <c r="AZ116" i="31"/>
  <c r="AY116" i="31"/>
  <c r="AX116" i="31"/>
  <c r="AW116" i="31"/>
  <c r="AV116" i="3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BS109" i="31"/>
  <c r="BR109" i="31"/>
  <c r="BQ109" i="31"/>
  <c r="BP109" i="31"/>
  <c r="BO109" i="31"/>
  <c r="BN109" i="31"/>
  <c r="BM109" i="31"/>
  <c r="BL109" i="31"/>
  <c r="BK109" i="31"/>
  <c r="BJ109" i="31"/>
  <c r="BI109" i="31"/>
  <c r="BG109" i="31"/>
  <c r="BF109" i="31"/>
  <c r="BE109" i="31"/>
  <c r="BD109" i="31"/>
  <c r="BC109" i="31"/>
  <c r="BB109" i="31"/>
  <c r="BA109" i="31"/>
  <c r="AZ109" i="31"/>
  <c r="AY109" i="31"/>
  <c r="AX109" i="31"/>
  <c r="AW109" i="31"/>
  <c r="AV109" i="31"/>
  <c r="BS107" i="31"/>
  <c r="BR107" i="31"/>
  <c r="BQ107" i="31"/>
  <c r="BP107" i="31"/>
  <c r="BO107" i="31"/>
  <c r="BN107" i="31"/>
  <c r="BM107" i="31"/>
  <c r="BL107" i="31"/>
  <c r="BK107" i="31"/>
  <c r="BJ107" i="31"/>
  <c r="BI107" i="31"/>
  <c r="BH107" i="31"/>
  <c r="BG107" i="31"/>
  <c r="BF107" i="31"/>
  <c r="BE107" i="31"/>
  <c r="BD107" i="31"/>
  <c r="BC107" i="31"/>
  <c r="BB107" i="31"/>
  <c r="BA107" i="31"/>
  <c r="AZ107" i="31"/>
  <c r="AY107" i="31"/>
  <c r="AX107" i="31"/>
  <c r="AW107" i="31"/>
  <c r="AV107" i="31"/>
  <c r="AT107" i="31"/>
  <c r="BS106" i="31"/>
  <c r="BR106" i="31"/>
  <c r="BQ106" i="31"/>
  <c r="BP106" i="31"/>
  <c r="BO106" i="31"/>
  <c r="BN106" i="31"/>
  <c r="BM106" i="31"/>
  <c r="BL106" i="31"/>
  <c r="BK106" i="31"/>
  <c r="BJ106" i="31"/>
  <c r="BI106" i="31"/>
  <c r="BH106" i="31"/>
  <c r="BG106" i="31"/>
  <c r="BF106" i="31"/>
  <c r="BE106" i="31"/>
  <c r="BD106" i="31"/>
  <c r="BC106" i="31"/>
  <c r="BB106" i="31"/>
  <c r="BA106" i="31"/>
  <c r="AZ106" i="31"/>
  <c r="AY106" i="31"/>
  <c r="AX106" i="31"/>
  <c r="AW106" i="31"/>
  <c r="AV106" i="31"/>
  <c r="AT106" i="31"/>
  <c r="BS105" i="31"/>
  <c r="BR105" i="31"/>
  <c r="BQ105" i="31"/>
  <c r="BP105" i="31"/>
  <c r="BO105" i="31"/>
  <c r="BN105" i="31"/>
  <c r="BM105" i="31"/>
  <c r="BL105" i="31"/>
  <c r="BK105" i="31"/>
  <c r="BJ105" i="31"/>
  <c r="BI105" i="31"/>
  <c r="BH105" i="31"/>
  <c r="BG105" i="31"/>
  <c r="BF105" i="31"/>
  <c r="BE105" i="31"/>
  <c r="BD105" i="31"/>
  <c r="BC105" i="31"/>
  <c r="BB105" i="31"/>
  <c r="BA105" i="31"/>
  <c r="AZ105" i="31"/>
  <c r="AY105" i="31"/>
  <c r="AX105" i="31"/>
  <c r="AW105" i="31"/>
  <c r="AV105" i="31"/>
  <c r="AT105" i="31"/>
  <c r="BS104" i="31"/>
  <c r="BR104" i="31"/>
  <c r="BQ104" i="31"/>
  <c r="BP104" i="31"/>
  <c r="BO104" i="31"/>
  <c r="BN104" i="31"/>
  <c r="BM104" i="31"/>
  <c r="BL104" i="31"/>
  <c r="BK104" i="31"/>
  <c r="BJ104" i="31"/>
  <c r="BI104" i="31"/>
  <c r="BH104" i="31"/>
  <c r="BG104" i="31"/>
  <c r="BF104" i="31"/>
  <c r="BE104" i="31"/>
  <c r="BD104" i="31"/>
  <c r="BC104" i="31"/>
  <c r="BB104" i="31"/>
  <c r="BA104" i="31"/>
  <c r="AZ104" i="31"/>
  <c r="AY104" i="31"/>
  <c r="AX104" i="31"/>
  <c r="AW104" i="31"/>
  <c r="AV104" i="31"/>
  <c r="AT104" i="31"/>
  <c r="BS103" i="31"/>
  <c r="BR103" i="31"/>
  <c r="BQ103" i="31"/>
  <c r="BP103" i="31"/>
  <c r="BO103" i="31"/>
  <c r="BN103" i="31"/>
  <c r="BM103" i="31"/>
  <c r="BL103" i="31"/>
  <c r="BK103" i="31"/>
  <c r="BJ103" i="31"/>
  <c r="BI103" i="31"/>
  <c r="BH103" i="31"/>
  <c r="BG103" i="31"/>
  <c r="BF103" i="31"/>
  <c r="BE103" i="31"/>
  <c r="BD103" i="31"/>
  <c r="BC103" i="31"/>
  <c r="BB103" i="31"/>
  <c r="BA103" i="31"/>
  <c r="AZ103" i="31"/>
  <c r="AY103" i="31"/>
  <c r="AX103" i="31"/>
  <c r="AW103" i="31"/>
  <c r="AV103" i="31"/>
  <c r="AT103" i="31"/>
  <c r="BS102" i="31"/>
  <c r="BR102" i="31"/>
  <c r="BQ102" i="31"/>
  <c r="BP102" i="31"/>
  <c r="BO102" i="31"/>
  <c r="BN102" i="31"/>
  <c r="BM102" i="31"/>
  <c r="BL102" i="31"/>
  <c r="BK102" i="31"/>
  <c r="BJ102" i="31"/>
  <c r="BI102" i="31"/>
  <c r="BH102" i="31"/>
  <c r="BG102" i="31"/>
  <c r="BF102" i="31"/>
  <c r="BE102" i="31"/>
  <c r="BD102" i="31"/>
  <c r="BC102" i="31"/>
  <c r="BB102" i="31"/>
  <c r="BA102" i="31"/>
  <c r="AZ102" i="31"/>
  <c r="AY102" i="31"/>
  <c r="AX102" i="31"/>
  <c r="AW102" i="31"/>
  <c r="AV102" i="31"/>
  <c r="AT102" i="31"/>
  <c r="BS101" i="31"/>
  <c r="BR101" i="31"/>
  <c r="BQ101" i="31"/>
  <c r="BP101" i="31"/>
  <c r="BO101" i="31"/>
  <c r="BN101" i="31"/>
  <c r="BM101" i="31"/>
  <c r="BL101" i="31"/>
  <c r="BK101" i="31"/>
  <c r="BJ101" i="31"/>
  <c r="BJ154" i="31" s="1"/>
  <c r="BI101" i="31"/>
  <c r="BH101" i="31"/>
  <c r="BG101" i="31"/>
  <c r="BF101" i="31"/>
  <c r="BE101" i="31"/>
  <c r="BD101" i="31"/>
  <c r="BC101" i="31"/>
  <c r="BB101" i="31"/>
  <c r="BA101" i="31"/>
  <c r="AZ101" i="31"/>
  <c r="AY101" i="31"/>
  <c r="AX101" i="31"/>
  <c r="AW101" i="31"/>
  <c r="AV101" i="31"/>
  <c r="AT101" i="31"/>
  <c r="BS100" i="31"/>
  <c r="BR100" i="31"/>
  <c r="BQ100" i="31"/>
  <c r="BP100" i="31"/>
  <c r="BO100" i="31"/>
  <c r="BN100" i="31"/>
  <c r="BM100" i="31"/>
  <c r="BL100" i="31"/>
  <c r="BK100" i="31"/>
  <c r="BJ100" i="31"/>
  <c r="BI100" i="31"/>
  <c r="BH100" i="31"/>
  <c r="BG100" i="31"/>
  <c r="BF100" i="31"/>
  <c r="BE100" i="31"/>
  <c r="BD100" i="31"/>
  <c r="BC100" i="31"/>
  <c r="BB100" i="31"/>
  <c r="BA100" i="31"/>
  <c r="AZ100" i="31"/>
  <c r="AY100" i="31"/>
  <c r="AX100" i="31"/>
  <c r="AW100" i="31"/>
  <c r="AV100" i="31"/>
  <c r="AT100" i="31"/>
  <c r="BS99" i="31"/>
  <c r="BR99" i="31"/>
  <c r="BQ99" i="31"/>
  <c r="BP99" i="31"/>
  <c r="BO99" i="31"/>
  <c r="BN99" i="31"/>
  <c r="BM99" i="31"/>
  <c r="BL99" i="31"/>
  <c r="BK99" i="31"/>
  <c r="BJ99" i="31"/>
  <c r="BI99" i="31"/>
  <c r="BH99" i="31"/>
  <c r="BG99" i="31"/>
  <c r="BF99" i="31"/>
  <c r="BE99" i="31"/>
  <c r="BD99" i="31"/>
  <c r="BC99" i="31"/>
  <c r="BB99" i="31"/>
  <c r="BA99" i="31"/>
  <c r="AZ99" i="31"/>
  <c r="AY99" i="31"/>
  <c r="AX99" i="31"/>
  <c r="AW99" i="31"/>
  <c r="AV99" i="31"/>
  <c r="AT99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98" i="31"/>
  <c r="AT96" i="31"/>
  <c r="AT95" i="31"/>
  <c r="AT94" i="31"/>
  <c r="AT93" i="31"/>
  <c r="AT92" i="31"/>
  <c r="AT91" i="31"/>
  <c r="AT90" i="31"/>
  <c r="AT89" i="31"/>
  <c r="AT88" i="31"/>
  <c r="AT87" i="31"/>
  <c r="BE67" i="30"/>
  <c r="BD67" i="30"/>
  <c r="BC67" i="30"/>
  <c r="BB67" i="30"/>
  <c r="BA67" i="30"/>
  <c r="AZ67" i="30"/>
  <c r="AY67" i="30"/>
  <c r="AX67" i="30"/>
  <c r="AW67" i="30"/>
  <c r="AV67" i="30"/>
  <c r="AU67" i="30"/>
  <c r="AT67" i="30"/>
  <c r="AS67" i="30"/>
  <c r="AR67" i="30"/>
  <c r="AQ67" i="30"/>
  <c r="AP67" i="30"/>
  <c r="AO67" i="30"/>
  <c r="AN67" i="30"/>
  <c r="AM67" i="30"/>
  <c r="AL67" i="30"/>
  <c r="AK67" i="30"/>
  <c r="AJ67" i="30"/>
  <c r="AI67" i="30"/>
  <c r="AH67" i="30"/>
  <c r="AG67" i="30"/>
  <c r="BE66" i="30"/>
  <c r="BD66" i="30"/>
  <c r="BC66" i="30"/>
  <c r="BB66" i="30"/>
  <c r="BA66" i="30"/>
  <c r="AZ66" i="30"/>
  <c r="AY66" i="30"/>
  <c r="AX66" i="30"/>
  <c r="AW66" i="30"/>
  <c r="AV66" i="30"/>
  <c r="AU66" i="30"/>
  <c r="AT66" i="30"/>
  <c r="AS66" i="30"/>
  <c r="AR66" i="30"/>
  <c r="AQ66" i="30"/>
  <c r="AP66" i="30"/>
  <c r="AO66" i="30"/>
  <c r="AN66" i="30"/>
  <c r="AM66" i="30"/>
  <c r="AL66" i="30"/>
  <c r="AK66" i="30"/>
  <c r="AJ66" i="30"/>
  <c r="AI66" i="30"/>
  <c r="AH66" i="30"/>
  <c r="AG66" i="30"/>
  <c r="BE65" i="30"/>
  <c r="BD65" i="30"/>
  <c r="BC65" i="30"/>
  <c r="BB65" i="30"/>
  <c r="BA65" i="30"/>
  <c r="AZ65" i="30"/>
  <c r="AY65" i="30"/>
  <c r="AX65" i="30"/>
  <c r="AW65" i="30"/>
  <c r="AV65" i="30"/>
  <c r="AU65" i="30"/>
  <c r="AT65" i="30"/>
  <c r="AS65" i="30"/>
  <c r="AR65" i="30"/>
  <c r="AQ65" i="30"/>
  <c r="AP65" i="30"/>
  <c r="AO65" i="30"/>
  <c r="AN65" i="30"/>
  <c r="AM65" i="30"/>
  <c r="AL65" i="30"/>
  <c r="AK65" i="30"/>
  <c r="AJ65" i="30"/>
  <c r="AI65" i="30"/>
  <c r="AH65" i="30"/>
  <c r="AG65" i="30"/>
  <c r="BE64" i="30"/>
  <c r="BD64" i="30"/>
  <c r="BC64" i="30"/>
  <c r="BB64" i="30"/>
  <c r="BA64" i="30"/>
  <c r="AZ64" i="30"/>
  <c r="AY64" i="30"/>
  <c r="AX64" i="30"/>
  <c r="AW64" i="30"/>
  <c r="AV64" i="30"/>
  <c r="AU64" i="30"/>
  <c r="AT64" i="30"/>
  <c r="AS64" i="30"/>
  <c r="AR64" i="30"/>
  <c r="AQ64" i="30"/>
  <c r="AP64" i="30"/>
  <c r="AO64" i="30"/>
  <c r="AN64" i="30"/>
  <c r="AM64" i="30"/>
  <c r="AL64" i="30"/>
  <c r="AK64" i="30"/>
  <c r="AJ64" i="30"/>
  <c r="AI64" i="30"/>
  <c r="AH64" i="30"/>
  <c r="AG64" i="30"/>
  <c r="BE63" i="30"/>
  <c r="BD63" i="30"/>
  <c r="BC63" i="30"/>
  <c r="BB63" i="30"/>
  <c r="BA63" i="30"/>
  <c r="AZ63" i="30"/>
  <c r="AY63" i="30"/>
  <c r="AX63" i="30"/>
  <c r="AW63" i="30"/>
  <c r="AV63" i="30"/>
  <c r="AU63" i="30"/>
  <c r="AT63" i="30"/>
  <c r="AS63" i="30"/>
  <c r="AR63" i="30"/>
  <c r="AQ63" i="30"/>
  <c r="AP63" i="30"/>
  <c r="AO63" i="30"/>
  <c r="AN63" i="30"/>
  <c r="AM63" i="30"/>
  <c r="AL63" i="30"/>
  <c r="AK63" i="30"/>
  <c r="AJ63" i="30"/>
  <c r="AI63" i="30"/>
  <c r="AH63" i="30"/>
  <c r="AG63" i="30"/>
  <c r="BE62" i="30"/>
  <c r="BD62" i="30"/>
  <c r="BC62" i="30"/>
  <c r="BB62" i="30"/>
  <c r="BA62" i="30"/>
  <c r="AZ62" i="30"/>
  <c r="AY62" i="30"/>
  <c r="AX62" i="30"/>
  <c r="AW62" i="30"/>
  <c r="AV62" i="30"/>
  <c r="AU62" i="30"/>
  <c r="AT62" i="30"/>
  <c r="AS62" i="30"/>
  <c r="AR62" i="30"/>
  <c r="AQ62" i="30"/>
  <c r="AP62" i="30"/>
  <c r="AO62" i="30"/>
  <c r="AN62" i="30"/>
  <c r="AM62" i="30"/>
  <c r="AL62" i="30"/>
  <c r="AK62" i="30"/>
  <c r="AJ62" i="30"/>
  <c r="AI62" i="30"/>
  <c r="AH62" i="30"/>
  <c r="AG62" i="30"/>
  <c r="BE61" i="30"/>
  <c r="BD61" i="30"/>
  <c r="BD72" i="30" s="1"/>
  <c r="BC61" i="30"/>
  <c r="BB61" i="30"/>
  <c r="BA61" i="30"/>
  <c r="AZ61" i="30"/>
  <c r="AY61" i="30"/>
  <c r="AX61" i="30"/>
  <c r="AW61" i="30"/>
  <c r="AV61" i="30"/>
  <c r="AU61" i="30"/>
  <c r="AT61" i="30"/>
  <c r="AS61" i="30"/>
  <c r="AR61" i="30"/>
  <c r="AQ61" i="30"/>
  <c r="AP61" i="30"/>
  <c r="AO61" i="30"/>
  <c r="AN61" i="30"/>
  <c r="AM61" i="30"/>
  <c r="AL61" i="30"/>
  <c r="AK61" i="30"/>
  <c r="AJ61" i="30"/>
  <c r="AI61" i="30"/>
  <c r="AH61" i="30"/>
  <c r="AG61" i="30"/>
  <c r="BE60" i="30"/>
  <c r="BD60" i="30"/>
  <c r="BC60" i="30"/>
  <c r="BB60" i="30"/>
  <c r="BA60" i="30"/>
  <c r="AZ60" i="30"/>
  <c r="AY60" i="30"/>
  <c r="AX60" i="30"/>
  <c r="AW60" i="30"/>
  <c r="AV60" i="30"/>
  <c r="AU60" i="30"/>
  <c r="AT60" i="30"/>
  <c r="AS60" i="30"/>
  <c r="AR60" i="30"/>
  <c r="AQ60" i="30"/>
  <c r="AP60" i="30"/>
  <c r="AO60" i="30"/>
  <c r="AN60" i="30"/>
  <c r="AM60" i="30"/>
  <c r="AL60" i="30"/>
  <c r="AK60" i="30"/>
  <c r="AJ60" i="30"/>
  <c r="AI60" i="30"/>
  <c r="AH60" i="30"/>
  <c r="AG60" i="30"/>
  <c r="BE59" i="30"/>
  <c r="BE70" i="30" s="1"/>
  <c r="BD59" i="30"/>
  <c r="BC59" i="30"/>
  <c r="BB59" i="30"/>
  <c r="BA59" i="30"/>
  <c r="AZ59" i="30"/>
  <c r="AY59" i="30"/>
  <c r="AX59" i="30"/>
  <c r="AW59" i="30"/>
  <c r="AW70" i="30" s="1"/>
  <c r="AV59" i="30"/>
  <c r="AU59" i="30"/>
  <c r="AT59" i="30"/>
  <c r="AS59" i="30"/>
  <c r="AR59" i="30"/>
  <c r="AQ59" i="30"/>
  <c r="AP59" i="30"/>
  <c r="AO59" i="30"/>
  <c r="AN59" i="30"/>
  <c r="AM59" i="30"/>
  <c r="AL59" i="30"/>
  <c r="AK59" i="30"/>
  <c r="AJ59" i="30"/>
  <c r="AI59" i="30"/>
  <c r="AH59" i="30"/>
  <c r="AG59" i="30"/>
  <c r="BE58" i="30"/>
  <c r="BD58" i="30"/>
  <c r="BC58" i="30"/>
  <c r="BB58" i="30"/>
  <c r="BA58" i="30"/>
  <c r="AZ58" i="30"/>
  <c r="AY58" i="30"/>
  <c r="AX58" i="30"/>
  <c r="AW58" i="30"/>
  <c r="AV58" i="30"/>
  <c r="AU58" i="30"/>
  <c r="AT58" i="30"/>
  <c r="AS58" i="30"/>
  <c r="AR58" i="30"/>
  <c r="AQ58" i="30"/>
  <c r="AP58" i="30"/>
  <c r="AO58" i="30"/>
  <c r="AN58" i="30"/>
  <c r="AM58" i="30"/>
  <c r="AL58" i="30"/>
  <c r="AK58" i="30"/>
  <c r="AJ58" i="30"/>
  <c r="AI58" i="30"/>
  <c r="AH58" i="30"/>
  <c r="AG5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AG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AU55" i="30"/>
  <c r="AT55" i="30"/>
  <c r="AS55" i="30"/>
  <c r="AR55" i="30"/>
  <c r="AQ55" i="30"/>
  <c r="AP55" i="30"/>
  <c r="AO55" i="30"/>
  <c r="AN55" i="30"/>
  <c r="AM55" i="30"/>
  <c r="AL55" i="30"/>
  <c r="AK55" i="30"/>
  <c r="AJ55" i="30"/>
  <c r="AI55" i="30"/>
  <c r="AH55" i="30"/>
  <c r="AG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AU54" i="30"/>
  <c r="AT54" i="30"/>
  <c r="AS54" i="30"/>
  <c r="AR54" i="30"/>
  <c r="AQ54" i="30"/>
  <c r="AP54" i="30"/>
  <c r="AO54" i="30"/>
  <c r="AN54" i="30"/>
  <c r="AM54" i="30"/>
  <c r="AL54" i="30"/>
  <c r="AK54" i="30"/>
  <c r="AJ54" i="30"/>
  <c r="AI54" i="30"/>
  <c r="AH54" i="30"/>
  <c r="AG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AU53" i="30"/>
  <c r="AT53" i="30"/>
  <c r="AS53" i="30"/>
  <c r="AR53" i="30"/>
  <c r="AQ53" i="30"/>
  <c r="AP53" i="30"/>
  <c r="AO53" i="30"/>
  <c r="AN53" i="30"/>
  <c r="AM53" i="30"/>
  <c r="AL53" i="30"/>
  <c r="AK53" i="30"/>
  <c r="AJ53" i="30"/>
  <c r="AI53" i="30"/>
  <c r="AH53" i="30"/>
  <c r="AG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AU52" i="30"/>
  <c r="AT52" i="30"/>
  <c r="AS52" i="30"/>
  <c r="AR52" i="30"/>
  <c r="AQ52" i="30"/>
  <c r="AP52" i="30"/>
  <c r="AO52" i="30"/>
  <c r="AN52" i="30"/>
  <c r="AM52" i="30"/>
  <c r="AL52" i="30"/>
  <c r="AK52" i="30"/>
  <c r="AJ52" i="30"/>
  <c r="AI52" i="30"/>
  <c r="AH52" i="30"/>
  <c r="AG52" i="30"/>
  <c r="BS51" i="30"/>
  <c r="BS73" i="30" s="1"/>
  <c r="BR51" i="30"/>
  <c r="BQ51" i="30"/>
  <c r="BP51" i="30"/>
  <c r="BO51" i="30"/>
  <c r="BN51" i="30"/>
  <c r="BM51" i="30"/>
  <c r="BL51" i="30"/>
  <c r="BK51" i="30"/>
  <c r="BJ51" i="30"/>
  <c r="BJ73" i="30" s="1"/>
  <c r="BI51" i="30"/>
  <c r="BI73" i="30" s="1"/>
  <c r="BH51" i="30"/>
  <c r="BH62" i="30" s="1"/>
  <c r="BH73" i="30" s="1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AV73" i="30" s="1"/>
  <c r="AU51" i="30"/>
  <c r="AT51" i="30"/>
  <c r="AS51" i="30"/>
  <c r="AR51" i="30"/>
  <c r="AQ51" i="30"/>
  <c r="AP51" i="30"/>
  <c r="AO51" i="30"/>
  <c r="AN51" i="30"/>
  <c r="AM51" i="30"/>
  <c r="AL51" i="30"/>
  <c r="AK51" i="30"/>
  <c r="AJ51" i="30"/>
  <c r="AI51" i="30"/>
  <c r="AH51" i="30"/>
  <c r="AG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AG50" i="30"/>
  <c r="BS49" i="30"/>
  <c r="BR49" i="30"/>
  <c r="BR71" i="30" s="1"/>
  <c r="BQ49" i="30"/>
  <c r="BP49" i="30"/>
  <c r="BO49" i="30"/>
  <c r="BN49" i="30"/>
  <c r="BM49" i="30"/>
  <c r="BL49" i="30"/>
  <c r="BK49" i="30"/>
  <c r="BK71" i="30" s="1"/>
  <c r="BJ49" i="30"/>
  <c r="BJ71" i="30" s="1"/>
  <c r="BI49" i="30"/>
  <c r="BH49" i="30"/>
  <c r="BG49" i="30"/>
  <c r="BF49" i="30"/>
  <c r="BE49" i="30"/>
  <c r="BE71" i="30" s="1"/>
  <c r="BD49" i="30"/>
  <c r="BD71" i="30" s="1"/>
  <c r="BC49" i="30"/>
  <c r="BC71" i="30" s="1"/>
  <c r="BB49" i="30"/>
  <c r="BA49" i="30"/>
  <c r="AZ49" i="30"/>
  <c r="AY49" i="30"/>
  <c r="AX49" i="30"/>
  <c r="AW49" i="30"/>
  <c r="AW71" i="30" s="1"/>
  <c r="AV49" i="30"/>
  <c r="AV71" i="30" s="1"/>
  <c r="AG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G48" i="30"/>
  <c r="AG47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BS46" i="29"/>
  <c r="BR46" i="29"/>
  <c r="BQ46" i="29"/>
  <c r="BP46" i="29"/>
  <c r="BO46" i="29"/>
  <c r="BN46" i="29"/>
  <c r="BM46" i="29"/>
  <c r="BL46" i="29"/>
  <c r="BK46" i="29"/>
  <c r="BJ46" i="29"/>
  <c r="BI46" i="29"/>
  <c r="BH46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T46" i="29"/>
  <c r="BS45" i="29"/>
  <c r="BR45" i="29"/>
  <c r="BQ45" i="29"/>
  <c r="BP45" i="29"/>
  <c r="BO45" i="29"/>
  <c r="BN45" i="29"/>
  <c r="BM45" i="29"/>
  <c r="BL45" i="29"/>
  <c r="BK45" i="29"/>
  <c r="BJ45" i="29"/>
  <c r="BI45" i="29"/>
  <c r="BH45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T45" i="29"/>
  <c r="BS44" i="29"/>
  <c r="BR44" i="29"/>
  <c r="BQ44" i="29"/>
  <c r="BP44" i="29"/>
  <c r="BO44" i="29"/>
  <c r="BN44" i="29"/>
  <c r="BM44" i="29"/>
  <c r="BL44" i="29"/>
  <c r="BK44" i="29"/>
  <c r="BJ44" i="29"/>
  <c r="BI44" i="29"/>
  <c r="BH44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T44" i="29"/>
  <c r="BS43" i="29"/>
  <c r="BR43" i="29"/>
  <c r="BQ43" i="29"/>
  <c r="BP43" i="29"/>
  <c r="BO43" i="29"/>
  <c r="BN43" i="29"/>
  <c r="BM43" i="29"/>
  <c r="BL43" i="29"/>
  <c r="BK43" i="29"/>
  <c r="BJ43" i="29"/>
  <c r="BI43" i="29"/>
  <c r="BH43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T43" i="29"/>
  <c r="BS42" i="29"/>
  <c r="BR42" i="29"/>
  <c r="BQ42" i="29"/>
  <c r="BP42" i="29"/>
  <c r="BO42" i="29"/>
  <c r="BN42" i="29"/>
  <c r="BM42" i="29"/>
  <c r="BL42" i="29"/>
  <c r="BK42" i="29"/>
  <c r="BJ42" i="29"/>
  <c r="BI42" i="29"/>
  <c r="BH42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T42" i="29"/>
  <c r="BS41" i="29"/>
  <c r="BR41" i="29"/>
  <c r="BQ41" i="29"/>
  <c r="BP41" i="29"/>
  <c r="BO41" i="29"/>
  <c r="BN41" i="29"/>
  <c r="BM41" i="29"/>
  <c r="BL41" i="29"/>
  <c r="BK41" i="29"/>
  <c r="BJ41" i="29"/>
  <c r="BI41" i="29"/>
  <c r="BH41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T41" i="29"/>
  <c r="BS40" i="29"/>
  <c r="BS93" i="29" s="1"/>
  <c r="BR40" i="29"/>
  <c r="BQ40" i="29"/>
  <c r="BP40" i="29"/>
  <c r="BP93" i="29" s="1"/>
  <c r="BO40" i="29"/>
  <c r="BN40" i="29"/>
  <c r="BM40" i="29"/>
  <c r="BL40" i="29"/>
  <c r="BK40" i="29"/>
  <c r="BJ40" i="29"/>
  <c r="BI40" i="29"/>
  <c r="BH40" i="29"/>
  <c r="BG40" i="29"/>
  <c r="BF40" i="29"/>
  <c r="BE40" i="29"/>
  <c r="BD40" i="29"/>
  <c r="BC40" i="29"/>
  <c r="BB40" i="29"/>
  <c r="BA40" i="29"/>
  <c r="BA93" i="29" s="1"/>
  <c r="AZ40" i="29"/>
  <c r="AY40" i="29"/>
  <c r="AX40" i="29"/>
  <c r="AW40" i="29"/>
  <c r="AV40" i="29"/>
  <c r="AT40" i="29"/>
  <c r="BS39" i="29"/>
  <c r="BR39" i="29"/>
  <c r="BQ39" i="29"/>
  <c r="BP39" i="29"/>
  <c r="BO39" i="29"/>
  <c r="BN39" i="29"/>
  <c r="BM39" i="29"/>
  <c r="BL39" i="29"/>
  <c r="BK39" i="29"/>
  <c r="BJ39" i="29"/>
  <c r="BI39" i="29"/>
  <c r="BH39" i="29"/>
  <c r="BG39" i="29"/>
  <c r="BF39" i="29"/>
  <c r="BE39" i="29"/>
  <c r="BD39" i="29"/>
  <c r="BC39" i="29"/>
  <c r="BB39" i="29"/>
  <c r="BA39" i="29"/>
  <c r="AZ39" i="29"/>
  <c r="AY39" i="29"/>
  <c r="AX39" i="29"/>
  <c r="AW39" i="29"/>
  <c r="AV39" i="29"/>
  <c r="AT39" i="29"/>
  <c r="BS38" i="29"/>
  <c r="BR38" i="29"/>
  <c r="BQ38" i="29"/>
  <c r="BP38" i="29"/>
  <c r="BO38" i="29"/>
  <c r="BN38" i="29"/>
  <c r="BM38" i="29"/>
  <c r="BM91" i="29" s="1"/>
  <c r="BL38" i="29"/>
  <c r="BK38" i="29"/>
  <c r="BJ38" i="29"/>
  <c r="BI38" i="29"/>
  <c r="BH38" i="29"/>
  <c r="BG38" i="29"/>
  <c r="BF38" i="29"/>
  <c r="BE38" i="29"/>
  <c r="BE91" i="29" s="1"/>
  <c r="BD38" i="29"/>
  <c r="BC38" i="29"/>
  <c r="BB38" i="29"/>
  <c r="BA38" i="29"/>
  <c r="AZ38" i="29"/>
  <c r="AY38" i="29"/>
  <c r="AX38" i="29"/>
  <c r="AW38" i="29"/>
  <c r="AW91" i="29" s="1"/>
  <c r="AV38" i="29"/>
  <c r="AT38" i="29"/>
  <c r="BS37" i="29"/>
  <c r="BR37" i="29"/>
  <c r="BQ37" i="29"/>
  <c r="BP37" i="29"/>
  <c r="BO37" i="29"/>
  <c r="BN37" i="29"/>
  <c r="BM37" i="29"/>
  <c r="BL37" i="29"/>
  <c r="BK37" i="29"/>
  <c r="BJ37" i="29"/>
  <c r="BI37" i="29"/>
  <c r="BH37" i="29"/>
  <c r="BG37" i="29"/>
  <c r="BF37" i="29"/>
  <c r="BE37" i="29"/>
  <c r="BD37" i="29"/>
  <c r="BC37" i="29"/>
  <c r="BB37" i="29"/>
  <c r="BA37" i="29"/>
  <c r="AZ37" i="29"/>
  <c r="AY37" i="29"/>
  <c r="AX37" i="29"/>
  <c r="AW37" i="29"/>
  <c r="AV37" i="29"/>
  <c r="AT37" i="29"/>
  <c r="AT35" i="29"/>
  <c r="AT34" i="29"/>
  <c r="AT33" i="29"/>
  <c r="AT32" i="29"/>
  <c r="AT31" i="29"/>
  <c r="AT30" i="29"/>
  <c r="AT29" i="29"/>
  <c r="AT28" i="29"/>
  <c r="AT27" i="29"/>
  <c r="AT26" i="29"/>
  <c r="BS13" i="29"/>
  <c r="BR13" i="29"/>
  <c r="BQ13" i="29"/>
  <c r="BP13" i="29"/>
  <c r="BO13" i="29"/>
  <c r="BN13" i="29"/>
  <c r="BM13" i="29"/>
  <c r="BL13" i="29"/>
  <c r="BL24" i="29" s="1"/>
  <c r="BK13" i="29"/>
  <c r="BJ13" i="29"/>
  <c r="BI13" i="29"/>
  <c r="BH13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V24" i="29" s="1"/>
  <c r="BS12" i="29"/>
  <c r="BR12" i="29"/>
  <c r="BQ12" i="29"/>
  <c r="BP12" i="29"/>
  <c r="BO12" i="29"/>
  <c r="BN12" i="29"/>
  <c r="BM12" i="29"/>
  <c r="BL12" i="29"/>
  <c r="BK12" i="29"/>
  <c r="BJ12" i="29"/>
  <c r="BI12" i="29"/>
  <c r="BH12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BS11" i="29"/>
  <c r="BR11" i="29"/>
  <c r="BQ11" i="29"/>
  <c r="BP11" i="29"/>
  <c r="BO11" i="29"/>
  <c r="BN11" i="29"/>
  <c r="BM11" i="29"/>
  <c r="BL11" i="29"/>
  <c r="BK11" i="29"/>
  <c r="BJ11" i="29"/>
  <c r="BI11" i="29"/>
  <c r="BH11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BS10" i="29"/>
  <c r="BR10" i="29"/>
  <c r="BQ10" i="29"/>
  <c r="BP10" i="29"/>
  <c r="BO10" i="29"/>
  <c r="BN10" i="29"/>
  <c r="BM10" i="29"/>
  <c r="BL10" i="29"/>
  <c r="BK10" i="29"/>
  <c r="BJ10" i="29"/>
  <c r="BI10" i="29"/>
  <c r="BH10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BS9" i="29"/>
  <c r="BR9" i="29"/>
  <c r="BQ9" i="29"/>
  <c r="BP9" i="29"/>
  <c r="BO9" i="29"/>
  <c r="BN9" i="29"/>
  <c r="BM9" i="29"/>
  <c r="BL9" i="29"/>
  <c r="BK9" i="29"/>
  <c r="BJ9" i="29"/>
  <c r="BI9" i="29"/>
  <c r="BH9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BS8" i="29"/>
  <c r="BR8" i="29"/>
  <c r="BQ8" i="29"/>
  <c r="BP8" i="29"/>
  <c r="BO8" i="29"/>
  <c r="BN8" i="29"/>
  <c r="BM8" i="29"/>
  <c r="BL8" i="29"/>
  <c r="BK8" i="29"/>
  <c r="BJ8" i="29"/>
  <c r="BI8" i="29"/>
  <c r="BH8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BS7" i="29"/>
  <c r="BR7" i="29"/>
  <c r="BQ7" i="29"/>
  <c r="BQ18" i="29" s="1"/>
  <c r="BP7" i="29"/>
  <c r="BO7" i="29"/>
  <c r="BN7" i="29"/>
  <c r="BM7" i="29"/>
  <c r="BL7" i="29"/>
  <c r="BK7" i="29"/>
  <c r="BJ7" i="29"/>
  <c r="BI7" i="29"/>
  <c r="BI93" i="29" s="1"/>
  <c r="BH7" i="29"/>
  <c r="BG7" i="29"/>
  <c r="BF7" i="29"/>
  <c r="BE7" i="29"/>
  <c r="BD7" i="29"/>
  <c r="BD18" i="29" s="1"/>
  <c r="BC7" i="29"/>
  <c r="BB7" i="29"/>
  <c r="BA7" i="29"/>
  <c r="BA18" i="29" s="1"/>
  <c r="AZ7" i="29"/>
  <c r="AY7" i="29"/>
  <c r="AX7" i="29"/>
  <c r="AW7" i="29"/>
  <c r="AV7" i="29"/>
  <c r="AV18" i="29" s="1"/>
  <c r="BS6" i="29"/>
  <c r="BR6" i="29"/>
  <c r="BQ6" i="29"/>
  <c r="BQ17" i="29" s="1"/>
  <c r="BP6" i="29"/>
  <c r="BO6" i="29"/>
  <c r="BN6" i="29"/>
  <c r="BM6" i="29"/>
  <c r="BL6" i="29"/>
  <c r="BL17" i="29" s="1"/>
  <c r="BK6" i="29"/>
  <c r="BJ6" i="29"/>
  <c r="BI6" i="29"/>
  <c r="BH6" i="29"/>
  <c r="BG6" i="29"/>
  <c r="BF6" i="29"/>
  <c r="BE6" i="29"/>
  <c r="BD6" i="29"/>
  <c r="BD17" i="29" s="1"/>
  <c r="BC6" i="29"/>
  <c r="BB6" i="29"/>
  <c r="BA6" i="29"/>
  <c r="BA17" i="29" s="1"/>
  <c r="AZ6" i="29"/>
  <c r="AY6" i="29"/>
  <c r="AX6" i="29"/>
  <c r="AW6" i="29"/>
  <c r="AV6" i="29"/>
  <c r="AV17" i="29" s="1"/>
  <c r="BS5" i="29"/>
  <c r="BR5" i="29"/>
  <c r="BQ5" i="29"/>
  <c r="BQ16" i="29" s="1"/>
  <c r="BP5" i="29"/>
  <c r="BO5" i="29"/>
  <c r="BN5" i="29"/>
  <c r="BM5" i="29"/>
  <c r="BL5" i="29"/>
  <c r="BL16" i="29" s="1"/>
  <c r="BK5" i="29"/>
  <c r="BJ5" i="29"/>
  <c r="BI5" i="29"/>
  <c r="BI16" i="29" s="1"/>
  <c r="BH5" i="29"/>
  <c r="BG5" i="29"/>
  <c r="BF5" i="29"/>
  <c r="BE5" i="29"/>
  <c r="BD5" i="29"/>
  <c r="BD16" i="29" s="1"/>
  <c r="BC5" i="29"/>
  <c r="BB5" i="29"/>
  <c r="BA5" i="29"/>
  <c r="AZ5" i="29"/>
  <c r="AY5" i="29"/>
  <c r="AX5" i="29"/>
  <c r="AW5" i="29"/>
  <c r="AV5" i="29"/>
  <c r="AV91" i="29" s="1"/>
  <c r="BS4" i="29"/>
  <c r="BR4" i="29"/>
  <c r="BQ4" i="29"/>
  <c r="BP4" i="29"/>
  <c r="BO4" i="29"/>
  <c r="BN4" i="29"/>
  <c r="BM4" i="29"/>
  <c r="BL4" i="29"/>
  <c r="BL90" i="29" s="1"/>
  <c r="BK4" i="29"/>
  <c r="BJ4" i="29"/>
  <c r="BI4" i="29"/>
  <c r="BI90" i="29" s="1"/>
  <c r="BH4" i="29"/>
  <c r="BG4" i="29"/>
  <c r="BF4" i="29"/>
  <c r="BE4" i="29"/>
  <c r="BD4" i="29"/>
  <c r="BD90" i="29" s="1"/>
  <c r="BC4" i="29"/>
  <c r="BB4" i="29"/>
  <c r="BA4" i="29"/>
  <c r="BA15" i="29" s="1"/>
  <c r="AZ4" i="29"/>
  <c r="AY4" i="29"/>
  <c r="AX4" i="29"/>
  <c r="AW4" i="29"/>
  <c r="AV4" i="29"/>
  <c r="AV90" i="29" s="1"/>
  <c r="Z90" i="28"/>
  <c r="Y90" i="28"/>
  <c r="X90" i="28"/>
  <c r="W90" i="28"/>
  <c r="V90" i="28"/>
  <c r="U90" i="28"/>
  <c r="T90" i="28"/>
  <c r="S90" i="28"/>
  <c r="R90" i="28"/>
  <c r="Q90" i="28"/>
  <c r="P90" i="28"/>
  <c r="O90" i="28"/>
  <c r="N90" i="28"/>
  <c r="M90" i="28"/>
  <c r="L90" i="28"/>
  <c r="K90" i="28"/>
  <c r="J90" i="28"/>
  <c r="I90" i="28"/>
  <c r="H90" i="28"/>
  <c r="G90" i="28"/>
  <c r="F90" i="28"/>
  <c r="E90" i="28"/>
  <c r="D90" i="28"/>
  <c r="C90" i="28"/>
  <c r="B90" i="28"/>
  <c r="Z89" i="28"/>
  <c r="Y89" i="28"/>
  <c r="X89" i="28"/>
  <c r="W89" i="28"/>
  <c r="V89" i="28"/>
  <c r="U89" i="28"/>
  <c r="T89" i="28"/>
  <c r="S89" i="28"/>
  <c r="R89" i="28"/>
  <c r="Q89" i="28"/>
  <c r="P89" i="28"/>
  <c r="O89" i="28"/>
  <c r="N89" i="28"/>
  <c r="M89" i="28"/>
  <c r="L89" i="28"/>
  <c r="K89" i="28"/>
  <c r="J89" i="28"/>
  <c r="I89" i="28"/>
  <c r="H89" i="28"/>
  <c r="G89" i="28"/>
  <c r="F89" i="28"/>
  <c r="E89" i="28"/>
  <c r="D89" i="28"/>
  <c r="C89" i="28"/>
  <c r="B89" i="28"/>
  <c r="Z88" i="28"/>
  <c r="Y88" i="28"/>
  <c r="X88" i="28"/>
  <c r="W88" i="28"/>
  <c r="V88" i="28"/>
  <c r="U88" i="28"/>
  <c r="T88" i="28"/>
  <c r="S88" i="28"/>
  <c r="R88" i="28"/>
  <c r="Q88" i="28"/>
  <c r="P88" i="28"/>
  <c r="O88" i="28"/>
  <c r="N88" i="28"/>
  <c r="M88" i="28"/>
  <c r="L88" i="28"/>
  <c r="K88" i="28"/>
  <c r="J88" i="28"/>
  <c r="I88" i="28"/>
  <c r="H88" i="28"/>
  <c r="G88" i="28"/>
  <c r="F88" i="28"/>
  <c r="E88" i="28"/>
  <c r="D88" i="28"/>
  <c r="C88" i="28"/>
  <c r="B88" i="28"/>
  <c r="Z87" i="28"/>
  <c r="Y87" i="28"/>
  <c r="X87" i="28"/>
  <c r="W87" i="28"/>
  <c r="V87" i="28"/>
  <c r="U87" i="28"/>
  <c r="T87" i="28"/>
  <c r="S87" i="28"/>
  <c r="R87" i="28"/>
  <c r="Q87" i="28"/>
  <c r="P87" i="28"/>
  <c r="O87" i="28"/>
  <c r="N87" i="28"/>
  <c r="M87" i="28"/>
  <c r="L87" i="28"/>
  <c r="K87" i="28"/>
  <c r="J87" i="28"/>
  <c r="I87" i="28"/>
  <c r="H87" i="28"/>
  <c r="G87" i="28"/>
  <c r="F87" i="28"/>
  <c r="E87" i="28"/>
  <c r="D87" i="28"/>
  <c r="C87" i="28"/>
  <c r="B87" i="28"/>
  <c r="Z86" i="28"/>
  <c r="Y86" i="28"/>
  <c r="X86" i="28"/>
  <c r="W86" i="28"/>
  <c r="V86" i="28"/>
  <c r="U86" i="28"/>
  <c r="T86" i="28"/>
  <c r="S86" i="28"/>
  <c r="R86" i="28"/>
  <c r="Q86" i="28"/>
  <c r="P86" i="28"/>
  <c r="O86" i="28"/>
  <c r="N86" i="28"/>
  <c r="M86" i="28"/>
  <c r="L86" i="28"/>
  <c r="K86" i="28"/>
  <c r="J86" i="28"/>
  <c r="I86" i="28"/>
  <c r="H86" i="28"/>
  <c r="G86" i="28"/>
  <c r="F86" i="28"/>
  <c r="E86" i="28"/>
  <c r="D86" i="28"/>
  <c r="C86" i="28"/>
  <c r="B86" i="28"/>
  <c r="Z85" i="28"/>
  <c r="Y85" i="28"/>
  <c r="X85" i="28"/>
  <c r="W85" i="28"/>
  <c r="V85" i="28"/>
  <c r="U85" i="28"/>
  <c r="T85" i="28"/>
  <c r="S85" i="28"/>
  <c r="R85" i="28"/>
  <c r="Q85" i="28"/>
  <c r="P85" i="28"/>
  <c r="O85" i="28"/>
  <c r="N85" i="28"/>
  <c r="M85" i="28"/>
  <c r="L85" i="28"/>
  <c r="K85" i="28"/>
  <c r="J85" i="28"/>
  <c r="I85" i="28"/>
  <c r="H85" i="28"/>
  <c r="G85" i="28"/>
  <c r="F85" i="28"/>
  <c r="E85" i="28"/>
  <c r="D85" i="28"/>
  <c r="C85" i="28"/>
  <c r="B85" i="28"/>
  <c r="Z84" i="28"/>
  <c r="Y84" i="28"/>
  <c r="X84" i="28"/>
  <c r="W84" i="28"/>
  <c r="V84" i="28"/>
  <c r="U84" i="28"/>
  <c r="T84" i="28"/>
  <c r="S84" i="28"/>
  <c r="R84" i="28"/>
  <c r="Q84" i="28"/>
  <c r="P84" i="28"/>
  <c r="O84" i="28"/>
  <c r="N84" i="28"/>
  <c r="M84" i="28"/>
  <c r="L84" i="28"/>
  <c r="K84" i="28"/>
  <c r="J84" i="28"/>
  <c r="I84" i="28"/>
  <c r="H84" i="28"/>
  <c r="G84" i="28"/>
  <c r="G4" i="28" s="1"/>
  <c r="F84" i="28"/>
  <c r="E84" i="28"/>
  <c r="D84" i="28"/>
  <c r="C84" i="28"/>
  <c r="B84" i="28"/>
  <c r="Z83" i="28"/>
  <c r="Y83" i="28"/>
  <c r="X83" i="28"/>
  <c r="W83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I83" i="28"/>
  <c r="H83" i="28"/>
  <c r="G83" i="28"/>
  <c r="F83" i="28"/>
  <c r="E83" i="28"/>
  <c r="D83" i="28"/>
  <c r="C83" i="28"/>
  <c r="B83" i="28"/>
  <c r="Z82" i="28"/>
  <c r="Z3" i="28" s="1"/>
  <c r="Y82" i="28"/>
  <c r="Y4" i="28" s="1"/>
  <c r="X82" i="28"/>
  <c r="X4" i="28" s="1"/>
  <c r="W82" i="28"/>
  <c r="V82" i="28"/>
  <c r="U82" i="28"/>
  <c r="T82" i="28"/>
  <c r="S82" i="28"/>
  <c r="R82" i="28"/>
  <c r="R3" i="28" s="1"/>
  <c r="Q82" i="28"/>
  <c r="Q3" i="28" s="1"/>
  <c r="P82" i="28"/>
  <c r="P5" i="28" s="1"/>
  <c r="P9" i="28" s="1"/>
  <c r="O82" i="28"/>
  <c r="N82" i="28"/>
  <c r="M82" i="28"/>
  <c r="L82" i="28"/>
  <c r="K82" i="28"/>
  <c r="J82" i="28"/>
  <c r="I82" i="28"/>
  <c r="I4" i="28" s="1"/>
  <c r="H82" i="28"/>
  <c r="G82" i="28"/>
  <c r="F82" i="28"/>
  <c r="E82" i="28"/>
  <c r="D82" i="28"/>
  <c r="C82" i="28"/>
  <c r="C3" i="28" s="1"/>
  <c r="B82" i="28"/>
  <c r="Z81" i="28"/>
  <c r="Y81" i="28"/>
  <c r="X81" i="28"/>
  <c r="W81" i="28"/>
  <c r="V81" i="28"/>
  <c r="U81" i="28"/>
  <c r="T81" i="28"/>
  <c r="S81" i="28"/>
  <c r="R81" i="28"/>
  <c r="Q81" i="28"/>
  <c r="P81" i="28"/>
  <c r="O81" i="28"/>
  <c r="N81" i="28"/>
  <c r="M81" i="28"/>
  <c r="L81" i="28"/>
  <c r="K81" i="28"/>
  <c r="J81" i="28"/>
  <c r="I81" i="28"/>
  <c r="H81" i="28"/>
  <c r="G81" i="28"/>
  <c r="F81" i="28"/>
  <c r="E81" i="28"/>
  <c r="D81" i="28"/>
  <c r="C81" i="28"/>
  <c r="B81" i="28"/>
  <c r="AA77" i="28"/>
  <c r="Z77" i="28" s="1"/>
  <c r="O77" i="28"/>
  <c r="M77" i="28"/>
  <c r="E77" i="28"/>
  <c r="D77" i="28"/>
  <c r="C77" i="28"/>
  <c r="B77" i="28"/>
  <c r="AA76" i="28"/>
  <c r="Z76" i="28" s="1"/>
  <c r="Y76" i="28"/>
  <c r="X76" i="28"/>
  <c r="W76" i="28"/>
  <c r="V76" i="28"/>
  <c r="U76" i="28"/>
  <c r="T76" i="28"/>
  <c r="S76" i="28"/>
  <c r="R76" i="28"/>
  <c r="Q76" i="28"/>
  <c r="P76" i="28"/>
  <c r="O76" i="28"/>
  <c r="N76" i="28"/>
  <c r="M76" i="28"/>
  <c r="L76" i="28"/>
  <c r="K76" i="28"/>
  <c r="J76" i="28"/>
  <c r="I76" i="28"/>
  <c r="H76" i="28"/>
  <c r="G76" i="28"/>
  <c r="F76" i="28"/>
  <c r="E76" i="28"/>
  <c r="D76" i="28"/>
  <c r="C76" i="28"/>
  <c r="B76" i="28"/>
  <c r="AA75" i="28"/>
  <c r="O75" i="28"/>
  <c r="B75" i="28"/>
  <c r="AA74" i="28"/>
  <c r="Z74" i="28"/>
  <c r="Y74" i="28"/>
  <c r="X74" i="28"/>
  <c r="U74" i="28"/>
  <c r="S74" i="28"/>
  <c r="R74" i="28"/>
  <c r="Q74" i="28"/>
  <c r="P74" i="28"/>
  <c r="M74" i="28"/>
  <c r="K74" i="28"/>
  <c r="J74" i="28"/>
  <c r="I74" i="28"/>
  <c r="H74" i="28"/>
  <c r="E74" i="28"/>
  <c r="C74" i="28"/>
  <c r="B74" i="28"/>
  <c r="AA73" i="28"/>
  <c r="Z73" i="28" s="1"/>
  <c r="W73" i="28"/>
  <c r="U73" i="28"/>
  <c r="R73" i="28"/>
  <c r="M73" i="28"/>
  <c r="K73" i="28"/>
  <c r="J73" i="28"/>
  <c r="D73" i="28"/>
  <c r="B73" i="28"/>
  <c r="AA72" i="28"/>
  <c r="Z72" i="28"/>
  <c r="Y72" i="28"/>
  <c r="X72" i="28"/>
  <c r="W72" i="28"/>
  <c r="V72" i="28"/>
  <c r="U72" i="28"/>
  <c r="T72" i="28"/>
  <c r="S72" i="28"/>
  <c r="R72" i="28"/>
  <c r="Q72" i="28"/>
  <c r="P72" i="28"/>
  <c r="O72" i="28"/>
  <c r="N72" i="28"/>
  <c r="M72" i="28"/>
  <c r="L72" i="28"/>
  <c r="K72" i="28"/>
  <c r="J72" i="28"/>
  <c r="I72" i="28"/>
  <c r="H72" i="28"/>
  <c r="G72" i="28"/>
  <c r="F72" i="28"/>
  <c r="E72" i="28"/>
  <c r="D72" i="28"/>
  <c r="C72" i="28"/>
  <c r="B72" i="28"/>
  <c r="AA71" i="28"/>
  <c r="B71" i="28"/>
  <c r="AA70" i="28"/>
  <c r="Z70" i="28" s="1"/>
  <c r="B70" i="28"/>
  <c r="AA69" i="28"/>
  <c r="G69" i="28"/>
  <c r="B69" i="28"/>
  <c r="AA68" i="28"/>
  <c r="V68" i="28" s="1"/>
  <c r="B68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105" i="27"/>
  <c r="L104" i="27"/>
  <c r="L103" i="27"/>
  <c r="L102" i="27"/>
  <c r="L101" i="27"/>
  <c r="L100" i="27"/>
  <c r="L99" i="27"/>
  <c r="L98" i="27"/>
  <c r="L97" i="27"/>
  <c r="L96" i="27"/>
  <c r="L76" i="27"/>
  <c r="L54" i="27"/>
  <c r="BS57" i="27"/>
  <c r="BR57" i="27"/>
  <c r="BQ57" i="27"/>
  <c r="BP57" i="27"/>
  <c r="BO57" i="27"/>
  <c r="BN57" i="27"/>
  <c r="BM57" i="27"/>
  <c r="BL57" i="27"/>
  <c r="BK57" i="27"/>
  <c r="BJ57" i="27"/>
  <c r="BI57" i="27"/>
  <c r="BH57" i="27"/>
  <c r="BG57" i="27"/>
  <c r="BF57" i="27"/>
  <c r="BE57" i="27"/>
  <c r="BD57" i="27"/>
  <c r="BC57" i="27"/>
  <c r="BB57" i="27"/>
  <c r="BA57" i="27"/>
  <c r="AZ57" i="27"/>
  <c r="AY57" i="27"/>
  <c r="AX57" i="27"/>
  <c r="AW57" i="27"/>
  <c r="AV57" i="27"/>
  <c r="BS56" i="27"/>
  <c r="BR56" i="27"/>
  <c r="BQ56" i="27"/>
  <c r="BP56" i="27"/>
  <c r="BO56" i="27"/>
  <c r="BN56" i="27"/>
  <c r="BM56" i="27"/>
  <c r="BL56" i="27"/>
  <c r="BK56" i="27"/>
  <c r="BJ56" i="27"/>
  <c r="BI56" i="27"/>
  <c r="BH56" i="27"/>
  <c r="BG56" i="27"/>
  <c r="BF56" i="27"/>
  <c r="BE56" i="27"/>
  <c r="BD56" i="27"/>
  <c r="BC56" i="27"/>
  <c r="BB56" i="27"/>
  <c r="BA56" i="27"/>
  <c r="AZ56" i="27"/>
  <c r="AY56" i="27"/>
  <c r="AX56" i="27"/>
  <c r="AW56" i="27"/>
  <c r="AV56" i="27"/>
  <c r="BS55" i="27"/>
  <c r="BR55" i="27"/>
  <c r="BQ55" i="27"/>
  <c r="BP55" i="27"/>
  <c r="BO55" i="27"/>
  <c r="BN55" i="27"/>
  <c r="BM55" i="27"/>
  <c r="BL55" i="27"/>
  <c r="BK55" i="27"/>
  <c r="BJ55" i="27"/>
  <c r="BI55" i="27"/>
  <c r="BH55" i="27"/>
  <c r="BG55" i="27"/>
  <c r="BF55" i="27"/>
  <c r="BE55" i="27"/>
  <c r="BD55" i="27"/>
  <c r="BC55" i="27"/>
  <c r="BB55" i="27"/>
  <c r="BA55" i="27"/>
  <c r="AZ55" i="27"/>
  <c r="AY55" i="27"/>
  <c r="AX55" i="27"/>
  <c r="AW55" i="27"/>
  <c r="AV55" i="27"/>
  <c r="BS54" i="27"/>
  <c r="BR54" i="27"/>
  <c r="BQ54" i="27"/>
  <c r="BP54" i="27"/>
  <c r="BO54" i="27"/>
  <c r="BN54" i="27"/>
  <c r="BM54" i="27"/>
  <c r="BL54" i="27"/>
  <c r="BK54" i="27"/>
  <c r="BJ54" i="27"/>
  <c r="BI54" i="27"/>
  <c r="BH54" i="27"/>
  <c r="BG54" i="27"/>
  <c r="BF54" i="27"/>
  <c r="BE54" i="27"/>
  <c r="BD54" i="27"/>
  <c r="BC54" i="27"/>
  <c r="BB54" i="27"/>
  <c r="BA54" i="27"/>
  <c r="AZ54" i="27"/>
  <c r="AY54" i="27"/>
  <c r="AX54" i="27"/>
  <c r="AW54" i="27"/>
  <c r="AV54" i="27"/>
  <c r="BS53" i="27"/>
  <c r="BR53" i="27"/>
  <c r="BQ53" i="27"/>
  <c r="BP53" i="27"/>
  <c r="BO53" i="27"/>
  <c r="BN53" i="27"/>
  <c r="BM53" i="27"/>
  <c r="BL53" i="27"/>
  <c r="BK53" i="27"/>
  <c r="BJ53" i="27"/>
  <c r="BI53" i="27"/>
  <c r="BH53" i="27"/>
  <c r="BG53" i="27"/>
  <c r="BF53" i="27"/>
  <c r="BE53" i="27"/>
  <c r="BD53" i="27"/>
  <c r="BC53" i="27"/>
  <c r="BB53" i="27"/>
  <c r="BA53" i="27"/>
  <c r="AZ53" i="27"/>
  <c r="AY53" i="27"/>
  <c r="AX53" i="27"/>
  <c r="AW53" i="27"/>
  <c r="AV53" i="27"/>
  <c r="BS52" i="27"/>
  <c r="BR52" i="27"/>
  <c r="BQ52" i="27"/>
  <c r="BP52" i="27"/>
  <c r="BO52" i="27"/>
  <c r="BN52" i="27"/>
  <c r="BM52" i="27"/>
  <c r="BL52" i="27"/>
  <c r="BK52" i="27"/>
  <c r="BJ52" i="27"/>
  <c r="BI52" i="27"/>
  <c r="BH52" i="27"/>
  <c r="BG52" i="27"/>
  <c r="BF52" i="27"/>
  <c r="BE52" i="27"/>
  <c r="BD52" i="27"/>
  <c r="BC52" i="27"/>
  <c r="BB52" i="27"/>
  <c r="BA52" i="27"/>
  <c r="AZ52" i="27"/>
  <c r="AY52" i="27"/>
  <c r="AX52" i="27"/>
  <c r="AW52" i="27"/>
  <c r="AV52" i="27"/>
  <c r="BS51" i="27"/>
  <c r="BR51" i="27"/>
  <c r="BQ51" i="27"/>
  <c r="BP51" i="27"/>
  <c r="BO51" i="27"/>
  <c r="BN51" i="27"/>
  <c r="BM51" i="27"/>
  <c r="BL51" i="27"/>
  <c r="BK51" i="27"/>
  <c r="BJ51" i="27"/>
  <c r="BI51" i="27"/>
  <c r="BH51" i="27"/>
  <c r="BG51" i="27"/>
  <c r="BF51" i="27"/>
  <c r="BE51" i="27"/>
  <c r="BD51" i="27"/>
  <c r="BC51" i="27"/>
  <c r="BB51" i="27"/>
  <c r="BA51" i="27"/>
  <c r="AZ51" i="27"/>
  <c r="AY51" i="27"/>
  <c r="AX51" i="27"/>
  <c r="AW51" i="27"/>
  <c r="AV51" i="27"/>
  <c r="BS50" i="27"/>
  <c r="BR50" i="27"/>
  <c r="BQ50" i="27"/>
  <c r="BP50" i="27"/>
  <c r="BO50" i="27"/>
  <c r="BN50" i="27"/>
  <c r="BM50" i="27"/>
  <c r="BL50" i="27"/>
  <c r="BK50" i="27"/>
  <c r="BJ50" i="27"/>
  <c r="BI50" i="27"/>
  <c r="BH50" i="27"/>
  <c r="BG50" i="27"/>
  <c r="BF50" i="27"/>
  <c r="BE50" i="27"/>
  <c r="BD50" i="27"/>
  <c r="BC50" i="27"/>
  <c r="BB50" i="27"/>
  <c r="BA50" i="27"/>
  <c r="AZ50" i="27"/>
  <c r="AY50" i="27"/>
  <c r="AX50" i="27"/>
  <c r="AW50" i="27"/>
  <c r="AV50" i="27"/>
  <c r="BS49" i="27"/>
  <c r="BR49" i="27"/>
  <c r="BQ49" i="27"/>
  <c r="BP49" i="27"/>
  <c r="BO49" i="27"/>
  <c r="BN49" i="27"/>
  <c r="BM49" i="27"/>
  <c r="BL49" i="27"/>
  <c r="BK49" i="27"/>
  <c r="BJ49" i="27"/>
  <c r="BI49" i="27"/>
  <c r="BH49" i="27"/>
  <c r="BG49" i="27"/>
  <c r="BF49" i="27"/>
  <c r="BE49" i="27"/>
  <c r="BD49" i="27"/>
  <c r="BC49" i="27"/>
  <c r="BB49" i="27"/>
  <c r="BA49" i="27"/>
  <c r="AZ49" i="27"/>
  <c r="AY49" i="27"/>
  <c r="AX49" i="27"/>
  <c r="AW49" i="27"/>
  <c r="AV49" i="27"/>
  <c r="BS48" i="27"/>
  <c r="BR48" i="27"/>
  <c r="BQ48" i="27"/>
  <c r="BP48" i="27"/>
  <c r="BO48" i="27"/>
  <c r="BN48" i="27"/>
  <c r="BM48" i="27"/>
  <c r="BL48" i="27"/>
  <c r="BK48" i="27"/>
  <c r="BJ48" i="27"/>
  <c r="BI48" i="27"/>
  <c r="BH48" i="27"/>
  <c r="BG48" i="27"/>
  <c r="BF48" i="27"/>
  <c r="BE48" i="27"/>
  <c r="BD48" i="27"/>
  <c r="BC48" i="27"/>
  <c r="BB48" i="27"/>
  <c r="BA48" i="27"/>
  <c r="AZ48" i="27"/>
  <c r="AY48" i="27"/>
  <c r="AX48" i="27"/>
  <c r="AW48" i="27"/>
  <c r="AV48" i="27"/>
  <c r="K225" i="31"/>
  <c r="K224" i="31"/>
  <c r="K223" i="31"/>
  <c r="DD96" i="31"/>
  <c r="DD95" i="31"/>
  <c r="DD94" i="31"/>
  <c r="DD93" i="31"/>
  <c r="DD92" i="31"/>
  <c r="DD91" i="31"/>
  <c r="DD90" i="31"/>
  <c r="DD89" i="31"/>
  <c r="DD88" i="31"/>
  <c r="DD87" i="31"/>
  <c r="CA96" i="31"/>
  <c r="CA95" i="31"/>
  <c r="CA94" i="31"/>
  <c r="CA93" i="31"/>
  <c r="CA92" i="31"/>
  <c r="CA91" i="31"/>
  <c r="CA90" i="31"/>
  <c r="CA89" i="31"/>
  <c r="CA88" i="31"/>
  <c r="CA87" i="31"/>
  <c r="AU96" i="31"/>
  <c r="AU95" i="31"/>
  <c r="AU94" i="31"/>
  <c r="AU93" i="31"/>
  <c r="AU92" i="31"/>
  <c r="AU91" i="31"/>
  <c r="AU90" i="31"/>
  <c r="CX90" i="31" s="1"/>
  <c r="AU89" i="31"/>
  <c r="AU88" i="31"/>
  <c r="AU87" i="31"/>
  <c r="C83" i="31"/>
  <c r="C62" i="31"/>
  <c r="C61" i="31"/>
  <c r="C60" i="31"/>
  <c r="C59" i="31"/>
  <c r="C58" i="31"/>
  <c r="C57" i="31"/>
  <c r="C56" i="31"/>
  <c r="C55" i="31"/>
  <c r="C54" i="31"/>
  <c r="C53" i="31"/>
  <c r="C52" i="31"/>
  <c r="C51" i="31"/>
  <c r="D51" i="31" s="1"/>
  <c r="C50" i="31"/>
  <c r="C49" i="31"/>
  <c r="C48" i="31"/>
  <c r="C47" i="31"/>
  <c r="C46" i="31"/>
  <c r="C45" i="31"/>
  <c r="C44" i="31"/>
  <c r="C43" i="31"/>
  <c r="C42" i="31"/>
  <c r="D42" i="31" s="1"/>
  <c r="C37" i="31"/>
  <c r="C36" i="31"/>
  <c r="C35" i="31"/>
  <c r="C34" i="31"/>
  <c r="C33" i="31"/>
  <c r="C32" i="31"/>
  <c r="C31" i="31"/>
  <c r="C30" i="31"/>
  <c r="C29" i="31"/>
  <c r="C28" i="31"/>
  <c r="C27" i="31"/>
  <c r="C26" i="31"/>
  <c r="C25" i="31"/>
  <c r="D25" i="31" s="1"/>
  <c r="C24" i="31"/>
  <c r="C23" i="31"/>
  <c r="C22" i="31"/>
  <c r="D22" i="31" s="1"/>
  <c r="C21" i="31"/>
  <c r="D21" i="31" s="1"/>
  <c r="C20" i="31"/>
  <c r="D20" i="31" s="1"/>
  <c r="C19" i="31"/>
  <c r="D19" i="31" s="1"/>
  <c r="C18" i="31"/>
  <c r="D18" i="31" s="1"/>
  <c r="C17" i="31"/>
  <c r="C16" i="31"/>
  <c r="C15" i="31"/>
  <c r="C14" i="31"/>
  <c r="C13" i="31"/>
  <c r="C12" i="31"/>
  <c r="C11" i="31"/>
  <c r="C8" i="31"/>
  <c r="D8" i="31" s="1"/>
  <c r="C7" i="31"/>
  <c r="C6" i="31"/>
  <c r="C5" i="31"/>
  <c r="C4" i="31"/>
  <c r="C3" i="31"/>
  <c r="C2" i="31"/>
  <c r="C1" i="31"/>
  <c r="T254" i="30"/>
  <c r="T246" i="30"/>
  <c r="T240" i="30"/>
  <c r="B152" i="30"/>
  <c r="S52" i="30"/>
  <c r="S51" i="30"/>
  <c r="S50" i="30"/>
  <c r="Z35" i="30"/>
  <c r="AJ38" i="30" s="1"/>
  <c r="T25" i="30"/>
  <c r="W10" i="30"/>
  <c r="V10" i="30"/>
  <c r="U10" i="30"/>
  <c r="T10" i="30"/>
  <c r="F6" i="30"/>
  <c r="T5" i="30"/>
  <c r="B87" i="29"/>
  <c r="B86" i="29"/>
  <c r="DD35" i="29"/>
  <c r="DD34" i="29"/>
  <c r="DD33" i="29"/>
  <c r="DD32" i="29"/>
  <c r="DD31" i="29"/>
  <c r="DD30" i="29"/>
  <c r="DD29" i="29"/>
  <c r="DD28" i="29"/>
  <c r="DD27" i="29"/>
  <c r="DD26" i="29"/>
  <c r="CA35" i="29"/>
  <c r="CA34" i="29"/>
  <c r="CA33" i="29"/>
  <c r="CA32" i="29"/>
  <c r="CA31" i="29"/>
  <c r="CA30" i="29"/>
  <c r="CA29" i="29"/>
  <c r="CA28" i="29"/>
  <c r="CA27" i="29"/>
  <c r="CA26" i="29"/>
  <c r="AU35" i="29"/>
  <c r="AU34" i="29"/>
  <c r="AU33" i="29"/>
  <c r="AU32" i="29"/>
  <c r="AU31" i="29"/>
  <c r="AU30" i="29"/>
  <c r="AU29" i="29"/>
  <c r="AU28" i="29"/>
  <c r="BR28" i="29" s="1"/>
  <c r="AU27" i="29"/>
  <c r="AU26" i="29"/>
  <c r="E22" i="29"/>
  <c r="E21" i="29"/>
  <c r="E20" i="29"/>
  <c r="E18" i="29"/>
  <c r="C18" i="29"/>
  <c r="B18" i="29"/>
  <c r="E17" i="29"/>
  <c r="C17" i="29"/>
  <c r="B17" i="29"/>
  <c r="E16" i="29"/>
  <c r="C16" i="29"/>
  <c r="B16" i="29"/>
  <c r="Z209" i="28"/>
  <c r="Y209" i="28"/>
  <c r="X209" i="28"/>
  <c r="W209" i="28"/>
  <c r="V209" i="28"/>
  <c r="U209" i="28"/>
  <c r="T209" i="28"/>
  <c r="S209" i="28"/>
  <c r="R209" i="28"/>
  <c r="Q209" i="28"/>
  <c r="P209" i="28"/>
  <c r="O209" i="28"/>
  <c r="N209" i="28"/>
  <c r="M209" i="28"/>
  <c r="L209" i="28"/>
  <c r="K209" i="28"/>
  <c r="J209" i="28"/>
  <c r="I209" i="28"/>
  <c r="H209" i="28"/>
  <c r="G209" i="28"/>
  <c r="F209" i="28"/>
  <c r="E209" i="28"/>
  <c r="D209" i="28"/>
  <c r="C209" i="28"/>
  <c r="Z208" i="28"/>
  <c r="Y208" i="28"/>
  <c r="X208" i="28"/>
  <c r="W208" i="28"/>
  <c r="V208" i="28"/>
  <c r="U208" i="28"/>
  <c r="T208" i="28"/>
  <c r="S208" i="28"/>
  <c r="R208" i="28"/>
  <c r="Q208" i="28"/>
  <c r="P208" i="28"/>
  <c r="O208" i="28"/>
  <c r="N208" i="28"/>
  <c r="M208" i="28"/>
  <c r="L208" i="28"/>
  <c r="K208" i="28"/>
  <c r="J208" i="28"/>
  <c r="I208" i="28"/>
  <c r="H208" i="28"/>
  <c r="G208" i="28"/>
  <c r="F208" i="28"/>
  <c r="E208" i="28"/>
  <c r="D208" i="28"/>
  <c r="C208" i="28"/>
  <c r="Z207" i="28"/>
  <c r="Y207" i="28"/>
  <c r="X207" i="28"/>
  <c r="W207" i="28"/>
  <c r="V207" i="28"/>
  <c r="U207" i="28"/>
  <c r="T207" i="28"/>
  <c r="S207" i="28"/>
  <c r="R207" i="28"/>
  <c r="Q207" i="28"/>
  <c r="P207" i="28"/>
  <c r="O207" i="28"/>
  <c r="N207" i="28"/>
  <c r="M207" i="28"/>
  <c r="L207" i="28"/>
  <c r="K207" i="28"/>
  <c r="J207" i="28"/>
  <c r="I207" i="28"/>
  <c r="H207" i="28"/>
  <c r="G207" i="28"/>
  <c r="F207" i="28"/>
  <c r="E207" i="28"/>
  <c r="D207" i="28"/>
  <c r="C207" i="28"/>
  <c r="Z206" i="28"/>
  <c r="Y206" i="28"/>
  <c r="X206" i="28"/>
  <c r="W206" i="28"/>
  <c r="V206" i="28"/>
  <c r="U206" i="28"/>
  <c r="T206" i="28"/>
  <c r="S206" i="28"/>
  <c r="R206" i="28"/>
  <c r="Q206" i="28"/>
  <c r="P206" i="28"/>
  <c r="O206" i="28"/>
  <c r="N206" i="28"/>
  <c r="M206" i="28"/>
  <c r="L206" i="28"/>
  <c r="K206" i="28"/>
  <c r="J206" i="28"/>
  <c r="I206" i="28"/>
  <c r="H206" i="28"/>
  <c r="G206" i="28"/>
  <c r="F206" i="28"/>
  <c r="E206" i="28"/>
  <c r="D206" i="28"/>
  <c r="C206" i="28"/>
  <c r="Z205" i="28"/>
  <c r="Y205" i="28"/>
  <c r="X205" i="28"/>
  <c r="W205" i="28"/>
  <c r="V205" i="28"/>
  <c r="U205" i="28"/>
  <c r="T205" i="28"/>
  <c r="S205" i="28"/>
  <c r="R205" i="28"/>
  <c r="Q205" i="28"/>
  <c r="P205" i="28"/>
  <c r="O205" i="28"/>
  <c r="N205" i="28"/>
  <c r="M205" i="28"/>
  <c r="L205" i="28"/>
  <c r="K205" i="28"/>
  <c r="J205" i="28"/>
  <c r="I205" i="28"/>
  <c r="H205" i="28"/>
  <c r="G205" i="28"/>
  <c r="F205" i="28"/>
  <c r="E205" i="28"/>
  <c r="D205" i="28"/>
  <c r="C205" i="28"/>
  <c r="Z204" i="28"/>
  <c r="Y204" i="28"/>
  <c r="X204" i="28"/>
  <c r="W204" i="28"/>
  <c r="V204" i="28"/>
  <c r="U204" i="28"/>
  <c r="T204" i="28"/>
  <c r="S204" i="28"/>
  <c r="R204" i="28"/>
  <c r="Q204" i="28"/>
  <c r="P204" i="28"/>
  <c r="O204" i="28"/>
  <c r="N204" i="28"/>
  <c r="M204" i="28"/>
  <c r="L204" i="28"/>
  <c r="K204" i="28"/>
  <c r="J204" i="28"/>
  <c r="I204" i="28"/>
  <c r="H204" i="28"/>
  <c r="G204" i="28"/>
  <c r="F204" i="28"/>
  <c r="E204" i="28"/>
  <c r="D204" i="28"/>
  <c r="C204" i="28"/>
  <c r="Z188" i="28"/>
  <c r="Y188" i="28"/>
  <c r="X188" i="28"/>
  <c r="W188" i="28"/>
  <c r="V188" i="28"/>
  <c r="U188" i="28"/>
  <c r="T188" i="28"/>
  <c r="S188" i="28"/>
  <c r="R188" i="28"/>
  <c r="Q188" i="28"/>
  <c r="P188" i="28"/>
  <c r="O188" i="28"/>
  <c r="N188" i="28"/>
  <c r="M188" i="28"/>
  <c r="L188" i="28"/>
  <c r="K188" i="28"/>
  <c r="J188" i="28"/>
  <c r="I188" i="28"/>
  <c r="H188" i="28"/>
  <c r="G188" i="28"/>
  <c r="F188" i="28"/>
  <c r="E188" i="28"/>
  <c r="D188" i="28"/>
  <c r="C188" i="28"/>
  <c r="Z187" i="28"/>
  <c r="Y187" i="28"/>
  <c r="X187" i="28"/>
  <c r="W187" i="28"/>
  <c r="V187" i="28"/>
  <c r="U187" i="28"/>
  <c r="T187" i="28"/>
  <c r="S187" i="28"/>
  <c r="R187" i="28"/>
  <c r="Q187" i="28"/>
  <c r="P187" i="28"/>
  <c r="O187" i="28"/>
  <c r="N187" i="28"/>
  <c r="M187" i="28"/>
  <c r="L187" i="28"/>
  <c r="K187" i="28"/>
  <c r="J187" i="28"/>
  <c r="I187" i="28"/>
  <c r="H187" i="28"/>
  <c r="G187" i="28"/>
  <c r="F187" i="28"/>
  <c r="E187" i="28"/>
  <c r="D187" i="28"/>
  <c r="C187" i="28"/>
  <c r="Z186" i="28"/>
  <c r="Y186" i="28"/>
  <c r="X186" i="28"/>
  <c r="W186" i="28"/>
  <c r="V186" i="28"/>
  <c r="U186" i="28"/>
  <c r="T186" i="28"/>
  <c r="S186" i="28"/>
  <c r="R186" i="28"/>
  <c r="Q186" i="28"/>
  <c r="P186" i="28"/>
  <c r="O186" i="28"/>
  <c r="N186" i="28"/>
  <c r="M186" i="28"/>
  <c r="L186" i="28"/>
  <c r="K186" i="28"/>
  <c r="J186" i="28"/>
  <c r="I186" i="28"/>
  <c r="H186" i="28"/>
  <c r="G186" i="28"/>
  <c r="F186" i="28"/>
  <c r="E186" i="28"/>
  <c r="D186" i="28"/>
  <c r="C186" i="28"/>
  <c r="Z185" i="28"/>
  <c r="Y185" i="28"/>
  <c r="X185" i="28"/>
  <c r="W185" i="28"/>
  <c r="V185" i="28"/>
  <c r="U185" i="28"/>
  <c r="T185" i="28"/>
  <c r="S185" i="28"/>
  <c r="R185" i="28"/>
  <c r="Q185" i="28"/>
  <c r="P185" i="28"/>
  <c r="O185" i="28"/>
  <c r="N185" i="28"/>
  <c r="M185" i="28"/>
  <c r="L185" i="28"/>
  <c r="K185" i="28"/>
  <c r="J185" i="28"/>
  <c r="I185" i="28"/>
  <c r="H185" i="28"/>
  <c r="G185" i="28"/>
  <c r="F185" i="28"/>
  <c r="E185" i="28"/>
  <c r="D185" i="28"/>
  <c r="C185" i="28"/>
  <c r="Z184" i="28"/>
  <c r="Y184" i="28"/>
  <c r="X184" i="28"/>
  <c r="W184" i="28"/>
  <c r="V184" i="28"/>
  <c r="U184" i="28"/>
  <c r="T184" i="28"/>
  <c r="S184" i="28"/>
  <c r="R184" i="28"/>
  <c r="Q184" i="28"/>
  <c r="P184" i="28"/>
  <c r="O184" i="28"/>
  <c r="N184" i="28"/>
  <c r="M184" i="28"/>
  <c r="L184" i="28"/>
  <c r="K184" i="28"/>
  <c r="J184" i="28"/>
  <c r="I184" i="28"/>
  <c r="H184" i="28"/>
  <c r="G184" i="28"/>
  <c r="F184" i="28"/>
  <c r="E184" i="28"/>
  <c r="D184" i="28"/>
  <c r="C184" i="28"/>
  <c r="Z183" i="28"/>
  <c r="Y183" i="28"/>
  <c r="X183" i="28"/>
  <c r="W183" i="28"/>
  <c r="V183" i="28"/>
  <c r="U183" i="28"/>
  <c r="T183" i="28"/>
  <c r="S183" i="28"/>
  <c r="R183" i="28"/>
  <c r="Q183" i="28"/>
  <c r="P183" i="28"/>
  <c r="O183" i="28"/>
  <c r="N183" i="28"/>
  <c r="M183" i="28"/>
  <c r="L183" i="28"/>
  <c r="K183" i="28"/>
  <c r="J183" i="28"/>
  <c r="I183" i="28"/>
  <c r="H183" i="28"/>
  <c r="G183" i="28"/>
  <c r="F183" i="28"/>
  <c r="E183" i="28"/>
  <c r="D183" i="28"/>
  <c r="C183" i="28"/>
  <c r="AE33" i="28"/>
  <c r="AK22" i="28"/>
  <c r="AH22" i="28"/>
  <c r="AE22" i="28"/>
  <c r="AD13" i="28"/>
  <c r="AO171" i="30"/>
  <c r="S227" i="30"/>
  <c r="R227" i="30"/>
  <c r="S226" i="30"/>
  <c r="R226" i="30"/>
  <c r="S225" i="30"/>
  <c r="R225" i="30"/>
  <c r="S224" i="30"/>
  <c r="R224" i="30"/>
  <c r="S223" i="30"/>
  <c r="R223" i="30"/>
  <c r="S222" i="30"/>
  <c r="R222" i="30"/>
  <c r="S221" i="30"/>
  <c r="R221" i="30"/>
  <c r="S220" i="30"/>
  <c r="R220" i="30"/>
  <c r="S219" i="30"/>
  <c r="R219" i="30"/>
  <c r="S218" i="30"/>
  <c r="R218" i="30"/>
  <c r="S217" i="30"/>
  <c r="R217" i="30"/>
  <c r="S216" i="30"/>
  <c r="R216" i="30"/>
  <c r="S215" i="30"/>
  <c r="R215" i="30"/>
  <c r="S214" i="30"/>
  <c r="R214" i="30"/>
  <c r="S213" i="30"/>
  <c r="R213" i="30"/>
  <c r="S212" i="30"/>
  <c r="R212" i="30"/>
  <c r="S211" i="30"/>
  <c r="R211" i="30"/>
  <c r="S210" i="30"/>
  <c r="R210" i="30"/>
  <c r="S209" i="30"/>
  <c r="R209" i="30"/>
  <c r="S208" i="30"/>
  <c r="R208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C131" i="30"/>
  <c r="B131" i="30"/>
  <c r="J131" i="30" s="1"/>
  <c r="C130" i="30"/>
  <c r="B130" i="30"/>
  <c r="J130" i="30" s="1"/>
  <c r="C129" i="30"/>
  <c r="B129" i="30"/>
  <c r="C128" i="30"/>
  <c r="B128" i="30"/>
  <c r="C127" i="30"/>
  <c r="B127" i="30"/>
  <c r="C126" i="30"/>
  <c r="B126" i="30"/>
  <c r="J126" i="30" s="1"/>
  <c r="C125" i="30"/>
  <c r="B125" i="30"/>
  <c r="C124" i="30"/>
  <c r="B124" i="30"/>
  <c r="C123" i="30"/>
  <c r="B123" i="30"/>
  <c r="C122" i="30"/>
  <c r="B122" i="30"/>
  <c r="T40" i="30"/>
  <c r="T39" i="30"/>
  <c r="AB15" i="30"/>
  <c r="AB14" i="30"/>
  <c r="AB13" i="30"/>
  <c r="AB12" i="30"/>
  <c r="AB11" i="30"/>
  <c r="AB10" i="30"/>
  <c r="AB9" i="30"/>
  <c r="AB8" i="30"/>
  <c r="AB7" i="30"/>
  <c r="AB6" i="30"/>
  <c r="AO171" i="27"/>
  <c r="S207" i="27"/>
  <c r="R207" i="27"/>
  <c r="S206" i="27"/>
  <c r="R206" i="27"/>
  <c r="S205" i="27"/>
  <c r="R205" i="27"/>
  <c r="S204" i="27"/>
  <c r="R204" i="27"/>
  <c r="S203" i="27"/>
  <c r="R203" i="27"/>
  <c r="S202" i="27"/>
  <c r="R202" i="27"/>
  <c r="S201" i="27"/>
  <c r="R201" i="27"/>
  <c r="S200" i="27"/>
  <c r="R200" i="27"/>
  <c r="S199" i="27"/>
  <c r="R199" i="27"/>
  <c r="S198" i="27"/>
  <c r="R198" i="27"/>
  <c r="S197" i="27"/>
  <c r="R197" i="27"/>
  <c r="S196" i="27"/>
  <c r="R196" i="27"/>
  <c r="S195" i="27"/>
  <c r="R195" i="27"/>
  <c r="S194" i="27"/>
  <c r="R194" i="27"/>
  <c r="S193" i="27"/>
  <c r="R193" i="27"/>
  <c r="S192" i="27"/>
  <c r="R192" i="27"/>
  <c r="S191" i="27"/>
  <c r="R191" i="27"/>
  <c r="S190" i="27"/>
  <c r="R190" i="27"/>
  <c r="S189" i="27"/>
  <c r="R189" i="27"/>
  <c r="S188" i="27"/>
  <c r="R188" i="27"/>
  <c r="S187" i="27"/>
  <c r="R187" i="27"/>
  <c r="S186" i="27"/>
  <c r="R186" i="27"/>
  <c r="S185" i="27"/>
  <c r="R185" i="27"/>
  <c r="S184" i="27"/>
  <c r="R184" i="27"/>
  <c r="S183" i="27"/>
  <c r="R183" i="27"/>
  <c r="S182" i="27"/>
  <c r="R182" i="27"/>
  <c r="S181" i="27"/>
  <c r="R181" i="27"/>
  <c r="S180" i="27"/>
  <c r="R180" i="27"/>
  <c r="S179" i="27"/>
  <c r="R179" i="27"/>
  <c r="S178" i="27"/>
  <c r="R178" i="27"/>
  <c r="S177" i="27"/>
  <c r="R177" i="27"/>
  <c r="S176" i="27"/>
  <c r="R176" i="27"/>
  <c r="S175" i="27"/>
  <c r="R175" i="27"/>
  <c r="S174" i="27"/>
  <c r="R174" i="27"/>
  <c r="S173" i="27"/>
  <c r="R173" i="27"/>
  <c r="S172" i="27"/>
  <c r="R172" i="27"/>
  <c r="S171" i="27"/>
  <c r="R171" i="27"/>
  <c r="S170" i="27"/>
  <c r="R170" i="27"/>
  <c r="S169" i="27"/>
  <c r="R169" i="27"/>
  <c r="S168" i="27"/>
  <c r="R168" i="27"/>
  <c r="S167" i="27"/>
  <c r="R167" i="27"/>
  <c r="S166" i="27"/>
  <c r="R166" i="27"/>
  <c r="S165" i="27"/>
  <c r="R165" i="27"/>
  <c r="S164" i="27"/>
  <c r="R164" i="27"/>
  <c r="R163" i="27"/>
  <c r="R162" i="27"/>
  <c r="U33" i="27"/>
  <c r="T33" i="27"/>
  <c r="U32" i="27"/>
  <c r="T32" i="27"/>
  <c r="U31" i="27"/>
  <c r="T31" i="27"/>
  <c r="U30" i="27"/>
  <c r="T30" i="27"/>
  <c r="U29" i="27"/>
  <c r="T29" i="27"/>
  <c r="U28" i="27"/>
  <c r="T28" i="27"/>
  <c r="U27" i="27"/>
  <c r="T27" i="27"/>
  <c r="AC27" i="27" s="1"/>
  <c r="U26" i="27"/>
  <c r="T26" i="27"/>
  <c r="V26" i="27" s="1"/>
  <c r="X26" i="27" s="1"/>
  <c r="U25" i="27"/>
  <c r="T25" i="27"/>
  <c r="V25" i="27" s="1"/>
  <c r="U24" i="27"/>
  <c r="AB24" i="27" s="1"/>
  <c r="T24" i="27"/>
  <c r="M112" i="30"/>
  <c r="AI128" i="30"/>
  <c r="V40" i="30"/>
  <c r="C280" i="31"/>
  <c r="D280" i="31" s="1"/>
  <c r="C273" i="31"/>
  <c r="D273" i="31" s="1"/>
  <c r="F21" i="29"/>
  <c r="C255" i="31" s="1"/>
  <c r="F20" i="29"/>
  <c r="C254" i="31" s="1"/>
  <c r="AM219" i="31"/>
  <c r="W273" i="30"/>
  <c r="AM217" i="31" s="1"/>
  <c r="W272" i="30"/>
  <c r="AM216" i="31" s="1"/>
  <c r="W271" i="30"/>
  <c r="AC227" i="30"/>
  <c r="AC223" i="30"/>
  <c r="AB223" i="30"/>
  <c r="AC220" i="30"/>
  <c r="AA220" i="30"/>
  <c r="AC215" i="30"/>
  <c r="AB215" i="30"/>
  <c r="AB213" i="30"/>
  <c r="AC212" i="30"/>
  <c r="AB212" i="30"/>
  <c r="AC211" i="30"/>
  <c r="AB209" i="30"/>
  <c r="AC207" i="30"/>
  <c r="AB207" i="30"/>
  <c r="AB205" i="30"/>
  <c r="AC204" i="30"/>
  <c r="AB204" i="30"/>
  <c r="AB201" i="30"/>
  <c r="AC199" i="30"/>
  <c r="AB199" i="30"/>
  <c r="AB197" i="30"/>
  <c r="AC196" i="30"/>
  <c r="AB196" i="30"/>
  <c r="AA192" i="30"/>
  <c r="AC191" i="30"/>
  <c r="AB191" i="30"/>
  <c r="AC190" i="30"/>
  <c r="AC184" i="30"/>
  <c r="AA184" i="30"/>
  <c r="AC183" i="30"/>
  <c r="AB183" i="30"/>
  <c r="AC181" i="30"/>
  <c r="AB181" i="30"/>
  <c r="AC179" i="30"/>
  <c r="AB179" i="30"/>
  <c r="AC178" i="30"/>
  <c r="AB178" i="30"/>
  <c r="AA177" i="30"/>
  <c r="AC176" i="30"/>
  <c r="AB176" i="30"/>
  <c r="AC175" i="30"/>
  <c r="AI224" i="30"/>
  <c r="AI223" i="30"/>
  <c r="AJ221" i="30"/>
  <c r="V220" i="30"/>
  <c r="U218" i="30"/>
  <c r="AF217" i="30"/>
  <c r="AI216" i="30"/>
  <c r="AI215" i="30"/>
  <c r="W212" i="30"/>
  <c r="AF209" i="30"/>
  <c r="U207" i="30"/>
  <c r="AJ205" i="30"/>
  <c r="W204" i="30"/>
  <c r="U202" i="30"/>
  <c r="AG201" i="30"/>
  <c r="AJ200" i="30"/>
  <c r="AI199" i="30"/>
  <c r="AJ197" i="30"/>
  <c r="W196" i="30"/>
  <c r="V194" i="30"/>
  <c r="AG193" i="30"/>
  <c r="U191" i="30"/>
  <c r="AI184" i="30"/>
  <c r="AI183" i="30"/>
  <c r="AG181" i="30"/>
  <c r="AF180" i="30"/>
  <c r="AJ179" i="30"/>
  <c r="AJ177" i="30"/>
  <c r="AF176" i="30"/>
  <c r="AA207" i="27"/>
  <c r="AB202" i="27"/>
  <c r="AC198" i="27"/>
  <c r="AC196" i="27"/>
  <c r="AB196" i="27"/>
  <c r="AC185" i="27"/>
  <c r="AB185" i="27"/>
  <c r="AC184" i="27"/>
  <c r="AC181" i="27"/>
  <c r="AB180" i="27"/>
  <c r="AC177" i="27"/>
  <c r="AB177" i="27"/>
  <c r="AC175" i="27"/>
  <c r="AA175" i="27"/>
  <c r="W207" i="27"/>
  <c r="AI205" i="27"/>
  <c r="AJ198" i="27"/>
  <c r="AI195" i="27"/>
  <c r="U191" i="27"/>
  <c r="AJ185" i="27"/>
  <c r="V181" i="27"/>
  <c r="AJ180" i="27"/>
  <c r="U179" i="27"/>
  <c r="AJ176" i="27"/>
  <c r="W32" i="27"/>
  <c r="AA31" i="27"/>
  <c r="AB30" i="27"/>
  <c r="AA28" i="27"/>
  <c r="D256" i="31"/>
  <c r="D255" i="31"/>
  <c r="D254" i="31"/>
  <c r="C229" i="31"/>
  <c r="Q131" i="31"/>
  <c r="X130" i="31"/>
  <c r="P130" i="31"/>
  <c r="H130" i="31"/>
  <c r="AT118" i="31"/>
  <c r="AT130" i="31" s="1"/>
  <c r="EB159" i="31"/>
  <c r="EA159" i="31"/>
  <c r="DZ159" i="31"/>
  <c r="DY159" i="31"/>
  <c r="DX159" i="31"/>
  <c r="DW159" i="31"/>
  <c r="DV159" i="31"/>
  <c r="DU159" i="31"/>
  <c r="DT159" i="31"/>
  <c r="DS159" i="31"/>
  <c r="DR159" i="31"/>
  <c r="DQ159" i="31"/>
  <c r="DP159" i="31"/>
  <c r="DO159" i="31"/>
  <c r="DN159" i="31"/>
  <c r="DM159" i="31"/>
  <c r="DL159" i="31"/>
  <c r="DK159" i="31"/>
  <c r="DJ159" i="31"/>
  <c r="DI159" i="31"/>
  <c r="DH159" i="31"/>
  <c r="DG159" i="31"/>
  <c r="DF159" i="31"/>
  <c r="DE159" i="31"/>
  <c r="CY159" i="31"/>
  <c r="CX159" i="31"/>
  <c r="CW159" i="31"/>
  <c r="CV159" i="31"/>
  <c r="CU159" i="31"/>
  <c r="CT159" i="31"/>
  <c r="CS159" i="31"/>
  <c r="CR159" i="31"/>
  <c r="CQ159" i="31"/>
  <c r="CP159" i="31"/>
  <c r="CO159" i="31"/>
  <c r="CN159" i="31"/>
  <c r="CM159" i="31"/>
  <c r="CL159" i="31"/>
  <c r="CK159" i="31"/>
  <c r="CJ159" i="31"/>
  <c r="CI159" i="31"/>
  <c r="CH159" i="31"/>
  <c r="CG159" i="31"/>
  <c r="CF159" i="31"/>
  <c r="CE159" i="31"/>
  <c r="CD159" i="31"/>
  <c r="CC159" i="31"/>
  <c r="CB159" i="31"/>
  <c r="BS159" i="31"/>
  <c r="BR159" i="31"/>
  <c r="BQ159" i="31"/>
  <c r="BP159" i="31"/>
  <c r="BO159" i="31"/>
  <c r="BN159" i="31"/>
  <c r="BM159" i="31"/>
  <c r="BL159" i="31"/>
  <c r="BK159" i="31"/>
  <c r="BJ159" i="31"/>
  <c r="BI159" i="31"/>
  <c r="BH159" i="31"/>
  <c r="BG159" i="31"/>
  <c r="BF159" i="31"/>
  <c r="BE159" i="31"/>
  <c r="BD159" i="31"/>
  <c r="BC159" i="31"/>
  <c r="BB159" i="31"/>
  <c r="BA159" i="31"/>
  <c r="AZ159" i="31"/>
  <c r="AY159" i="31"/>
  <c r="AX159" i="31"/>
  <c r="AW159" i="31"/>
  <c r="AV159" i="31"/>
  <c r="EB158" i="31"/>
  <c r="EA158" i="31"/>
  <c r="DZ158" i="31"/>
  <c r="DY158" i="31"/>
  <c r="DX158" i="31"/>
  <c r="DW158" i="31"/>
  <c r="DV158" i="31"/>
  <c r="DU158" i="31"/>
  <c r="DT158" i="31"/>
  <c r="DS158" i="31"/>
  <c r="DR158" i="31"/>
  <c r="DQ158" i="31"/>
  <c r="DP158" i="31"/>
  <c r="DO158" i="31"/>
  <c r="DN158" i="31"/>
  <c r="DM158" i="31"/>
  <c r="DL158" i="31"/>
  <c r="DK158" i="31"/>
  <c r="DJ158" i="31"/>
  <c r="DI158" i="31"/>
  <c r="DH158" i="31"/>
  <c r="DG158" i="31"/>
  <c r="DF158" i="31"/>
  <c r="DE158" i="31"/>
  <c r="CY158" i="31"/>
  <c r="CX158" i="31"/>
  <c r="CW158" i="31"/>
  <c r="CV158" i="31"/>
  <c r="CU158" i="31"/>
  <c r="CT158" i="31"/>
  <c r="CS158" i="31"/>
  <c r="CR158" i="31"/>
  <c r="CQ158" i="31"/>
  <c r="CP158" i="31"/>
  <c r="CO158" i="31"/>
  <c r="CN158" i="31"/>
  <c r="CM158" i="31"/>
  <c r="CL158" i="31"/>
  <c r="CK158" i="31"/>
  <c r="CJ158" i="31"/>
  <c r="CI158" i="31"/>
  <c r="CH158" i="31"/>
  <c r="CG158" i="31"/>
  <c r="CF158" i="31"/>
  <c r="CE158" i="31"/>
  <c r="CD158" i="31"/>
  <c r="CC158" i="31"/>
  <c r="CB158" i="31"/>
  <c r="BS158" i="31"/>
  <c r="BR158" i="31"/>
  <c r="BQ158" i="31"/>
  <c r="BP158" i="31"/>
  <c r="BO158" i="31"/>
  <c r="BN158" i="31"/>
  <c r="BM158" i="31"/>
  <c r="BL158" i="31"/>
  <c r="BK158" i="31"/>
  <c r="BJ158" i="31"/>
  <c r="BI158" i="31"/>
  <c r="BH158" i="31"/>
  <c r="BG158" i="31"/>
  <c r="BF158" i="31"/>
  <c r="BE158" i="31"/>
  <c r="BD158" i="31"/>
  <c r="BC158" i="31"/>
  <c r="BB158" i="31"/>
  <c r="BA158" i="31"/>
  <c r="AZ158" i="31"/>
  <c r="AY158" i="31"/>
  <c r="AX158" i="31"/>
  <c r="AW158" i="31"/>
  <c r="AV158" i="31"/>
  <c r="AT117" i="31"/>
  <c r="AT129" i="31" s="1"/>
  <c r="AA135" i="31"/>
  <c r="EB157" i="31"/>
  <c r="EA157" i="31"/>
  <c r="DZ157" i="31"/>
  <c r="DY157" i="31"/>
  <c r="DX157" i="31"/>
  <c r="DW157" i="31"/>
  <c r="DV157" i="31"/>
  <c r="DU157" i="31"/>
  <c r="DT157" i="31"/>
  <c r="DS157" i="31"/>
  <c r="DR157" i="31"/>
  <c r="DQ157" i="31"/>
  <c r="DP157" i="31"/>
  <c r="DO157" i="31"/>
  <c r="DN157" i="31"/>
  <c r="DM157" i="31"/>
  <c r="DL157" i="31"/>
  <c r="DK157" i="31"/>
  <c r="DJ157" i="31"/>
  <c r="DI157" i="31"/>
  <c r="DH157" i="31"/>
  <c r="DG157" i="31"/>
  <c r="DF157" i="31"/>
  <c r="DE157" i="31"/>
  <c r="CY157" i="31"/>
  <c r="CX157" i="31"/>
  <c r="CW157" i="31"/>
  <c r="CV157" i="31"/>
  <c r="CU157" i="31"/>
  <c r="CT157" i="31"/>
  <c r="CS157" i="31"/>
  <c r="CR157" i="31"/>
  <c r="CQ157" i="31"/>
  <c r="CP157" i="31"/>
  <c r="CO157" i="31"/>
  <c r="CN157" i="31"/>
  <c r="CM157" i="31"/>
  <c r="CL157" i="31"/>
  <c r="CK157" i="31"/>
  <c r="CJ157" i="31"/>
  <c r="CI157" i="31"/>
  <c r="CH157" i="31"/>
  <c r="CG157" i="31"/>
  <c r="CF157" i="31"/>
  <c r="CE157" i="31"/>
  <c r="CD157" i="31"/>
  <c r="CC157" i="31"/>
  <c r="CB157" i="31"/>
  <c r="BS157" i="31"/>
  <c r="BR157" i="31"/>
  <c r="BQ157" i="31"/>
  <c r="BP157" i="31"/>
  <c r="BO157" i="31"/>
  <c r="BN157" i="31"/>
  <c r="BM157" i="31"/>
  <c r="BL157" i="31"/>
  <c r="BK157" i="31"/>
  <c r="BJ157" i="31"/>
  <c r="BI157" i="31"/>
  <c r="BH157" i="31"/>
  <c r="BG157" i="31"/>
  <c r="BF157" i="31"/>
  <c r="BE157" i="31"/>
  <c r="BD157" i="31"/>
  <c r="BC157" i="31"/>
  <c r="BB157" i="31"/>
  <c r="BA157" i="31"/>
  <c r="AZ157" i="31"/>
  <c r="AY157" i="31"/>
  <c r="AX157" i="31"/>
  <c r="AW157" i="31"/>
  <c r="AV157" i="31"/>
  <c r="AT116" i="31"/>
  <c r="AT128" i="31" s="1"/>
  <c r="K139" i="31"/>
  <c r="C123" i="31"/>
  <c r="D123" i="31" s="1"/>
  <c r="C120" i="31"/>
  <c r="D120" i="31" s="1"/>
  <c r="AT115" i="31"/>
  <c r="AT127" i="31" s="1"/>
  <c r="EB156" i="31"/>
  <c r="EA156" i="31"/>
  <c r="DZ156" i="31"/>
  <c r="DY156" i="31"/>
  <c r="DX156" i="31"/>
  <c r="DW156" i="31"/>
  <c r="DV156" i="31"/>
  <c r="DU156" i="31"/>
  <c r="DT156" i="31"/>
  <c r="DS156" i="31"/>
  <c r="DR156" i="31"/>
  <c r="DQ156" i="31"/>
  <c r="DP156" i="31"/>
  <c r="DO156" i="31"/>
  <c r="DN156" i="31"/>
  <c r="DM156" i="31"/>
  <c r="DL156" i="31"/>
  <c r="DK156" i="31"/>
  <c r="DJ156" i="31"/>
  <c r="DI156" i="31"/>
  <c r="DH156" i="31"/>
  <c r="DG156" i="31"/>
  <c r="DF156" i="31"/>
  <c r="DE156" i="31"/>
  <c r="CY156" i="31"/>
  <c r="CX156" i="31"/>
  <c r="CW156" i="31"/>
  <c r="CV156" i="31"/>
  <c r="CU156" i="31"/>
  <c r="CT156" i="31"/>
  <c r="CS156" i="31"/>
  <c r="CR156" i="31"/>
  <c r="CQ156" i="31"/>
  <c r="CP156" i="31"/>
  <c r="CO156" i="31"/>
  <c r="CN156" i="31"/>
  <c r="CM156" i="31"/>
  <c r="CL156" i="31"/>
  <c r="CK156" i="31"/>
  <c r="CJ156" i="31"/>
  <c r="CI156" i="31"/>
  <c r="CH156" i="31"/>
  <c r="CG156" i="31"/>
  <c r="CF156" i="31"/>
  <c r="CE156" i="31"/>
  <c r="CD156" i="31"/>
  <c r="CC156" i="31"/>
  <c r="CB156" i="31"/>
  <c r="BS156" i="31"/>
  <c r="BR156" i="31"/>
  <c r="BQ156" i="31"/>
  <c r="BP156" i="31"/>
  <c r="BO156" i="31"/>
  <c r="BN156" i="31"/>
  <c r="BM156" i="31"/>
  <c r="BL156" i="31"/>
  <c r="BK156" i="31"/>
  <c r="BJ156" i="31"/>
  <c r="BI156" i="31"/>
  <c r="BH156" i="31"/>
  <c r="BG156" i="31"/>
  <c r="BF156" i="31"/>
  <c r="BE156" i="31"/>
  <c r="BD156" i="31"/>
  <c r="BC156" i="31"/>
  <c r="BB156" i="31"/>
  <c r="BA156" i="31"/>
  <c r="AZ156" i="31"/>
  <c r="AY156" i="31"/>
  <c r="AX156" i="31"/>
  <c r="AW156" i="31"/>
  <c r="AV156" i="31"/>
  <c r="AT114" i="31"/>
  <c r="AT126" i="31" s="1"/>
  <c r="EB155" i="31"/>
  <c r="EA155" i="31"/>
  <c r="DZ155" i="31"/>
  <c r="DY155" i="31"/>
  <c r="DX155" i="31"/>
  <c r="DW155" i="31"/>
  <c r="DV155" i="31"/>
  <c r="DU155" i="31"/>
  <c r="DT155" i="31"/>
  <c r="DS155" i="31"/>
  <c r="DR155" i="31"/>
  <c r="DQ155" i="31"/>
  <c r="DP155" i="31"/>
  <c r="DO155" i="31"/>
  <c r="DN155" i="31"/>
  <c r="DM155" i="31"/>
  <c r="DL155" i="31"/>
  <c r="DK155" i="31"/>
  <c r="DJ155" i="31"/>
  <c r="DI155" i="31"/>
  <c r="DH155" i="31"/>
  <c r="DG155" i="31"/>
  <c r="DF155" i="31"/>
  <c r="DE155" i="31"/>
  <c r="CY155" i="31"/>
  <c r="CX155" i="31"/>
  <c r="CW155" i="31"/>
  <c r="CV155" i="31"/>
  <c r="CU155" i="31"/>
  <c r="CT155" i="31"/>
  <c r="CS155" i="31"/>
  <c r="CR155" i="31"/>
  <c r="CQ155" i="31"/>
  <c r="CP155" i="31"/>
  <c r="CO155" i="31"/>
  <c r="CN155" i="31"/>
  <c r="CM155" i="31"/>
  <c r="CL155" i="31"/>
  <c r="CK155" i="31"/>
  <c r="CJ155" i="31"/>
  <c r="CI155" i="31"/>
  <c r="CH155" i="31"/>
  <c r="CG155" i="31"/>
  <c r="CF155" i="31"/>
  <c r="CE155" i="31"/>
  <c r="CD155" i="31"/>
  <c r="CC155" i="31"/>
  <c r="CB155" i="31"/>
  <c r="BS155" i="31"/>
  <c r="BR155" i="31"/>
  <c r="BQ155" i="31"/>
  <c r="BP155" i="31"/>
  <c r="BO155" i="31"/>
  <c r="BN155" i="31"/>
  <c r="BM155" i="31"/>
  <c r="BL155" i="31"/>
  <c r="BK155" i="31"/>
  <c r="BJ155" i="31"/>
  <c r="BI155" i="31"/>
  <c r="BH155" i="31"/>
  <c r="BG155" i="31"/>
  <c r="BF155" i="31"/>
  <c r="BE155" i="31"/>
  <c r="BD155" i="31"/>
  <c r="BC155" i="31"/>
  <c r="BB155" i="31"/>
  <c r="BA155" i="31"/>
  <c r="AZ155" i="31"/>
  <c r="AY155" i="31"/>
  <c r="AX155" i="31"/>
  <c r="AW155" i="31"/>
  <c r="AV155" i="31"/>
  <c r="AT113" i="31"/>
  <c r="AT125" i="31" s="1"/>
  <c r="EB154" i="31"/>
  <c r="EA154" i="31"/>
  <c r="DZ154" i="31"/>
  <c r="DY154" i="31"/>
  <c r="DX154" i="31"/>
  <c r="DW154" i="31"/>
  <c r="DV154" i="31"/>
  <c r="DU154" i="31"/>
  <c r="DT154" i="31"/>
  <c r="DS154" i="31"/>
  <c r="DR154" i="31"/>
  <c r="DQ154" i="31"/>
  <c r="DP154" i="31"/>
  <c r="DO154" i="31"/>
  <c r="DN154" i="31"/>
  <c r="DM154" i="31"/>
  <c r="DL154" i="31"/>
  <c r="DK154" i="31"/>
  <c r="DJ154" i="31"/>
  <c r="DI154" i="31"/>
  <c r="DH154" i="31"/>
  <c r="DG154" i="31"/>
  <c r="DF154" i="31"/>
  <c r="DE154" i="31"/>
  <c r="CY154" i="31"/>
  <c r="CX154" i="31"/>
  <c r="CW154" i="31"/>
  <c r="CV154" i="31"/>
  <c r="CU154" i="31"/>
  <c r="CT154" i="31"/>
  <c r="CS154" i="31"/>
  <c r="CR154" i="31"/>
  <c r="CQ154" i="31"/>
  <c r="CP154" i="31"/>
  <c r="CO154" i="31"/>
  <c r="CN154" i="31"/>
  <c r="CM154" i="31"/>
  <c r="CL154" i="31"/>
  <c r="CK154" i="31"/>
  <c r="CJ154" i="31"/>
  <c r="CI154" i="31"/>
  <c r="CH154" i="31"/>
  <c r="CG154" i="31"/>
  <c r="CF154" i="31"/>
  <c r="CE154" i="31"/>
  <c r="CD154" i="31"/>
  <c r="CC154" i="31"/>
  <c r="CB154" i="31"/>
  <c r="BP154" i="31"/>
  <c r="BO154" i="31"/>
  <c r="BN154" i="31"/>
  <c r="BM154" i="31"/>
  <c r="BL154" i="31"/>
  <c r="BK154" i="31"/>
  <c r="AT112" i="31"/>
  <c r="AT124" i="31" s="1"/>
  <c r="EB153" i="31"/>
  <c r="EA153" i="31"/>
  <c r="DZ153" i="31"/>
  <c r="DY153" i="31"/>
  <c r="DX153" i="31"/>
  <c r="DW153" i="31"/>
  <c r="DV153" i="31"/>
  <c r="DU153" i="31"/>
  <c r="DT153" i="31"/>
  <c r="DS153" i="31"/>
  <c r="DR153" i="31"/>
  <c r="DQ153" i="31"/>
  <c r="DP153" i="31"/>
  <c r="DO153" i="31"/>
  <c r="DN153" i="31"/>
  <c r="DM153" i="31"/>
  <c r="DL153" i="31"/>
  <c r="DK153" i="31"/>
  <c r="DJ153" i="31"/>
  <c r="DI153" i="31"/>
  <c r="DH153" i="31"/>
  <c r="DG153" i="31"/>
  <c r="DF153" i="31"/>
  <c r="DE153" i="31"/>
  <c r="CY153" i="31"/>
  <c r="CX153" i="31"/>
  <c r="CW153" i="31"/>
  <c r="CV153" i="31"/>
  <c r="CU153" i="31"/>
  <c r="CT153" i="31"/>
  <c r="CS153" i="31"/>
  <c r="CR153" i="31"/>
  <c r="CQ153" i="31"/>
  <c r="CP153" i="31"/>
  <c r="CO153" i="31"/>
  <c r="CN153" i="31"/>
  <c r="CM153" i="31"/>
  <c r="CL153" i="31"/>
  <c r="CK153" i="31"/>
  <c r="CJ153" i="31"/>
  <c r="CI153" i="31"/>
  <c r="CH153" i="31"/>
  <c r="CG153" i="31"/>
  <c r="CF153" i="31"/>
  <c r="CE153" i="31"/>
  <c r="CD153" i="31"/>
  <c r="CC153" i="31"/>
  <c r="CB153" i="31"/>
  <c r="AT111" i="31"/>
  <c r="AT123" i="31" s="1"/>
  <c r="EB152" i="31"/>
  <c r="EA152" i="31"/>
  <c r="DZ152" i="31"/>
  <c r="DY152" i="31"/>
  <c r="DX152" i="31"/>
  <c r="DW152" i="31"/>
  <c r="DV152" i="31"/>
  <c r="DU152" i="31"/>
  <c r="DT152" i="31"/>
  <c r="DS152" i="31"/>
  <c r="DR152" i="31"/>
  <c r="DQ152" i="31"/>
  <c r="DP152" i="31"/>
  <c r="DO152" i="31"/>
  <c r="DN152" i="31"/>
  <c r="DM152" i="31"/>
  <c r="DL152" i="31"/>
  <c r="DK152" i="31"/>
  <c r="DJ152" i="31"/>
  <c r="DI152" i="31"/>
  <c r="DH152" i="31"/>
  <c r="DG152" i="31"/>
  <c r="DF152" i="31"/>
  <c r="DE152" i="31"/>
  <c r="CY152" i="31"/>
  <c r="CX152" i="31"/>
  <c r="CW152" i="31"/>
  <c r="CV152" i="31"/>
  <c r="CU152" i="31"/>
  <c r="CT152" i="31"/>
  <c r="CS152" i="31"/>
  <c r="CR152" i="31"/>
  <c r="CQ152" i="31"/>
  <c r="CP152" i="31"/>
  <c r="CO152" i="31"/>
  <c r="CN152" i="31"/>
  <c r="CM152" i="31"/>
  <c r="CL152" i="31"/>
  <c r="CK152" i="31"/>
  <c r="CJ152" i="31"/>
  <c r="CI152" i="31"/>
  <c r="CH152" i="31"/>
  <c r="CG152" i="31"/>
  <c r="CF152" i="31"/>
  <c r="CE152" i="31"/>
  <c r="CD152" i="31"/>
  <c r="CC152" i="31"/>
  <c r="CB152" i="31"/>
  <c r="AT110" i="31"/>
  <c r="AT122" i="31" s="1"/>
  <c r="EB151" i="31"/>
  <c r="EA151" i="31"/>
  <c r="DZ151" i="31"/>
  <c r="DY151" i="31"/>
  <c r="DX151" i="31"/>
  <c r="DW151" i="31"/>
  <c r="DV151" i="31"/>
  <c r="DU151" i="31"/>
  <c r="DT151" i="31"/>
  <c r="DS151" i="31"/>
  <c r="DR151" i="31"/>
  <c r="DQ151" i="31"/>
  <c r="DP151" i="31"/>
  <c r="DO151" i="31"/>
  <c r="DN151" i="31"/>
  <c r="DM151" i="31"/>
  <c r="DL151" i="31"/>
  <c r="DK151" i="31"/>
  <c r="DJ151" i="31"/>
  <c r="DI151" i="31"/>
  <c r="DH151" i="31"/>
  <c r="DG151" i="31"/>
  <c r="DF151" i="31"/>
  <c r="DE151" i="31"/>
  <c r="CY151" i="31"/>
  <c r="CX151" i="31"/>
  <c r="CW151" i="31"/>
  <c r="CV151" i="31"/>
  <c r="CU151" i="31"/>
  <c r="CT151" i="31"/>
  <c r="CS151" i="31"/>
  <c r="CR151" i="31"/>
  <c r="CQ151" i="31"/>
  <c r="CP151" i="31"/>
  <c r="CO151" i="31"/>
  <c r="CN151" i="31"/>
  <c r="CM151" i="31"/>
  <c r="CL151" i="31"/>
  <c r="CK151" i="31"/>
  <c r="CJ151" i="31"/>
  <c r="CI151" i="31"/>
  <c r="CH151" i="31"/>
  <c r="CG151" i="31"/>
  <c r="CF151" i="31"/>
  <c r="CE151" i="31"/>
  <c r="CD151" i="31"/>
  <c r="CC151" i="31"/>
  <c r="CB151" i="31"/>
  <c r="AT109" i="31"/>
  <c r="AT121" i="31" s="1"/>
  <c r="DZ96" i="31"/>
  <c r="DX96" i="31"/>
  <c r="DV96" i="31"/>
  <c r="DU96" i="31"/>
  <c r="DR96" i="31"/>
  <c r="DP96" i="31"/>
  <c r="DN96" i="31"/>
  <c r="DM96" i="31"/>
  <c r="DJ96" i="31"/>
  <c r="DH96" i="31"/>
  <c r="DF96" i="31"/>
  <c r="DE96" i="31"/>
  <c r="EB96" i="31"/>
  <c r="CU96" i="31"/>
  <c r="CM96" i="31"/>
  <c r="CG96" i="31"/>
  <c r="CS96" i="31"/>
  <c r="BP96" i="31"/>
  <c r="BI96" i="31"/>
  <c r="BA96" i="31"/>
  <c r="CL96" i="31"/>
  <c r="AT159" i="31"/>
  <c r="EA95" i="31"/>
  <c r="DY95" i="31"/>
  <c r="DX95" i="31"/>
  <c r="DW95" i="31"/>
  <c r="DV95" i="31"/>
  <c r="DS95" i="31"/>
  <c r="DQ95" i="31"/>
  <c r="DP95" i="31"/>
  <c r="DO95" i="31"/>
  <c r="DN95" i="31"/>
  <c r="DM95" i="31"/>
  <c r="DK95" i="31"/>
  <c r="DI95" i="31"/>
  <c r="DH95" i="31"/>
  <c r="DG95" i="31"/>
  <c r="DF95" i="31"/>
  <c r="DE95" i="31"/>
  <c r="DU95" i="31"/>
  <c r="CX95" i="31"/>
  <c r="CV95" i="31"/>
  <c r="CU95" i="31"/>
  <c r="CP95" i="31"/>
  <c r="CN95" i="31"/>
  <c r="CM95" i="31"/>
  <c r="CH95" i="31"/>
  <c r="CF95" i="31"/>
  <c r="CE95" i="31"/>
  <c r="CS95" i="31"/>
  <c r="BR95" i="31"/>
  <c r="BQ95" i="31"/>
  <c r="BL95" i="31"/>
  <c r="BJ95" i="31"/>
  <c r="BI95" i="31"/>
  <c r="BD95" i="31"/>
  <c r="BB95" i="31"/>
  <c r="BA95" i="31"/>
  <c r="AV95" i="31"/>
  <c r="CT95" i="31"/>
  <c r="AT158" i="31"/>
  <c r="DZ94" i="31"/>
  <c r="DX94" i="31"/>
  <c r="DW94" i="31"/>
  <c r="DR94" i="31"/>
  <c r="DP94" i="31"/>
  <c r="DO94" i="31"/>
  <c r="DJ94" i="31"/>
  <c r="DH94" i="31"/>
  <c r="DG94" i="31"/>
  <c r="DV94" i="31"/>
  <c r="CQ94" i="31"/>
  <c r="CV94" i="31"/>
  <c r="BR94" i="31"/>
  <c r="AT157" i="31"/>
  <c r="AE129" i="31"/>
  <c r="W129" i="31"/>
  <c r="O129" i="31"/>
  <c r="EA93" i="31"/>
  <c r="DZ93" i="31"/>
  <c r="DY93" i="31"/>
  <c r="DX93" i="31"/>
  <c r="DW93" i="31"/>
  <c r="DU93" i="31"/>
  <c r="DS93" i="31"/>
  <c r="DR93" i="31"/>
  <c r="DQ93" i="31"/>
  <c r="DP93" i="31"/>
  <c r="DO93" i="31"/>
  <c r="DM93" i="31"/>
  <c r="DK93" i="31"/>
  <c r="DJ93" i="31"/>
  <c r="DI93" i="31"/>
  <c r="DH93" i="31"/>
  <c r="DG93" i="31"/>
  <c r="DE93" i="31"/>
  <c r="DV93" i="31"/>
  <c r="CX93" i="31"/>
  <c r="CL93" i="31"/>
  <c r="BJ93" i="31"/>
  <c r="AX93" i="31"/>
  <c r="BN93" i="31"/>
  <c r="EA92" i="31"/>
  <c r="DY92" i="31"/>
  <c r="DX92" i="31"/>
  <c r="DW92" i="31"/>
  <c r="DV92" i="31"/>
  <c r="DS92" i="31"/>
  <c r="DQ92" i="31"/>
  <c r="DP92" i="31"/>
  <c r="DO92" i="31"/>
  <c r="DN92" i="31"/>
  <c r="DK92" i="31"/>
  <c r="DI92" i="31"/>
  <c r="DH92" i="31"/>
  <c r="DG92" i="31"/>
  <c r="DF92" i="31"/>
  <c r="EB92" i="31"/>
  <c r="CX92" i="31"/>
  <c r="CV92" i="31"/>
  <c r="CU92" i="31"/>
  <c r="CR92" i="31"/>
  <c r="CP92" i="31"/>
  <c r="CN92" i="31"/>
  <c r="CM92" i="31"/>
  <c r="CJ92" i="31"/>
  <c r="CH92" i="31"/>
  <c r="CF92" i="31"/>
  <c r="CE92" i="31"/>
  <c r="CB92" i="31"/>
  <c r="CT92" i="31"/>
  <c r="BR92" i="31"/>
  <c r="BQ92" i="31"/>
  <c r="BN92" i="31"/>
  <c r="BL92" i="31"/>
  <c r="BJ92" i="31"/>
  <c r="BI92" i="31"/>
  <c r="BF92" i="31"/>
  <c r="BD92" i="31"/>
  <c r="BB92" i="31"/>
  <c r="BA92" i="31"/>
  <c r="AX92" i="31"/>
  <c r="AV92" i="31"/>
  <c r="CW92" i="31"/>
  <c r="AT156" i="31"/>
  <c r="EA91" i="31"/>
  <c r="DY91" i="31"/>
  <c r="DX91" i="31"/>
  <c r="DW91" i="31"/>
  <c r="DV91" i="31"/>
  <c r="DS91" i="31"/>
  <c r="DQ91" i="31"/>
  <c r="DP91" i="31"/>
  <c r="DO91" i="31"/>
  <c r="DN91" i="31"/>
  <c r="DK91" i="31"/>
  <c r="DI91" i="31"/>
  <c r="DH91" i="31"/>
  <c r="DG91" i="31"/>
  <c r="DF91" i="31"/>
  <c r="DU91" i="31"/>
  <c r="CX91" i="31"/>
  <c r="CV91" i="31"/>
  <c r="CU91" i="31"/>
  <c r="CR91" i="31"/>
  <c r="CP91" i="31"/>
  <c r="CN91" i="31"/>
  <c r="CM91" i="31"/>
  <c r="CJ91" i="31"/>
  <c r="CH91" i="31"/>
  <c r="CF91" i="31"/>
  <c r="CE91" i="31"/>
  <c r="CB91" i="31"/>
  <c r="CT91" i="31"/>
  <c r="BR91" i="31"/>
  <c r="BQ91" i="31"/>
  <c r="BN91" i="31"/>
  <c r="BL91" i="31"/>
  <c r="BJ91" i="31"/>
  <c r="BI91" i="31"/>
  <c r="BF91" i="31"/>
  <c r="BD91" i="31"/>
  <c r="BB91" i="31"/>
  <c r="BA91" i="31"/>
  <c r="AX91" i="31"/>
  <c r="AV91" i="31"/>
  <c r="CW91" i="31"/>
  <c r="AT155" i="31"/>
  <c r="EA90" i="31"/>
  <c r="DY90" i="31"/>
  <c r="DX90" i="31"/>
  <c r="DW90" i="31"/>
  <c r="DV90" i="31"/>
  <c r="DS90" i="31"/>
  <c r="DQ90" i="31"/>
  <c r="DP90" i="31"/>
  <c r="DO90" i="31"/>
  <c r="DN90" i="31"/>
  <c r="DK90" i="31"/>
  <c r="DI90" i="31"/>
  <c r="DH90" i="31"/>
  <c r="DG90" i="31"/>
  <c r="DF90" i="31"/>
  <c r="DU90" i="31"/>
  <c r="CJ90" i="31"/>
  <c r="BZ90" i="31"/>
  <c r="BZ154" i="31" s="1"/>
  <c r="BQ90" i="31"/>
  <c r="BA90" i="31"/>
  <c r="AT154" i="31"/>
  <c r="EA89" i="31"/>
  <c r="DY89" i="31"/>
  <c r="DX89" i="31"/>
  <c r="DW89" i="31"/>
  <c r="DV89" i="31"/>
  <c r="DS89" i="31"/>
  <c r="DQ89" i="31"/>
  <c r="DP89" i="31"/>
  <c r="DO89" i="31"/>
  <c r="DN89" i="31"/>
  <c r="DK89" i="31"/>
  <c r="DI89" i="31"/>
  <c r="DH89" i="31"/>
  <c r="DG89" i="31"/>
  <c r="DF89" i="31"/>
  <c r="DU89" i="31"/>
  <c r="CX89" i="31"/>
  <c r="CV89" i="31"/>
  <c r="CU89" i="31"/>
  <c r="CR89" i="31"/>
  <c r="CP89" i="31"/>
  <c r="CN89" i="31"/>
  <c r="CM89" i="31"/>
  <c r="CJ89" i="31"/>
  <c r="CH89" i="31"/>
  <c r="CF89" i="31"/>
  <c r="CE89" i="31"/>
  <c r="CB89" i="31"/>
  <c r="CT89" i="31"/>
  <c r="BR89" i="31"/>
  <c r="BQ89" i="31"/>
  <c r="BN89" i="31"/>
  <c r="BL89" i="31"/>
  <c r="BJ89" i="31"/>
  <c r="BI89" i="31"/>
  <c r="BF89" i="31"/>
  <c r="BD89" i="31"/>
  <c r="BB89" i="31"/>
  <c r="BA89" i="31"/>
  <c r="AX89" i="31"/>
  <c r="AV89" i="31"/>
  <c r="CW89" i="31"/>
  <c r="AT153" i="31"/>
  <c r="EA88" i="31"/>
  <c r="DY88" i="31"/>
  <c r="DX88" i="31"/>
  <c r="DW88" i="31"/>
  <c r="DV88" i="31"/>
  <c r="DS88" i="31"/>
  <c r="DQ88" i="31"/>
  <c r="DP88" i="31"/>
  <c r="DO88" i="31"/>
  <c r="DN88" i="31"/>
  <c r="DK88" i="31"/>
  <c r="DI88" i="31"/>
  <c r="DH88" i="31"/>
  <c r="DG88" i="31"/>
  <c r="DF88" i="31"/>
  <c r="DU88" i="31"/>
  <c r="CX88" i="31"/>
  <c r="CV88" i="31"/>
  <c r="CU88" i="31"/>
  <c r="CR88" i="31"/>
  <c r="CP88" i="31"/>
  <c r="CN88" i="31"/>
  <c r="CM88" i="31"/>
  <c r="CJ88" i="31"/>
  <c r="CH88" i="31"/>
  <c r="CF88" i="31"/>
  <c r="CE88" i="31"/>
  <c r="CB88" i="31"/>
  <c r="CT88" i="31"/>
  <c r="BR88" i="31"/>
  <c r="BQ88" i="31"/>
  <c r="BN88" i="31"/>
  <c r="BL88" i="31"/>
  <c r="BJ88" i="31"/>
  <c r="BI88" i="31"/>
  <c r="BF88" i="31"/>
  <c r="BD88" i="31"/>
  <c r="BB88" i="31"/>
  <c r="BA88" i="31"/>
  <c r="AX88" i="31"/>
  <c r="AV88" i="31"/>
  <c r="CW88" i="31"/>
  <c r="AT152" i="31"/>
  <c r="EA87" i="31"/>
  <c r="DY87" i="31"/>
  <c r="DX87" i="31"/>
  <c r="DW87" i="31"/>
  <c r="DV87" i="31"/>
  <c r="DS87" i="31"/>
  <c r="DQ87" i="31"/>
  <c r="DP87" i="31"/>
  <c r="DO87" i="31"/>
  <c r="DN87" i="31"/>
  <c r="DK87" i="31"/>
  <c r="DI87" i="31"/>
  <c r="DH87" i="31"/>
  <c r="DG87" i="31"/>
  <c r="DF87" i="31"/>
  <c r="DU87" i="31"/>
  <c r="CX87" i="31"/>
  <c r="CV87" i="31"/>
  <c r="CU87" i="31"/>
  <c r="CR87" i="31"/>
  <c r="CP87" i="31"/>
  <c r="CN87" i="31"/>
  <c r="CM87" i="31"/>
  <c r="CJ87" i="31"/>
  <c r="CH87" i="31"/>
  <c r="CF87" i="31"/>
  <c r="CE87" i="31"/>
  <c r="CB87" i="31"/>
  <c r="CT87" i="31"/>
  <c r="BR87" i="31"/>
  <c r="BQ87" i="31"/>
  <c r="BN87" i="31"/>
  <c r="BL87" i="31"/>
  <c r="BJ87" i="31"/>
  <c r="BI87" i="31"/>
  <c r="BF87" i="31"/>
  <c r="BD87" i="31"/>
  <c r="BB87" i="31"/>
  <c r="BA87" i="31"/>
  <c r="AX87" i="31"/>
  <c r="AV87" i="31"/>
  <c r="CW87" i="31"/>
  <c r="AT151" i="31"/>
  <c r="AT85" i="31"/>
  <c r="AT84" i="31"/>
  <c r="AT82" i="31"/>
  <c r="AT81" i="31"/>
  <c r="AT80" i="31"/>
  <c r="AT79" i="31"/>
  <c r="AT78" i="31"/>
  <c r="AT77" i="31"/>
  <c r="AT76" i="31"/>
  <c r="AT75" i="31"/>
  <c r="BZ85" i="31"/>
  <c r="BZ118" i="31" s="1"/>
  <c r="AT73" i="31"/>
  <c r="AT72" i="31"/>
  <c r="DC82" i="31"/>
  <c r="DC116" i="31" s="1"/>
  <c r="AT71" i="31"/>
  <c r="AT70" i="31"/>
  <c r="BZ92" i="31"/>
  <c r="BZ156" i="31" s="1"/>
  <c r="AT69" i="31"/>
  <c r="DC79" i="31"/>
  <c r="DC113" i="31" s="1"/>
  <c r="BZ91" i="31"/>
  <c r="BZ155" i="31" s="1"/>
  <c r="AT68" i="31"/>
  <c r="AT67" i="31"/>
  <c r="DC77" i="31"/>
  <c r="DC111" i="31" s="1"/>
  <c r="BZ89" i="31"/>
  <c r="BZ153" i="31" s="1"/>
  <c r="AT66" i="31"/>
  <c r="BZ88" i="31"/>
  <c r="BZ152" i="31" s="1"/>
  <c r="AT65" i="31"/>
  <c r="AT64" i="31"/>
  <c r="DD62" i="31"/>
  <c r="CA62" i="31"/>
  <c r="D62" i="31"/>
  <c r="D61" i="31"/>
  <c r="D60" i="31"/>
  <c r="D59" i="31"/>
  <c r="D58" i="31"/>
  <c r="D57" i="31"/>
  <c r="D56" i="31"/>
  <c r="D55" i="31"/>
  <c r="D54" i="31"/>
  <c r="D53" i="31"/>
  <c r="D52" i="31"/>
  <c r="D50" i="31"/>
  <c r="D49" i="31"/>
  <c r="D48" i="31"/>
  <c r="D47" i="31"/>
  <c r="D46" i="31"/>
  <c r="D45" i="31"/>
  <c r="D44" i="31"/>
  <c r="D43" i="31"/>
  <c r="D37" i="31"/>
  <c r="D36" i="31"/>
  <c r="D35" i="31"/>
  <c r="D34" i="31"/>
  <c r="D33" i="31"/>
  <c r="D32" i="31"/>
  <c r="D31" i="31"/>
  <c r="D30" i="31"/>
  <c r="D29" i="31"/>
  <c r="D28" i="31"/>
  <c r="D27" i="31"/>
  <c r="D26" i="31"/>
  <c r="D24" i="31"/>
  <c r="D23" i="31"/>
  <c r="D17" i="31"/>
  <c r="D16" i="31"/>
  <c r="D15" i="31"/>
  <c r="D14" i="31"/>
  <c r="D13" i="31"/>
  <c r="D12" i="31"/>
  <c r="D11" i="31"/>
  <c r="D7" i="31"/>
  <c r="D6" i="31"/>
  <c r="D5" i="31"/>
  <c r="D4" i="31"/>
  <c r="D3" i="31"/>
  <c r="D2" i="31"/>
  <c r="D1" i="31"/>
  <c r="Z260" i="30"/>
  <c r="C190" i="31"/>
  <c r="D190" i="31" s="1"/>
  <c r="AK190" i="31" s="1"/>
  <c r="AC224" i="30"/>
  <c r="AB221" i="30"/>
  <c r="AC221" i="30"/>
  <c r="AA216" i="30"/>
  <c r="AC216" i="30"/>
  <c r="AC213" i="30"/>
  <c r="AI207" i="30"/>
  <c r="AC205" i="30"/>
  <c r="AB200" i="30"/>
  <c r="AC200" i="30"/>
  <c r="W199" i="30"/>
  <c r="AC197" i="30"/>
  <c r="AF193" i="30"/>
  <c r="AB193" i="30"/>
  <c r="AB192" i="30"/>
  <c r="AF191" i="30"/>
  <c r="AB185" i="30"/>
  <c r="AA183" i="30"/>
  <c r="V183" i="30"/>
  <c r="U183" i="30"/>
  <c r="AC182" i="30"/>
  <c r="AF177" i="30"/>
  <c r="AB177" i="30"/>
  <c r="AC177" i="30"/>
  <c r="C239" i="31"/>
  <c r="D239" i="31" s="1"/>
  <c r="AA175" i="30"/>
  <c r="C80" i="31"/>
  <c r="AI144" i="30"/>
  <c r="AI146" i="30" s="1"/>
  <c r="AI141" i="30"/>
  <c r="AI138" i="30"/>
  <c r="Z136" i="30"/>
  <c r="AA136" i="30" s="1"/>
  <c r="V136" i="30"/>
  <c r="W136" i="30" s="1"/>
  <c r="AI135" i="30"/>
  <c r="V133" i="30"/>
  <c r="W133" i="30" s="1"/>
  <c r="T133" i="30"/>
  <c r="AI132" i="30"/>
  <c r="AI134" i="30" s="1"/>
  <c r="AI129" i="30"/>
  <c r="J128" i="30"/>
  <c r="Z132" i="30"/>
  <c r="AA132" i="30" s="1"/>
  <c r="X135" i="30"/>
  <c r="Y135" i="30" s="1"/>
  <c r="V135" i="30"/>
  <c r="W135" i="30" s="1"/>
  <c r="J127" i="30"/>
  <c r="AI126" i="30"/>
  <c r="L112" i="30"/>
  <c r="CS78" i="30"/>
  <c r="EF77" i="30"/>
  <c r="BN77" i="30"/>
  <c r="DA76" i="30"/>
  <c r="AJ76" i="30"/>
  <c r="BV75" i="30"/>
  <c r="AR74" i="30"/>
  <c r="CD73" i="30"/>
  <c r="DT72" i="30"/>
  <c r="AZ72" i="30"/>
  <c r="CO71" i="30"/>
  <c r="EB70" i="30"/>
  <c r="CK70" i="30"/>
  <c r="BL70" i="30"/>
  <c r="DX69" i="30"/>
  <c r="CY69" i="30"/>
  <c r="CA69" i="30"/>
  <c r="BN69" i="30"/>
  <c r="BH67" i="30"/>
  <c r="BH78" i="30" s="1"/>
  <c r="AG78" i="30"/>
  <c r="AG77" i="30"/>
  <c r="BH65" i="30"/>
  <c r="BH76" i="30" s="1"/>
  <c r="AG76" i="30"/>
  <c r="AG75" i="30"/>
  <c r="BH63" i="30"/>
  <c r="BH74" i="30" s="1"/>
  <c r="AG74" i="30"/>
  <c r="AG73" i="30"/>
  <c r="BH61" i="30"/>
  <c r="BH72" i="30" s="1"/>
  <c r="AG72" i="30"/>
  <c r="AG71" i="30"/>
  <c r="BH59" i="30"/>
  <c r="BH70" i="30" s="1"/>
  <c r="AG70" i="30"/>
  <c r="AG69" i="30"/>
  <c r="EJ78" i="30"/>
  <c r="EI78" i="30"/>
  <c r="EH78" i="30"/>
  <c r="EG78" i="30"/>
  <c r="EF78" i="30"/>
  <c r="EE78" i="30"/>
  <c r="EC78" i="30"/>
  <c r="EB78" i="30"/>
  <c r="EA78" i="30"/>
  <c r="DZ78" i="30"/>
  <c r="DY78" i="30"/>
  <c r="DX78" i="30"/>
  <c r="DW78" i="30"/>
  <c r="DU78" i="30"/>
  <c r="DT78" i="30"/>
  <c r="DS78" i="30"/>
  <c r="DR78" i="30"/>
  <c r="DQ78" i="30"/>
  <c r="DP78" i="30"/>
  <c r="DO78" i="30"/>
  <c r="DM78" i="30"/>
  <c r="DL67" i="30"/>
  <c r="DL78" i="30" s="1"/>
  <c r="DH78" i="30"/>
  <c r="DF78" i="30"/>
  <c r="DE78" i="30"/>
  <c r="DD78" i="30"/>
  <c r="DC78" i="30"/>
  <c r="DB78" i="30"/>
  <c r="DA78" i="30"/>
  <c r="CZ78" i="30"/>
  <c r="CX78" i="30"/>
  <c r="CW78" i="30"/>
  <c r="CV78" i="30"/>
  <c r="CU78" i="30"/>
  <c r="CT78" i="30"/>
  <c r="CR78" i="30"/>
  <c r="CP78" i="30"/>
  <c r="CO78" i="30"/>
  <c r="CN78" i="30"/>
  <c r="CM78" i="30"/>
  <c r="CL78" i="30"/>
  <c r="CK78" i="30"/>
  <c r="CJ67" i="30"/>
  <c r="CJ78" i="30" s="1"/>
  <c r="CE78" i="30"/>
  <c r="CD78" i="30"/>
  <c r="CC78" i="30"/>
  <c r="CB78" i="30"/>
  <c r="CA78" i="30"/>
  <c r="BZ78" i="30"/>
  <c r="BY78" i="30"/>
  <c r="BW78" i="30"/>
  <c r="BV78" i="30"/>
  <c r="BU78" i="30"/>
  <c r="BT78" i="30"/>
  <c r="BS78" i="30"/>
  <c r="BR78" i="30"/>
  <c r="BQ78" i="30"/>
  <c r="BO78" i="30"/>
  <c r="BN78" i="30"/>
  <c r="BM78" i="30"/>
  <c r="BL78" i="30"/>
  <c r="BK78" i="30"/>
  <c r="BJ78" i="30"/>
  <c r="BI78" i="30"/>
  <c r="BE78" i="30"/>
  <c r="BD78" i="30"/>
  <c r="BC78" i="30"/>
  <c r="BB78" i="30"/>
  <c r="BA78" i="30"/>
  <c r="AZ78" i="30"/>
  <c r="AY78" i="30"/>
  <c r="AX78" i="30"/>
  <c r="AW78" i="30"/>
  <c r="AV78" i="30"/>
  <c r="EJ77" i="30"/>
  <c r="EI77" i="30"/>
  <c r="EH77" i="30"/>
  <c r="EG77" i="30"/>
  <c r="EE77" i="30"/>
  <c r="EC77" i="30"/>
  <c r="EB77" i="30"/>
  <c r="EA77" i="30"/>
  <c r="DZ77" i="30"/>
  <c r="DY77" i="30"/>
  <c r="DX77" i="30"/>
  <c r="DW77" i="30"/>
  <c r="DU77" i="30"/>
  <c r="DT77" i="30"/>
  <c r="DS77" i="30"/>
  <c r="DR77" i="30"/>
  <c r="DQ77" i="30"/>
  <c r="DP77" i="30"/>
  <c r="DO77" i="30"/>
  <c r="DM77" i="30"/>
  <c r="DL66" i="30"/>
  <c r="DL77" i="30" s="1"/>
  <c r="DH77" i="30"/>
  <c r="DG77" i="30"/>
  <c r="DF77" i="30"/>
  <c r="DE77" i="30"/>
  <c r="DD77" i="30"/>
  <c r="DB77" i="30"/>
  <c r="DA77" i="30"/>
  <c r="CZ77" i="30"/>
  <c r="CY77" i="30"/>
  <c r="CX77" i="30"/>
  <c r="CW77" i="30"/>
  <c r="CV77" i="30"/>
  <c r="CT77" i="30"/>
  <c r="CS77" i="30"/>
  <c r="CR77" i="30"/>
  <c r="CQ77" i="30"/>
  <c r="CP77" i="30"/>
  <c r="CO77" i="30"/>
  <c r="CN77" i="30"/>
  <c r="CL77" i="30"/>
  <c r="CK77" i="30"/>
  <c r="CJ66" i="30"/>
  <c r="CJ77" i="30" s="1"/>
  <c r="CF77" i="30"/>
  <c r="CE77" i="30"/>
  <c r="CD77" i="30"/>
  <c r="CC77" i="30"/>
  <c r="CA77" i="30"/>
  <c r="BZ77" i="30"/>
  <c r="BY77" i="30"/>
  <c r="BX77" i="30"/>
  <c r="BW77" i="30"/>
  <c r="BV77" i="30"/>
  <c r="BU77" i="30"/>
  <c r="BS77" i="30"/>
  <c r="BR77" i="30"/>
  <c r="BQ77" i="30"/>
  <c r="BP77" i="30"/>
  <c r="BO77" i="30"/>
  <c r="BM77" i="30"/>
  <c r="BK77" i="30"/>
  <c r="BJ77" i="30"/>
  <c r="BI77" i="30"/>
  <c r="BH66" i="30"/>
  <c r="BH77" i="30" s="1"/>
  <c r="BE77" i="30"/>
  <c r="BD77" i="30"/>
  <c r="BC77" i="30"/>
  <c r="BA77" i="30"/>
  <c r="AZ77" i="30"/>
  <c r="AY77" i="30"/>
  <c r="AX77" i="30"/>
  <c r="AW77" i="30"/>
  <c r="AV77" i="30"/>
  <c r="AU77" i="30"/>
  <c r="AS77" i="30"/>
  <c r="AR77" i="30"/>
  <c r="AQ77" i="30"/>
  <c r="AP77" i="30"/>
  <c r="AO77" i="30"/>
  <c r="AN77" i="30"/>
  <c r="AM77" i="30"/>
  <c r="AK77" i="30"/>
  <c r="AJ77" i="30"/>
  <c r="AI77" i="30"/>
  <c r="AH77" i="30"/>
  <c r="EJ76" i="30"/>
  <c r="EI76" i="30"/>
  <c r="EG76" i="30"/>
  <c r="EF76" i="30"/>
  <c r="EE76" i="30"/>
  <c r="EC76" i="30"/>
  <c r="EB76" i="30"/>
  <c r="EA76" i="30"/>
  <c r="DY76" i="30"/>
  <c r="DX76" i="30"/>
  <c r="DW76" i="30"/>
  <c r="DU76" i="30"/>
  <c r="DT76" i="30"/>
  <c r="DS76" i="30"/>
  <c r="DQ76" i="30"/>
  <c r="DP76" i="30"/>
  <c r="DO76" i="30"/>
  <c r="DM76" i="30"/>
  <c r="DL65" i="30"/>
  <c r="DL76" i="30" s="1"/>
  <c r="DH76" i="30"/>
  <c r="DF76" i="30"/>
  <c r="DE76" i="30"/>
  <c r="DD76" i="30"/>
  <c r="DC76" i="30"/>
  <c r="DB76" i="30"/>
  <c r="CZ76" i="30"/>
  <c r="CX76" i="30"/>
  <c r="CW76" i="30"/>
  <c r="CV76" i="30"/>
  <c r="CU76" i="30"/>
  <c r="CT76" i="30"/>
  <c r="CS76" i="30"/>
  <c r="CR76" i="30"/>
  <c r="CP76" i="30"/>
  <c r="CO76" i="30"/>
  <c r="CN76" i="30"/>
  <c r="CM76" i="30"/>
  <c r="CL76" i="30"/>
  <c r="CK76" i="30"/>
  <c r="CJ65" i="30"/>
  <c r="CJ76" i="30" s="1"/>
  <c r="CE76" i="30"/>
  <c r="CD76" i="30"/>
  <c r="CC76" i="30"/>
  <c r="CB76" i="30"/>
  <c r="CA76" i="30"/>
  <c r="BZ76" i="30"/>
  <c r="BY76" i="30"/>
  <c r="BW76" i="30"/>
  <c r="BV76" i="30"/>
  <c r="BU76" i="30"/>
  <c r="BT76" i="30"/>
  <c r="BS76" i="30"/>
  <c r="BR76" i="30"/>
  <c r="BQ76" i="30"/>
  <c r="BO76" i="30"/>
  <c r="BN76" i="30"/>
  <c r="BM76" i="30"/>
  <c r="BL76" i="30"/>
  <c r="BK76" i="30"/>
  <c r="BJ76" i="30"/>
  <c r="BI76" i="30"/>
  <c r="BE76" i="30"/>
  <c r="BD76" i="30"/>
  <c r="BC76" i="30"/>
  <c r="BB76" i="30"/>
  <c r="BA76" i="30"/>
  <c r="AZ76" i="30"/>
  <c r="AY76" i="30"/>
  <c r="AW76" i="30"/>
  <c r="AV76" i="30"/>
  <c r="AU76" i="30"/>
  <c r="AT76" i="30"/>
  <c r="AS76" i="30"/>
  <c r="AR76" i="30"/>
  <c r="AQ76" i="30"/>
  <c r="AO76" i="30"/>
  <c r="AN76" i="30"/>
  <c r="AM76" i="30"/>
  <c r="AL76" i="30"/>
  <c r="AK76" i="30"/>
  <c r="AI76" i="30"/>
  <c r="EJ75" i="30"/>
  <c r="EI75" i="30"/>
  <c r="EH75" i="30"/>
  <c r="EG75" i="30"/>
  <c r="EF75" i="30"/>
  <c r="EE75" i="30"/>
  <c r="EC75" i="30"/>
  <c r="EB75" i="30"/>
  <c r="EA75" i="30"/>
  <c r="DZ75" i="30"/>
  <c r="DY75" i="30"/>
  <c r="DX75" i="30"/>
  <c r="DW75" i="30"/>
  <c r="DU75" i="30"/>
  <c r="DT75" i="30"/>
  <c r="DS75" i="30"/>
  <c r="DR75" i="30"/>
  <c r="DQ75" i="30"/>
  <c r="DP75" i="30"/>
  <c r="DO75" i="30"/>
  <c r="DM75" i="30"/>
  <c r="DL64" i="30"/>
  <c r="DL75" i="30" s="1"/>
  <c r="DH75" i="30"/>
  <c r="DG75" i="30"/>
  <c r="DF75" i="30"/>
  <c r="DE75" i="30"/>
  <c r="DD75" i="30"/>
  <c r="DB75" i="30"/>
  <c r="DA75" i="30"/>
  <c r="CZ75" i="30"/>
  <c r="CY75" i="30"/>
  <c r="CX75" i="30"/>
  <c r="CW75" i="30"/>
  <c r="CV75" i="30"/>
  <c r="CT75" i="30"/>
  <c r="CS75" i="30"/>
  <c r="CR75" i="30"/>
  <c r="CQ75" i="30"/>
  <c r="CP75" i="30"/>
  <c r="CO75" i="30"/>
  <c r="CN75" i="30"/>
  <c r="CL75" i="30"/>
  <c r="CK75" i="30"/>
  <c r="CJ64" i="30"/>
  <c r="CJ75" i="30" s="1"/>
  <c r="CF75" i="30"/>
  <c r="CE75" i="30"/>
  <c r="CD75" i="30"/>
  <c r="CC75" i="30"/>
  <c r="CB75" i="30"/>
  <c r="CA75" i="30"/>
  <c r="BZ75" i="30"/>
  <c r="BY75" i="30"/>
  <c r="BX75" i="30"/>
  <c r="BW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64" i="30"/>
  <c r="BH75" i="30" s="1"/>
  <c r="BE75" i="30"/>
  <c r="BD75" i="30"/>
  <c r="BC75" i="30"/>
  <c r="BA75" i="30"/>
  <c r="AZ75" i="30"/>
  <c r="AY75" i="30"/>
  <c r="AX75" i="30"/>
  <c r="AW75" i="30"/>
  <c r="AV75" i="30"/>
  <c r="AU75" i="30"/>
  <c r="AS75" i="30"/>
  <c r="AR75" i="30"/>
  <c r="AQ75" i="30"/>
  <c r="AP75" i="30"/>
  <c r="AO75" i="30"/>
  <c r="AN75" i="30"/>
  <c r="AM75" i="30"/>
  <c r="AK75" i="30"/>
  <c r="AJ75" i="30"/>
  <c r="AI75" i="30"/>
  <c r="AH75" i="30"/>
  <c r="EJ74" i="30"/>
  <c r="EI74" i="30"/>
  <c r="EG74" i="30"/>
  <c r="EF74" i="30"/>
  <c r="EE74" i="30"/>
  <c r="EC74" i="30"/>
  <c r="EB74" i="30"/>
  <c r="EA74" i="30"/>
  <c r="DY74" i="30"/>
  <c r="DX74" i="30"/>
  <c r="DW74" i="30"/>
  <c r="DU74" i="30"/>
  <c r="DT74" i="30"/>
  <c r="DS74" i="30"/>
  <c r="DQ74" i="30"/>
  <c r="DP74" i="30"/>
  <c r="DO74" i="30"/>
  <c r="DM74" i="30"/>
  <c r="DL63" i="30"/>
  <c r="DL74" i="30" s="1"/>
  <c r="DH74" i="30"/>
  <c r="DF74" i="30"/>
  <c r="DE74" i="30"/>
  <c r="DD74" i="30"/>
  <c r="DC74" i="30"/>
  <c r="DB74" i="30"/>
  <c r="DA74" i="30"/>
  <c r="CZ74" i="30"/>
  <c r="CX74" i="30"/>
  <c r="CW74" i="30"/>
  <c r="CV74" i="30"/>
  <c r="CU74" i="30"/>
  <c r="CT74" i="30"/>
  <c r="CS74" i="30"/>
  <c r="CR74" i="30"/>
  <c r="CP74" i="30"/>
  <c r="CO74" i="30"/>
  <c r="CN74" i="30"/>
  <c r="CM74" i="30"/>
  <c r="CL74" i="30"/>
  <c r="CK74" i="30"/>
  <c r="CJ63" i="30"/>
  <c r="CJ74" i="30" s="1"/>
  <c r="CE74" i="30"/>
  <c r="CD74" i="30"/>
  <c r="CC74" i="30"/>
  <c r="CB74" i="30"/>
  <c r="CA74" i="30"/>
  <c r="BZ74" i="30"/>
  <c r="BY74" i="30"/>
  <c r="BW74" i="30"/>
  <c r="BV74" i="30"/>
  <c r="BU74" i="30"/>
  <c r="BT74" i="30"/>
  <c r="BS74" i="30"/>
  <c r="BR74" i="30"/>
  <c r="BQ74" i="30"/>
  <c r="BO74" i="30"/>
  <c r="BN74" i="30"/>
  <c r="BM74" i="30"/>
  <c r="BL74" i="30"/>
  <c r="BK74" i="30"/>
  <c r="BJ74" i="30"/>
  <c r="BI74" i="30"/>
  <c r="BE74" i="30"/>
  <c r="BD74" i="30"/>
  <c r="BC74" i="30"/>
  <c r="BB74" i="30"/>
  <c r="BA74" i="30"/>
  <c r="AZ74" i="30"/>
  <c r="AY74" i="30"/>
  <c r="AW74" i="30"/>
  <c r="AV74" i="30"/>
  <c r="AU74" i="30"/>
  <c r="AT74" i="30"/>
  <c r="AS74" i="30"/>
  <c r="AQ74" i="30"/>
  <c r="AO74" i="30"/>
  <c r="AN74" i="30"/>
  <c r="AM74" i="30"/>
  <c r="AL74" i="30"/>
  <c r="AK74" i="30"/>
  <c r="AJ74" i="30"/>
  <c r="AI74" i="30"/>
  <c r="I218" i="31"/>
  <c r="EJ73" i="30"/>
  <c r="EI73" i="30"/>
  <c r="EH73" i="30"/>
  <c r="EG73" i="30"/>
  <c r="EF73" i="30"/>
  <c r="EE73" i="30"/>
  <c r="EC73" i="30"/>
  <c r="EB73" i="30"/>
  <c r="EA73" i="30"/>
  <c r="DZ73" i="30"/>
  <c r="DY73" i="30"/>
  <c r="DX73" i="30"/>
  <c r="DW73" i="30"/>
  <c r="DU73" i="30"/>
  <c r="DT73" i="30"/>
  <c r="DS73" i="30"/>
  <c r="DR73" i="30"/>
  <c r="DQ73" i="30"/>
  <c r="DP73" i="30"/>
  <c r="DO73" i="30"/>
  <c r="DM73" i="30"/>
  <c r="DL62" i="30"/>
  <c r="DL73" i="30" s="1"/>
  <c r="DH73" i="30"/>
  <c r="DG73" i="30"/>
  <c r="DF73" i="30"/>
  <c r="DE73" i="30"/>
  <c r="DD73" i="30"/>
  <c r="DB73" i="30"/>
  <c r="DA73" i="30"/>
  <c r="CZ73" i="30"/>
  <c r="CY73" i="30"/>
  <c r="CX73" i="30"/>
  <c r="CW73" i="30"/>
  <c r="CV73" i="30"/>
  <c r="CT73" i="30"/>
  <c r="CS73" i="30"/>
  <c r="CR73" i="30"/>
  <c r="CQ73" i="30"/>
  <c r="CP73" i="30"/>
  <c r="CO73" i="30"/>
  <c r="CN73" i="30"/>
  <c r="CL73" i="30"/>
  <c r="CK73" i="30"/>
  <c r="CJ62" i="30"/>
  <c r="CJ73" i="30" s="1"/>
  <c r="CF73" i="30"/>
  <c r="CE73" i="30"/>
  <c r="CC73" i="30"/>
  <c r="CA73" i="30"/>
  <c r="BZ73" i="30"/>
  <c r="BY73" i="30"/>
  <c r="BX73" i="30"/>
  <c r="BW73" i="30"/>
  <c r="BV73" i="30"/>
  <c r="BU73" i="30"/>
  <c r="BR73" i="30"/>
  <c r="BQ73" i="30"/>
  <c r="BP73" i="30"/>
  <c r="BO73" i="30"/>
  <c r="BN73" i="30"/>
  <c r="BM73" i="30"/>
  <c r="BK73" i="30"/>
  <c r="BE73" i="30"/>
  <c r="BD73" i="30"/>
  <c r="BC73" i="30"/>
  <c r="BA73" i="30"/>
  <c r="AZ73" i="30"/>
  <c r="AY73" i="30"/>
  <c r="AX73" i="30"/>
  <c r="AW73" i="30"/>
  <c r="AU73" i="30"/>
  <c r="AS73" i="30"/>
  <c r="AR73" i="30"/>
  <c r="AQ73" i="30"/>
  <c r="AP73" i="30"/>
  <c r="AO73" i="30"/>
  <c r="AN73" i="30"/>
  <c r="AM73" i="30"/>
  <c r="AK73" i="30"/>
  <c r="AJ73" i="30"/>
  <c r="AI73" i="30"/>
  <c r="AH73" i="30"/>
  <c r="I217" i="31"/>
  <c r="EJ72" i="30"/>
  <c r="EI72" i="30"/>
  <c r="EG72" i="30"/>
  <c r="EF72" i="30"/>
  <c r="EE72" i="30"/>
  <c r="EC72" i="30"/>
  <c r="EB72" i="30"/>
  <c r="EA72" i="30"/>
  <c r="DY72" i="30"/>
  <c r="DX72" i="30"/>
  <c r="DW72" i="30"/>
  <c r="DU72" i="30"/>
  <c r="DS72" i="30"/>
  <c r="DQ72" i="30"/>
  <c r="DP72" i="30"/>
  <c r="DO72" i="30"/>
  <c r="DM72" i="30"/>
  <c r="DL61" i="30"/>
  <c r="DL72" i="30" s="1"/>
  <c r="DH72" i="30"/>
  <c r="DF72" i="30"/>
  <c r="DE72" i="30"/>
  <c r="DD72" i="30"/>
  <c r="DC72" i="30"/>
  <c r="DB72" i="30"/>
  <c r="DA72" i="30"/>
  <c r="CZ72" i="30"/>
  <c r="CX72" i="30"/>
  <c r="CW72" i="30"/>
  <c r="CV72" i="30"/>
  <c r="CU72" i="30"/>
  <c r="CT72" i="30"/>
  <c r="CS72" i="30"/>
  <c r="CR72" i="30"/>
  <c r="CP72" i="30"/>
  <c r="CO72" i="30"/>
  <c r="CN72" i="30"/>
  <c r="CM72" i="30"/>
  <c r="CL72" i="30"/>
  <c r="CK72" i="30"/>
  <c r="CJ61" i="30"/>
  <c r="CJ72" i="30" s="1"/>
  <c r="CE72" i="30"/>
  <c r="CD72" i="30"/>
  <c r="CC72" i="30"/>
  <c r="CB72" i="30"/>
  <c r="CA72" i="30"/>
  <c r="BZ72" i="30"/>
  <c r="BY72" i="30"/>
  <c r="BW72" i="30"/>
  <c r="BV72" i="30"/>
  <c r="BU72" i="30"/>
  <c r="BT72" i="30"/>
  <c r="BS72" i="30"/>
  <c r="BR72" i="30"/>
  <c r="BQ72" i="30"/>
  <c r="BO72" i="30"/>
  <c r="BN72" i="30"/>
  <c r="BM72" i="30"/>
  <c r="BL72" i="30"/>
  <c r="BK72" i="30"/>
  <c r="BJ72" i="30"/>
  <c r="BI72" i="30"/>
  <c r="BE72" i="30"/>
  <c r="BC72" i="30"/>
  <c r="BB72" i="30"/>
  <c r="BA72" i="30"/>
  <c r="AY72" i="30"/>
  <c r="AW72" i="30"/>
  <c r="AV72" i="30"/>
  <c r="I216" i="31"/>
  <c r="EJ71" i="30"/>
  <c r="EI71" i="30"/>
  <c r="EH71" i="30"/>
  <c r="EG71" i="30"/>
  <c r="EF71" i="30"/>
  <c r="EE71" i="30"/>
  <c r="EC71" i="30"/>
  <c r="EB71" i="30"/>
  <c r="EA71" i="30"/>
  <c r="DZ71" i="30"/>
  <c r="DY71" i="30"/>
  <c r="DX71" i="30"/>
  <c r="DW71" i="30"/>
  <c r="DU71" i="30"/>
  <c r="DT71" i="30"/>
  <c r="DS71" i="30"/>
  <c r="DR71" i="30"/>
  <c r="DQ71" i="30"/>
  <c r="DP71" i="30"/>
  <c r="DO71" i="30"/>
  <c r="DM71" i="30"/>
  <c r="DL60" i="30"/>
  <c r="DL71" i="30" s="1"/>
  <c r="DH71" i="30"/>
  <c r="DG71" i="30"/>
  <c r="DF71" i="30"/>
  <c r="DE71" i="30"/>
  <c r="DD71" i="30"/>
  <c r="DB71" i="30"/>
  <c r="DA71" i="30"/>
  <c r="CZ71" i="30"/>
  <c r="CY71" i="30"/>
  <c r="CX71" i="30"/>
  <c r="CW71" i="30"/>
  <c r="CV71" i="30"/>
  <c r="CT71" i="30"/>
  <c r="CS71" i="30"/>
  <c r="CR71" i="30"/>
  <c r="CQ71" i="30"/>
  <c r="CP71" i="30"/>
  <c r="CN71" i="30"/>
  <c r="CL71" i="30"/>
  <c r="CK71" i="30"/>
  <c r="CJ60" i="30"/>
  <c r="CJ71" i="30" s="1"/>
  <c r="CF71" i="30"/>
  <c r="CE71" i="30"/>
  <c r="CD71" i="30"/>
  <c r="CC71" i="30"/>
  <c r="CA71" i="30"/>
  <c r="BZ71" i="30"/>
  <c r="BY71" i="30"/>
  <c r="BX71" i="30"/>
  <c r="BW71" i="30"/>
  <c r="BV71" i="30"/>
  <c r="BU71" i="30"/>
  <c r="BS71" i="30"/>
  <c r="BQ71" i="30"/>
  <c r="BP71" i="30"/>
  <c r="BO71" i="30"/>
  <c r="BN71" i="30"/>
  <c r="BM71" i="30"/>
  <c r="BI71" i="30"/>
  <c r="BH60" i="30"/>
  <c r="BH71" i="30" s="1"/>
  <c r="BA71" i="30"/>
  <c r="AZ71" i="30"/>
  <c r="AY71" i="30"/>
  <c r="AX71" i="30"/>
  <c r="EJ70" i="30"/>
  <c r="EI70" i="30"/>
  <c r="EH70" i="30"/>
  <c r="EG70" i="30"/>
  <c r="EF70" i="30"/>
  <c r="EE70" i="30"/>
  <c r="EC70" i="30"/>
  <c r="EA70" i="30"/>
  <c r="DZ70" i="30"/>
  <c r="DY70" i="30"/>
  <c r="DX70" i="30"/>
  <c r="DW70" i="30"/>
  <c r="DU70" i="30"/>
  <c r="DT70" i="30"/>
  <c r="DS70" i="30"/>
  <c r="DR70" i="30"/>
  <c r="DQ70" i="30"/>
  <c r="DP70" i="30"/>
  <c r="DO70" i="30"/>
  <c r="DM70" i="30"/>
  <c r="DL59" i="30"/>
  <c r="DL70" i="30" s="1"/>
  <c r="DH70" i="30"/>
  <c r="DF70" i="30"/>
  <c r="DE70" i="30"/>
  <c r="DD70" i="30"/>
  <c r="DC70" i="30"/>
  <c r="DB70" i="30"/>
  <c r="DA70" i="30"/>
  <c r="CZ70" i="30"/>
  <c r="CX70" i="30"/>
  <c r="CW70" i="30"/>
  <c r="CV70" i="30"/>
  <c r="CU70" i="30"/>
  <c r="CT70" i="30"/>
  <c r="CS70" i="30"/>
  <c r="CR70" i="30"/>
  <c r="CP70" i="30"/>
  <c r="CO70" i="30"/>
  <c r="CN70" i="30"/>
  <c r="CM70" i="30"/>
  <c r="CL70" i="30"/>
  <c r="CJ59" i="30"/>
  <c r="CJ70" i="30" s="1"/>
  <c r="CE70" i="30"/>
  <c r="CD70" i="30"/>
  <c r="CC70" i="30"/>
  <c r="CB70" i="30"/>
  <c r="CA70" i="30"/>
  <c r="BZ70" i="30"/>
  <c r="BY70" i="30"/>
  <c r="BW70" i="30"/>
  <c r="BV70" i="30"/>
  <c r="BU70" i="30"/>
  <c r="BT70" i="30"/>
  <c r="BS70" i="30"/>
  <c r="BR70" i="30"/>
  <c r="BQ70" i="30"/>
  <c r="BO70" i="30"/>
  <c r="BN70" i="30"/>
  <c r="BM70" i="30"/>
  <c r="BK70" i="30"/>
  <c r="BJ70" i="30"/>
  <c r="BI70" i="30"/>
  <c r="BD70" i="30"/>
  <c r="BC70" i="30"/>
  <c r="BB70" i="30"/>
  <c r="BA70" i="30"/>
  <c r="AZ70" i="30"/>
  <c r="AY70" i="30"/>
  <c r="AX70" i="30"/>
  <c r="AV70" i="30"/>
  <c r="EJ69" i="30"/>
  <c r="EI69" i="30"/>
  <c r="EH69" i="30"/>
  <c r="EG69" i="30"/>
  <c r="EF69" i="30"/>
  <c r="EE69" i="30"/>
  <c r="EC69" i="30"/>
  <c r="EB69" i="30"/>
  <c r="EA69" i="30"/>
  <c r="DZ69" i="30"/>
  <c r="DY69" i="30"/>
  <c r="DW69" i="30"/>
  <c r="DU69" i="30"/>
  <c r="DT69" i="30"/>
  <c r="DS69" i="30"/>
  <c r="DR69" i="30"/>
  <c r="DQ69" i="30"/>
  <c r="DP69" i="30"/>
  <c r="DO69" i="30"/>
  <c r="DM69" i="30"/>
  <c r="DL58" i="30"/>
  <c r="DL69" i="30" s="1"/>
  <c r="DH69" i="30"/>
  <c r="DG69" i="30"/>
  <c r="DF69" i="30"/>
  <c r="DE69" i="30"/>
  <c r="DD69" i="30"/>
  <c r="DB69" i="30"/>
  <c r="DA69" i="30"/>
  <c r="CZ69" i="30"/>
  <c r="CX69" i="30"/>
  <c r="CW69" i="30"/>
  <c r="CV69" i="30"/>
  <c r="CT69" i="30"/>
  <c r="CS69" i="30"/>
  <c r="CR69" i="30"/>
  <c r="CQ69" i="30"/>
  <c r="CP69" i="30"/>
  <c r="CO69" i="30"/>
  <c r="CN69" i="30"/>
  <c r="CL69" i="30"/>
  <c r="CK69" i="30"/>
  <c r="CJ58" i="30"/>
  <c r="CJ69" i="30" s="1"/>
  <c r="CF69" i="30"/>
  <c r="CE69" i="30"/>
  <c r="CD69" i="30"/>
  <c r="CC69" i="30"/>
  <c r="BZ69" i="30"/>
  <c r="BY69" i="30"/>
  <c r="BX69" i="30"/>
  <c r="BW69" i="30"/>
  <c r="BV69" i="30"/>
  <c r="BU69" i="30"/>
  <c r="BS69" i="30"/>
  <c r="BR69" i="30"/>
  <c r="BQ69" i="30"/>
  <c r="BP69" i="30"/>
  <c r="BO69" i="30"/>
  <c r="BM69" i="30"/>
  <c r="BK69" i="30"/>
  <c r="BJ69" i="30"/>
  <c r="BI69" i="30"/>
  <c r="BH58" i="30"/>
  <c r="BH69" i="30" s="1"/>
  <c r="V38" i="30"/>
  <c r="V31" i="30"/>
  <c r="V29" i="30"/>
  <c r="X29" i="30" s="1"/>
  <c r="V28" i="30"/>
  <c r="C6" i="30"/>
  <c r="D5" i="30"/>
  <c r="C5" i="30"/>
  <c r="F4" i="30"/>
  <c r="H6" i="30"/>
  <c r="G6" i="30"/>
  <c r="B111" i="29"/>
  <c r="B105" i="29"/>
  <c r="B104" i="29"/>
  <c r="CV98" i="29"/>
  <c r="BI98" i="29"/>
  <c r="DL97" i="29"/>
  <c r="CB97" i="29"/>
  <c r="DY96" i="29"/>
  <c r="CO96" i="29"/>
  <c r="BB96" i="29"/>
  <c r="DF95" i="29"/>
  <c r="BO95" i="29"/>
  <c r="BH93" i="29"/>
  <c r="DL92" i="29"/>
  <c r="CB92" i="29"/>
  <c r="DY91" i="29"/>
  <c r="CO91" i="29"/>
  <c r="BB91" i="29"/>
  <c r="DF90" i="29"/>
  <c r="BO90" i="29"/>
  <c r="BZ66" i="29"/>
  <c r="AT55" i="29"/>
  <c r="AT67" i="29" s="1"/>
  <c r="AT51" i="29"/>
  <c r="AT63" i="29" s="1"/>
  <c r="EB98" i="29"/>
  <c r="EA98" i="29"/>
  <c r="DZ98" i="29"/>
  <c r="DY98" i="29"/>
  <c r="DX98" i="29"/>
  <c r="DW98" i="29"/>
  <c r="DV98" i="29"/>
  <c r="DU98" i="29"/>
  <c r="DT98" i="29"/>
  <c r="DS98" i="29"/>
  <c r="DR98" i="29"/>
  <c r="DQ98" i="29"/>
  <c r="DP98" i="29"/>
  <c r="DO98" i="29"/>
  <c r="DN98" i="29"/>
  <c r="DM98" i="29"/>
  <c r="DL98" i="29"/>
  <c r="DK98" i="29"/>
  <c r="DJ98" i="29"/>
  <c r="DI98" i="29"/>
  <c r="DH98" i="29"/>
  <c r="DG98" i="29"/>
  <c r="DF98" i="29"/>
  <c r="DE98" i="29"/>
  <c r="CY98" i="29"/>
  <c r="CX98" i="29"/>
  <c r="CW98" i="29"/>
  <c r="CU98" i="29"/>
  <c r="CT98" i="29"/>
  <c r="CS98" i="29"/>
  <c r="CR98" i="29"/>
  <c r="CQ98" i="29"/>
  <c r="CP98" i="29"/>
  <c r="CO98" i="29"/>
  <c r="CN98" i="29"/>
  <c r="CM98" i="29"/>
  <c r="CL98" i="29"/>
  <c r="CK98" i="29"/>
  <c r="CJ98" i="29"/>
  <c r="CI98" i="29"/>
  <c r="CH98" i="29"/>
  <c r="CG98" i="29"/>
  <c r="CF98" i="29"/>
  <c r="CE98" i="29"/>
  <c r="CD98" i="29"/>
  <c r="CC98" i="29"/>
  <c r="CB98" i="29"/>
  <c r="BS98" i="29"/>
  <c r="BR98" i="29"/>
  <c r="BQ98" i="29"/>
  <c r="BP98" i="29"/>
  <c r="BO98" i="29"/>
  <c r="BN98" i="29"/>
  <c r="BM98" i="29"/>
  <c r="BL98" i="29"/>
  <c r="BK98" i="29"/>
  <c r="BJ98" i="29"/>
  <c r="BH98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T57" i="29"/>
  <c r="AT69" i="29" s="1"/>
  <c r="EB97" i="29"/>
  <c r="EA97" i="29"/>
  <c r="DZ97" i="29"/>
  <c r="DY97" i="29"/>
  <c r="DX97" i="29"/>
  <c r="DW97" i="29"/>
  <c r="DV97" i="29"/>
  <c r="DU97" i="29"/>
  <c r="DT97" i="29"/>
  <c r="DS97" i="29"/>
  <c r="DR97" i="29"/>
  <c r="DQ97" i="29"/>
  <c r="DP97" i="29"/>
  <c r="DO97" i="29"/>
  <c r="DN97" i="29"/>
  <c r="DM97" i="29"/>
  <c r="DK97" i="29"/>
  <c r="DJ97" i="29"/>
  <c r="DI97" i="29"/>
  <c r="DH97" i="29"/>
  <c r="DG97" i="29"/>
  <c r="DF97" i="29"/>
  <c r="DE97" i="29"/>
  <c r="CY97" i="29"/>
  <c r="CX97" i="29"/>
  <c r="CW97" i="29"/>
  <c r="CV97" i="29"/>
  <c r="CU97" i="29"/>
  <c r="CT97" i="29"/>
  <c r="CS97" i="29"/>
  <c r="CR97" i="29"/>
  <c r="CQ97" i="29"/>
  <c r="CP97" i="29"/>
  <c r="CO97" i="29"/>
  <c r="CN97" i="29"/>
  <c r="CM97" i="29"/>
  <c r="CL97" i="29"/>
  <c r="CK97" i="29"/>
  <c r="CK99" i="29" s="1"/>
  <c r="CJ97" i="29"/>
  <c r="CI97" i="29"/>
  <c r="CH97" i="29"/>
  <c r="CG97" i="29"/>
  <c r="CF97" i="29"/>
  <c r="CE97" i="29"/>
  <c r="CD97" i="29"/>
  <c r="CC97" i="29"/>
  <c r="BS97" i="29"/>
  <c r="BR97" i="29"/>
  <c r="BQ97" i="29"/>
  <c r="BP97" i="29"/>
  <c r="BO97" i="29"/>
  <c r="BN97" i="29"/>
  <c r="BM97" i="29"/>
  <c r="BL97" i="29"/>
  <c r="BK97" i="29"/>
  <c r="BJ97" i="29"/>
  <c r="BI97" i="29"/>
  <c r="BH97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T56" i="29"/>
  <c r="AT68" i="29" s="1"/>
  <c r="EB96" i="29"/>
  <c r="EA96" i="29"/>
  <c r="DZ96" i="29"/>
  <c r="DX96" i="29"/>
  <c r="DW96" i="29"/>
  <c r="DV96" i="29"/>
  <c r="DU96" i="29"/>
  <c r="DT96" i="29"/>
  <c r="DS96" i="29"/>
  <c r="DR96" i="29"/>
  <c r="DQ96" i="29"/>
  <c r="DP96" i="29"/>
  <c r="DO96" i="29"/>
  <c r="DN96" i="29"/>
  <c r="DM96" i="29"/>
  <c r="DL96" i="29"/>
  <c r="DK96" i="29"/>
  <c r="DJ96" i="29"/>
  <c r="DI96" i="29"/>
  <c r="DH96" i="29"/>
  <c r="DG96" i="29"/>
  <c r="DF96" i="29"/>
  <c r="DE96" i="29"/>
  <c r="CY96" i="29"/>
  <c r="CX96" i="29"/>
  <c r="CW96" i="29"/>
  <c r="CV96" i="29"/>
  <c r="CU96" i="29"/>
  <c r="CT96" i="29"/>
  <c r="CS96" i="29"/>
  <c r="CR96" i="29"/>
  <c r="CQ96" i="29"/>
  <c r="CP96" i="29"/>
  <c r="CN96" i="29"/>
  <c r="CM96" i="29"/>
  <c r="CL96" i="29"/>
  <c r="CK96" i="29"/>
  <c r="CJ96" i="29"/>
  <c r="CI96" i="29"/>
  <c r="CH96" i="29"/>
  <c r="CG96" i="29"/>
  <c r="CF96" i="29"/>
  <c r="CE96" i="29"/>
  <c r="CD96" i="29"/>
  <c r="CC96" i="29"/>
  <c r="CB96" i="29"/>
  <c r="BS96" i="29"/>
  <c r="BR96" i="29"/>
  <c r="BQ96" i="29"/>
  <c r="BP96" i="29"/>
  <c r="BO96" i="29"/>
  <c r="BN96" i="29"/>
  <c r="BM96" i="29"/>
  <c r="BL96" i="29"/>
  <c r="BK96" i="29"/>
  <c r="BJ96" i="29"/>
  <c r="BI96" i="29"/>
  <c r="BH96" i="29"/>
  <c r="BG96" i="29"/>
  <c r="BF96" i="29"/>
  <c r="BE96" i="29"/>
  <c r="BD96" i="29"/>
  <c r="BC96" i="29"/>
  <c r="BA96" i="29"/>
  <c r="AZ96" i="29"/>
  <c r="AY96" i="29"/>
  <c r="AX96" i="29"/>
  <c r="AW96" i="29"/>
  <c r="AV96" i="29"/>
  <c r="AT54" i="29"/>
  <c r="AT66" i="29" s="1"/>
  <c r="EB95" i="29"/>
  <c r="EA95" i="29"/>
  <c r="DZ95" i="29"/>
  <c r="DY95" i="29"/>
  <c r="DX95" i="29"/>
  <c r="DW95" i="29"/>
  <c r="DV95" i="29"/>
  <c r="DU95" i="29"/>
  <c r="DT95" i="29"/>
  <c r="DS95" i="29"/>
  <c r="DR95" i="29"/>
  <c r="DQ95" i="29"/>
  <c r="DP95" i="29"/>
  <c r="DO95" i="29"/>
  <c r="DN95" i="29"/>
  <c r="DM95" i="29"/>
  <c r="DL95" i="29"/>
  <c r="DK95" i="29"/>
  <c r="DJ95" i="29"/>
  <c r="DI95" i="29"/>
  <c r="DH95" i="29"/>
  <c r="DG95" i="29"/>
  <c r="DE95" i="29"/>
  <c r="CY95" i="29"/>
  <c r="CX95" i="29"/>
  <c r="CW95" i="29"/>
  <c r="CV95" i="29"/>
  <c r="CU95" i="29"/>
  <c r="CT95" i="29"/>
  <c r="CS95" i="29"/>
  <c r="CR95" i="29"/>
  <c r="CQ95" i="29"/>
  <c r="CP95" i="29"/>
  <c r="CO95" i="29"/>
  <c r="CN95" i="29"/>
  <c r="CM95" i="29"/>
  <c r="CL95" i="29"/>
  <c r="CK95" i="29"/>
  <c r="CJ95" i="29"/>
  <c r="CI95" i="29"/>
  <c r="CH95" i="29"/>
  <c r="CG95" i="29"/>
  <c r="CF95" i="29"/>
  <c r="CE95" i="29"/>
  <c r="CD95" i="29"/>
  <c r="CC95" i="29"/>
  <c r="CB95" i="29"/>
  <c r="BS95" i="29"/>
  <c r="BR95" i="29"/>
  <c r="BQ95" i="29"/>
  <c r="BP95" i="29"/>
  <c r="BN95" i="29"/>
  <c r="BM95" i="29"/>
  <c r="BL95" i="29"/>
  <c r="BK95" i="29"/>
  <c r="BJ95" i="29"/>
  <c r="BI95" i="29"/>
  <c r="BH95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T53" i="29"/>
  <c r="AT65" i="29" s="1"/>
  <c r="EB94" i="29"/>
  <c r="EA94" i="29"/>
  <c r="EA99" i="29" s="1"/>
  <c r="DZ94" i="29"/>
  <c r="DY94" i="29"/>
  <c r="DX94" i="29"/>
  <c r="DW94" i="29"/>
  <c r="DV94" i="29"/>
  <c r="DU94" i="29"/>
  <c r="DT94" i="29"/>
  <c r="DS94" i="29"/>
  <c r="DS99" i="29" s="1"/>
  <c r="DR94" i="29"/>
  <c r="DQ94" i="29"/>
  <c r="DP94" i="29"/>
  <c r="DO94" i="29"/>
  <c r="DN94" i="29"/>
  <c r="DM94" i="29"/>
  <c r="DL94" i="29"/>
  <c r="DK94" i="29"/>
  <c r="DK99" i="29" s="1"/>
  <c r="DJ94" i="29"/>
  <c r="DI94" i="29"/>
  <c r="DH94" i="29"/>
  <c r="DG94" i="29"/>
  <c r="DF94" i="29"/>
  <c r="DE94" i="29"/>
  <c r="CY94" i="29"/>
  <c r="CX94" i="29"/>
  <c r="CW94" i="29"/>
  <c r="CV94" i="29"/>
  <c r="CU94" i="29"/>
  <c r="CT94" i="29"/>
  <c r="CS94" i="29"/>
  <c r="CR94" i="29"/>
  <c r="CQ94" i="29"/>
  <c r="CP94" i="29"/>
  <c r="CO94" i="29"/>
  <c r="CN94" i="29"/>
  <c r="CM94" i="29"/>
  <c r="CL94" i="29"/>
  <c r="CK94" i="29"/>
  <c r="CJ94" i="29"/>
  <c r="CI94" i="29"/>
  <c r="CH94" i="29"/>
  <c r="CG94" i="29"/>
  <c r="CF94" i="29"/>
  <c r="CE94" i="29"/>
  <c r="CD94" i="29"/>
  <c r="CC94" i="29"/>
  <c r="CB94" i="29"/>
  <c r="BS94" i="29"/>
  <c r="BR94" i="29"/>
  <c r="BQ94" i="29"/>
  <c r="BP94" i="29"/>
  <c r="BO94" i="29"/>
  <c r="BN94" i="29"/>
  <c r="BM94" i="29"/>
  <c r="BL94" i="29"/>
  <c r="BK94" i="29"/>
  <c r="BJ94" i="29"/>
  <c r="BI94" i="29"/>
  <c r="BH94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T52" i="29"/>
  <c r="AT64" i="29" s="1"/>
  <c r="EB93" i="29"/>
  <c r="EA93" i="29"/>
  <c r="DZ93" i="29"/>
  <c r="DY93" i="29"/>
  <c r="DX93" i="29"/>
  <c r="DW93" i="29"/>
  <c r="DV93" i="29"/>
  <c r="DU93" i="29"/>
  <c r="DT93" i="29"/>
  <c r="DS93" i="29"/>
  <c r="DR93" i="29"/>
  <c r="DQ93" i="29"/>
  <c r="DP93" i="29"/>
  <c r="DO93" i="29"/>
  <c r="DN93" i="29"/>
  <c r="DM93" i="29"/>
  <c r="DL93" i="29"/>
  <c r="DK93" i="29"/>
  <c r="DJ93" i="29"/>
  <c r="DI93" i="29"/>
  <c r="DH93" i="29"/>
  <c r="DG93" i="29"/>
  <c r="DF93" i="29"/>
  <c r="DE93" i="29"/>
  <c r="CY93" i="29"/>
  <c r="CX93" i="29"/>
  <c r="CW93" i="29"/>
  <c r="CV93" i="29"/>
  <c r="CU93" i="29"/>
  <c r="CT93" i="29"/>
  <c r="CS93" i="29"/>
  <c r="CR93" i="29"/>
  <c r="CQ93" i="29"/>
  <c r="CP93" i="29"/>
  <c r="CO93" i="29"/>
  <c r="CN93" i="29"/>
  <c r="CM93" i="29"/>
  <c r="CL93" i="29"/>
  <c r="CK93" i="29"/>
  <c r="CJ93" i="29"/>
  <c r="CI93" i="29"/>
  <c r="CH93" i="29"/>
  <c r="CG93" i="29"/>
  <c r="CF93" i="29"/>
  <c r="CE93" i="29"/>
  <c r="CD93" i="29"/>
  <c r="CC93" i="29"/>
  <c r="CB93" i="29"/>
  <c r="BR93" i="29"/>
  <c r="BQ93" i="29"/>
  <c r="BO93" i="29"/>
  <c r="BN93" i="29"/>
  <c r="BM93" i="29"/>
  <c r="BL93" i="29"/>
  <c r="BK93" i="29"/>
  <c r="BJ93" i="29"/>
  <c r="BG93" i="29"/>
  <c r="BF93" i="29"/>
  <c r="BE93" i="29"/>
  <c r="BD93" i="29"/>
  <c r="BC93" i="29"/>
  <c r="BB93" i="29"/>
  <c r="AZ93" i="29"/>
  <c r="AY93" i="29"/>
  <c r="AX93" i="29"/>
  <c r="AW93" i="29"/>
  <c r="AV93" i="29"/>
  <c r="EB92" i="29"/>
  <c r="EA92" i="29"/>
  <c r="DZ92" i="29"/>
  <c r="DY92" i="29"/>
  <c r="DX92" i="29"/>
  <c r="DW92" i="29"/>
  <c r="DV92" i="29"/>
  <c r="DU92" i="29"/>
  <c r="DT92" i="29"/>
  <c r="DS92" i="29"/>
  <c r="DR92" i="29"/>
  <c r="DQ92" i="29"/>
  <c r="DP92" i="29"/>
  <c r="DO92" i="29"/>
  <c r="DN92" i="29"/>
  <c r="DM92" i="29"/>
  <c r="DK92" i="29"/>
  <c r="DJ92" i="29"/>
  <c r="DI92" i="29"/>
  <c r="DH92" i="29"/>
  <c r="DG92" i="29"/>
  <c r="DF92" i="29"/>
  <c r="DE92" i="29"/>
  <c r="CY92" i="29"/>
  <c r="CX92" i="29"/>
  <c r="CW92" i="29"/>
  <c r="CV92" i="29"/>
  <c r="CU92" i="29"/>
  <c r="CT92" i="29"/>
  <c r="CS92" i="29"/>
  <c r="CR92" i="29"/>
  <c r="CQ92" i="29"/>
  <c r="CP92" i="29"/>
  <c r="CO92" i="29"/>
  <c r="CN92" i="29"/>
  <c r="CM92" i="29"/>
  <c r="CL92" i="29"/>
  <c r="CK92" i="29"/>
  <c r="CJ92" i="29"/>
  <c r="CI92" i="29"/>
  <c r="CH92" i="29"/>
  <c r="CG92" i="29"/>
  <c r="CF92" i="29"/>
  <c r="CE92" i="29"/>
  <c r="CD92" i="29"/>
  <c r="CC92" i="29"/>
  <c r="BS92" i="29"/>
  <c r="BR92" i="29"/>
  <c r="BQ92" i="29"/>
  <c r="BP92" i="29"/>
  <c r="BO92" i="29"/>
  <c r="BN92" i="29"/>
  <c r="BM92" i="29"/>
  <c r="BL92" i="29"/>
  <c r="BK92" i="29"/>
  <c r="BJ92" i="29"/>
  <c r="BI92" i="29"/>
  <c r="BH92" i="29"/>
  <c r="BG92" i="29"/>
  <c r="BF92" i="29"/>
  <c r="BE92" i="29"/>
  <c r="BD92" i="29"/>
  <c r="BC92" i="29"/>
  <c r="BB92" i="29"/>
  <c r="BA92" i="29"/>
  <c r="AZ92" i="29"/>
  <c r="AY92" i="29"/>
  <c r="AX92" i="29"/>
  <c r="AW92" i="29"/>
  <c r="AV92" i="29"/>
  <c r="AT50" i="29"/>
  <c r="AT62" i="29" s="1"/>
  <c r="EB91" i="29"/>
  <c r="EA91" i="29"/>
  <c r="DZ91" i="29"/>
  <c r="DX91" i="29"/>
  <c r="DW91" i="29"/>
  <c r="DV91" i="29"/>
  <c r="DU91" i="29"/>
  <c r="DT91" i="29"/>
  <c r="DS91" i="29"/>
  <c r="DR91" i="29"/>
  <c r="DQ91" i="29"/>
  <c r="DP91" i="29"/>
  <c r="DO91" i="29"/>
  <c r="DN91" i="29"/>
  <c r="DM91" i="29"/>
  <c r="DL91" i="29"/>
  <c r="DK91" i="29"/>
  <c r="DJ91" i="29"/>
  <c r="DI91" i="29"/>
  <c r="DH91" i="29"/>
  <c r="DG91" i="29"/>
  <c r="DF91" i="29"/>
  <c r="DE91" i="29"/>
  <c r="CY91" i="29"/>
  <c r="CX91" i="29"/>
  <c r="CW91" i="29"/>
  <c r="CV91" i="29"/>
  <c r="CU91" i="29"/>
  <c r="CT91" i="29"/>
  <c r="CS91" i="29"/>
  <c r="CR91" i="29"/>
  <c r="CQ91" i="29"/>
  <c r="CP91" i="29"/>
  <c r="CN91" i="29"/>
  <c r="CM91" i="29"/>
  <c r="CL91" i="29"/>
  <c r="CK91" i="29"/>
  <c r="CJ91" i="29"/>
  <c r="CI91" i="29"/>
  <c r="CH91" i="29"/>
  <c r="CG91" i="29"/>
  <c r="CF91" i="29"/>
  <c r="CE91" i="29"/>
  <c r="CD91" i="29"/>
  <c r="CC91" i="29"/>
  <c r="CB91" i="29"/>
  <c r="BS91" i="29"/>
  <c r="BR91" i="29"/>
  <c r="BQ91" i="29"/>
  <c r="BP91" i="29"/>
  <c r="BO91" i="29"/>
  <c r="BN91" i="29"/>
  <c r="BL91" i="29"/>
  <c r="BK91" i="29"/>
  <c r="BJ91" i="29"/>
  <c r="BH91" i="29"/>
  <c r="BG91" i="29"/>
  <c r="BF91" i="29"/>
  <c r="BC91" i="29"/>
  <c r="BA91" i="29"/>
  <c r="AZ91" i="29"/>
  <c r="AY91" i="29"/>
  <c r="AX91" i="29"/>
  <c r="AT49" i="29"/>
  <c r="AT61" i="29" s="1"/>
  <c r="EB90" i="29"/>
  <c r="EA90" i="29"/>
  <c r="DZ90" i="29"/>
  <c r="DY90" i="29"/>
  <c r="DX90" i="29"/>
  <c r="DW90" i="29"/>
  <c r="DV90" i="29"/>
  <c r="DU90" i="29"/>
  <c r="DT90" i="29"/>
  <c r="DS90" i="29"/>
  <c r="DR90" i="29"/>
  <c r="DQ90" i="29"/>
  <c r="DP90" i="29"/>
  <c r="DO90" i="29"/>
  <c r="DN90" i="29"/>
  <c r="DM90" i="29"/>
  <c r="DL90" i="29"/>
  <c r="DK90" i="29"/>
  <c r="DJ90" i="29"/>
  <c r="DI90" i="29"/>
  <c r="DH90" i="29"/>
  <c r="DG90" i="29"/>
  <c r="DE90" i="29"/>
  <c r="CY90" i="29"/>
  <c r="CX90" i="29"/>
  <c r="CW90" i="29"/>
  <c r="CV90" i="29"/>
  <c r="CU90" i="29"/>
  <c r="CT90" i="29"/>
  <c r="CS90" i="29"/>
  <c r="CR90" i="29"/>
  <c r="CQ90" i="29"/>
  <c r="CP90" i="29"/>
  <c r="CO90" i="29"/>
  <c r="CN90" i="29"/>
  <c r="CM90" i="29"/>
  <c r="CL90" i="29"/>
  <c r="CK90" i="29"/>
  <c r="CJ90" i="29"/>
  <c r="CI90" i="29"/>
  <c r="CH90" i="29"/>
  <c r="CG90" i="29"/>
  <c r="CF90" i="29"/>
  <c r="CE90" i="29"/>
  <c r="CD90" i="29"/>
  <c r="CC90" i="29"/>
  <c r="CB90" i="29"/>
  <c r="BS90" i="29"/>
  <c r="BR90" i="29"/>
  <c r="BQ90" i="29"/>
  <c r="BP90" i="29"/>
  <c r="BN90" i="29"/>
  <c r="BM90" i="29"/>
  <c r="BK90" i="29"/>
  <c r="BJ90" i="29"/>
  <c r="BH90" i="29"/>
  <c r="BG90" i="29"/>
  <c r="BF90" i="29"/>
  <c r="BE90" i="29"/>
  <c r="BC90" i="29"/>
  <c r="BB90" i="29"/>
  <c r="AZ90" i="29"/>
  <c r="AY90" i="29"/>
  <c r="AX90" i="29"/>
  <c r="AW90" i="29"/>
  <c r="AT48" i="29"/>
  <c r="AT60" i="29" s="1"/>
  <c r="EA35" i="29"/>
  <c r="DX35" i="29"/>
  <c r="DV35" i="29"/>
  <c r="DU35" i="29"/>
  <c r="DS35" i="29"/>
  <c r="DP35" i="29"/>
  <c r="DN35" i="29"/>
  <c r="DM35" i="29"/>
  <c r="DK35" i="29"/>
  <c r="DJ35" i="29"/>
  <c r="DH35" i="29"/>
  <c r="DF35" i="29"/>
  <c r="DE35" i="29"/>
  <c r="EB35" i="29"/>
  <c r="DC35" i="29"/>
  <c r="DC98" i="29" s="1"/>
  <c r="CL35" i="29"/>
  <c r="CJ35" i="29"/>
  <c r="BS35" i="29"/>
  <c r="BR35" i="29"/>
  <c r="BJ35" i="29"/>
  <c r="BI35" i="29"/>
  <c r="BH35" i="29"/>
  <c r="BA35" i="29"/>
  <c r="AZ35" i="29"/>
  <c r="AY35" i="29"/>
  <c r="BK35" i="29"/>
  <c r="AT98" i="29"/>
  <c r="DZ34" i="29"/>
  <c r="DX34" i="29"/>
  <c r="DW34" i="29"/>
  <c r="DV34" i="29"/>
  <c r="DR34" i="29"/>
  <c r="DP34" i="29"/>
  <c r="DO34" i="29"/>
  <c r="DN34" i="29"/>
  <c r="DJ34" i="29"/>
  <c r="DH34" i="29"/>
  <c r="DG34" i="29"/>
  <c r="DF34" i="29"/>
  <c r="DU34" i="29"/>
  <c r="CW34" i="29"/>
  <c r="CV34" i="29"/>
  <c r="CU34" i="29"/>
  <c r="CO34" i="29"/>
  <c r="CN34" i="29"/>
  <c r="CM34" i="29"/>
  <c r="CG34" i="29"/>
  <c r="CF34" i="29"/>
  <c r="CE34" i="29"/>
  <c r="CT34" i="29"/>
  <c r="BR34" i="29"/>
  <c r="BQ34" i="29"/>
  <c r="BJ34" i="29"/>
  <c r="BI34" i="29"/>
  <c r="BB34" i="29"/>
  <c r="BA34" i="29"/>
  <c r="BP34" i="29"/>
  <c r="AT97" i="29"/>
  <c r="DL33" i="29"/>
  <c r="CW33" i="29"/>
  <c r="CU33" i="29"/>
  <c r="CT33" i="29"/>
  <c r="CS33" i="29"/>
  <c r="CO33" i="29"/>
  <c r="CM33" i="29"/>
  <c r="CL33" i="29"/>
  <c r="CK33" i="29"/>
  <c r="CG33" i="29"/>
  <c r="CE33" i="29"/>
  <c r="CD33" i="29"/>
  <c r="CC33" i="29"/>
  <c r="CR33" i="29"/>
  <c r="BQ33" i="29"/>
  <c r="BP33" i="29"/>
  <c r="BO33" i="29"/>
  <c r="BI33" i="29"/>
  <c r="BH33" i="29"/>
  <c r="BG33" i="29"/>
  <c r="BA33" i="29"/>
  <c r="AZ33" i="29"/>
  <c r="AY33" i="29"/>
  <c r="BN33" i="29"/>
  <c r="AT96" i="29"/>
  <c r="EA32" i="29"/>
  <c r="DY32" i="29"/>
  <c r="DW32" i="29"/>
  <c r="DV32" i="29"/>
  <c r="DU32" i="29"/>
  <c r="DS32" i="29"/>
  <c r="DQ32" i="29"/>
  <c r="DO32" i="29"/>
  <c r="DN32" i="29"/>
  <c r="DM32" i="29"/>
  <c r="DK32" i="29"/>
  <c r="DI32" i="29"/>
  <c r="DH32" i="29"/>
  <c r="DG32" i="29"/>
  <c r="DF32" i="29"/>
  <c r="DE32" i="29"/>
  <c r="EB32" i="29"/>
  <c r="CX32" i="29"/>
  <c r="CV32" i="29"/>
  <c r="CU32" i="29"/>
  <c r="CT32" i="29"/>
  <c r="CR32" i="29"/>
  <c r="CP32" i="29"/>
  <c r="CN32" i="29"/>
  <c r="CM32" i="29"/>
  <c r="CL32" i="29"/>
  <c r="CJ32" i="29"/>
  <c r="CH32" i="29"/>
  <c r="CF32" i="29"/>
  <c r="CE32" i="29"/>
  <c r="CD32" i="29"/>
  <c r="CB32" i="29"/>
  <c r="CS32" i="29"/>
  <c r="BR32" i="29"/>
  <c r="BQ32" i="29"/>
  <c r="BP32" i="29"/>
  <c r="BN32" i="29"/>
  <c r="BL32" i="29"/>
  <c r="BJ32" i="29"/>
  <c r="BI32" i="29"/>
  <c r="BH32" i="29"/>
  <c r="BF32" i="29"/>
  <c r="BD32" i="29"/>
  <c r="BB32" i="29"/>
  <c r="BA32" i="29"/>
  <c r="AZ32" i="29"/>
  <c r="AX32" i="29"/>
  <c r="AV32" i="29"/>
  <c r="BO32" i="29"/>
  <c r="DZ31" i="29"/>
  <c r="DX31" i="29"/>
  <c r="DW31" i="29"/>
  <c r="DV31" i="29"/>
  <c r="DR31" i="29"/>
  <c r="DP31" i="29"/>
  <c r="DO31" i="29"/>
  <c r="DN31" i="29"/>
  <c r="DJ31" i="29"/>
  <c r="DH31" i="29"/>
  <c r="DG31" i="29"/>
  <c r="DF31" i="29"/>
  <c r="DU31" i="29"/>
  <c r="CW31" i="29"/>
  <c r="CV31" i="29"/>
  <c r="CU31" i="29"/>
  <c r="CO31" i="29"/>
  <c r="CN31" i="29"/>
  <c r="CM31" i="29"/>
  <c r="CG31" i="29"/>
  <c r="CF31" i="29"/>
  <c r="CE31" i="29"/>
  <c r="CT31" i="29"/>
  <c r="BR31" i="29"/>
  <c r="BQ31" i="29"/>
  <c r="BJ31" i="29"/>
  <c r="BI31" i="29"/>
  <c r="BB31" i="29"/>
  <c r="BA31" i="29"/>
  <c r="BP31" i="29"/>
  <c r="AT95" i="29"/>
  <c r="EA30" i="29"/>
  <c r="DY30" i="29"/>
  <c r="DX30" i="29"/>
  <c r="DW30" i="29"/>
  <c r="DU30" i="29"/>
  <c r="DS30" i="29"/>
  <c r="DQ30" i="29"/>
  <c r="DP30" i="29"/>
  <c r="DO30" i="29"/>
  <c r="DM30" i="29"/>
  <c r="DK30" i="29"/>
  <c r="DI30" i="29"/>
  <c r="DH30" i="29"/>
  <c r="DG30" i="29"/>
  <c r="DE30" i="29"/>
  <c r="DV30" i="29"/>
  <c r="CX30" i="29"/>
  <c r="CW30" i="29"/>
  <c r="CV30" i="29"/>
  <c r="CT30" i="29"/>
  <c r="CR30" i="29"/>
  <c r="CP30" i="29"/>
  <c r="CO30" i="29"/>
  <c r="CN30" i="29"/>
  <c r="CL30" i="29"/>
  <c r="CJ30" i="29"/>
  <c r="CH30" i="29"/>
  <c r="CG30" i="29"/>
  <c r="CF30" i="29"/>
  <c r="CD30" i="29"/>
  <c r="CB30" i="29"/>
  <c r="CU30" i="29"/>
  <c r="BR30" i="29"/>
  <c r="BJ30" i="29"/>
  <c r="BB30" i="29"/>
  <c r="BQ30" i="29"/>
  <c r="EA29" i="29"/>
  <c r="DY29" i="29"/>
  <c r="DW29" i="29"/>
  <c r="DV29" i="29"/>
  <c r="DU29" i="29"/>
  <c r="DS29" i="29"/>
  <c r="DQ29" i="29"/>
  <c r="DO29" i="29"/>
  <c r="DN29" i="29"/>
  <c r="DM29" i="29"/>
  <c r="DK29" i="29"/>
  <c r="DI29" i="29"/>
  <c r="DG29" i="29"/>
  <c r="DF29" i="29"/>
  <c r="DE29" i="29"/>
  <c r="EB29" i="29"/>
  <c r="CX29" i="29"/>
  <c r="CV29" i="29"/>
  <c r="CU29" i="29"/>
  <c r="CT29" i="29"/>
  <c r="CR29" i="29"/>
  <c r="CP29" i="29"/>
  <c r="CN29" i="29"/>
  <c r="CM29" i="29"/>
  <c r="CL29" i="29"/>
  <c r="CJ29" i="29"/>
  <c r="CH29" i="29"/>
  <c r="CF29" i="29"/>
  <c r="CE29" i="29"/>
  <c r="CD29" i="29"/>
  <c r="CB29" i="29"/>
  <c r="CS29" i="29"/>
  <c r="BR29" i="29"/>
  <c r="BQ29" i="29"/>
  <c r="BP29" i="29"/>
  <c r="BJ29" i="29"/>
  <c r="BI29" i="29"/>
  <c r="BH29" i="29"/>
  <c r="BB29" i="29"/>
  <c r="BA29" i="29"/>
  <c r="AZ29" i="29"/>
  <c r="BO29" i="29"/>
  <c r="AT93" i="29"/>
  <c r="EA28" i="29"/>
  <c r="DS28" i="29"/>
  <c r="DK28" i="29"/>
  <c r="DZ28" i="29"/>
  <c r="DC28" i="29"/>
  <c r="DC92" i="29" s="1"/>
  <c r="CX28" i="29"/>
  <c r="CV28" i="29"/>
  <c r="CU28" i="29"/>
  <c r="CT28" i="29"/>
  <c r="CS28" i="29"/>
  <c r="CR28" i="29"/>
  <c r="CP28" i="29"/>
  <c r="CN28" i="29"/>
  <c r="CM28" i="29"/>
  <c r="CL28" i="29"/>
  <c r="CK28" i="29"/>
  <c r="CJ28" i="29"/>
  <c r="CH28" i="29"/>
  <c r="CF28" i="29"/>
  <c r="CE28" i="29"/>
  <c r="CD28" i="29"/>
  <c r="CC28" i="29"/>
  <c r="CB28" i="29"/>
  <c r="CY28" i="29"/>
  <c r="BN28" i="29"/>
  <c r="BJ28" i="29"/>
  <c r="BI28" i="29"/>
  <c r="BB28" i="29"/>
  <c r="AZ28" i="29"/>
  <c r="AY28" i="29"/>
  <c r="AT92" i="29"/>
  <c r="EA27" i="29"/>
  <c r="DZ27" i="29"/>
  <c r="DY27" i="29"/>
  <c r="DS27" i="29"/>
  <c r="DR27" i="29"/>
  <c r="DQ27" i="29"/>
  <c r="DK27" i="29"/>
  <c r="DJ27" i="29"/>
  <c r="DI27" i="29"/>
  <c r="DX27" i="29"/>
  <c r="CX27" i="29"/>
  <c r="CP27" i="29"/>
  <c r="CH27" i="29"/>
  <c r="CW27" i="29"/>
  <c r="BZ27" i="29"/>
  <c r="BZ91" i="29" s="1"/>
  <c r="BR27" i="29"/>
  <c r="BP27" i="29"/>
  <c r="BO27" i="29"/>
  <c r="BN27" i="29"/>
  <c r="BM27" i="29"/>
  <c r="BL27" i="29"/>
  <c r="BJ27" i="29"/>
  <c r="BH27" i="29"/>
  <c r="BG27" i="29"/>
  <c r="BF27" i="29"/>
  <c r="BE27" i="29"/>
  <c r="BD27" i="29"/>
  <c r="BB27" i="29"/>
  <c r="AZ27" i="29"/>
  <c r="AY27" i="29"/>
  <c r="AX27" i="29"/>
  <c r="AW27" i="29"/>
  <c r="AV27" i="29"/>
  <c r="BS27" i="29"/>
  <c r="AT91" i="29"/>
  <c r="EA26" i="29"/>
  <c r="DZ26" i="29"/>
  <c r="DY26" i="29"/>
  <c r="DX26" i="29"/>
  <c r="DW26" i="29"/>
  <c r="DU26" i="29"/>
  <c r="DS26" i="29"/>
  <c r="DR26" i="29"/>
  <c r="DQ26" i="29"/>
  <c r="DP26" i="29"/>
  <c r="DO26" i="29"/>
  <c r="DM26" i="29"/>
  <c r="DK26" i="29"/>
  <c r="DJ26" i="29"/>
  <c r="DI26" i="29"/>
  <c r="DH26" i="29"/>
  <c r="DG26" i="29"/>
  <c r="DE26" i="29"/>
  <c r="DV26" i="29"/>
  <c r="CX26" i="29"/>
  <c r="CW26" i="29"/>
  <c r="CV26" i="29"/>
  <c r="CP26" i="29"/>
  <c r="CO26" i="29"/>
  <c r="CN26" i="29"/>
  <c r="CH26" i="29"/>
  <c r="CG26" i="29"/>
  <c r="CF26" i="29"/>
  <c r="CU26" i="29"/>
  <c r="BR26" i="29"/>
  <c r="BJ26" i="29"/>
  <c r="BB26" i="29"/>
  <c r="BQ26" i="29"/>
  <c r="DV24" i="29"/>
  <c r="DV69" i="29" s="1"/>
  <c r="DU24" i="29"/>
  <c r="DN24" i="29"/>
  <c r="DN69" i="29" s="1"/>
  <c r="DM24" i="29"/>
  <c r="DF24" i="29"/>
  <c r="DF69" i="29" s="1"/>
  <c r="DE24" i="29"/>
  <c r="CT24" i="29"/>
  <c r="CT69" i="29" s="1"/>
  <c r="CS24" i="29"/>
  <c r="CL24" i="29"/>
  <c r="CL69" i="29" s="1"/>
  <c r="CK24" i="29"/>
  <c r="CD24" i="29"/>
  <c r="CD69" i="29" s="1"/>
  <c r="CC24" i="29"/>
  <c r="BO24" i="29"/>
  <c r="BN24" i="29"/>
  <c r="BG24" i="29"/>
  <c r="BF24" i="29"/>
  <c r="AY24" i="29"/>
  <c r="AX24" i="29"/>
  <c r="AT24" i="29"/>
  <c r="DY23" i="29"/>
  <c r="DY68" i="29" s="1"/>
  <c r="DX23" i="29"/>
  <c r="DQ23" i="29"/>
  <c r="DQ68" i="29" s="1"/>
  <c r="DP23" i="29"/>
  <c r="DI23" i="29"/>
  <c r="DI68" i="29" s="1"/>
  <c r="DH23" i="29"/>
  <c r="CW23" i="29"/>
  <c r="CW68" i="29" s="1"/>
  <c r="CV23" i="29"/>
  <c r="CO23" i="29"/>
  <c r="CO68" i="29" s="1"/>
  <c r="CN23" i="29"/>
  <c r="CG23" i="29"/>
  <c r="CG68" i="29" s="1"/>
  <c r="CF23" i="29"/>
  <c r="BR23" i="29"/>
  <c r="BR68" i="29" s="1"/>
  <c r="BQ23" i="29"/>
  <c r="BJ23" i="29"/>
  <c r="BJ68" i="29" s="1"/>
  <c r="BI23" i="29"/>
  <c r="BB23" i="29"/>
  <c r="BB68" i="29" s="1"/>
  <c r="BA23" i="29"/>
  <c r="EB22" i="29"/>
  <c r="EB67" i="29" s="1"/>
  <c r="EA22" i="29"/>
  <c r="DT22" i="29"/>
  <c r="DT67" i="29" s="1"/>
  <c r="DS22" i="29"/>
  <c r="DL22" i="29"/>
  <c r="DL67" i="29" s="1"/>
  <c r="DK22" i="29"/>
  <c r="DC22" i="29"/>
  <c r="DC55" i="29" s="1"/>
  <c r="CY22" i="29"/>
  <c r="CR22" i="29"/>
  <c r="CR67" i="29" s="1"/>
  <c r="CQ22" i="29"/>
  <c r="CJ22" i="29"/>
  <c r="CJ67" i="29" s="1"/>
  <c r="CI22" i="29"/>
  <c r="CB22" i="29"/>
  <c r="CB67" i="29" s="1"/>
  <c r="BZ22" i="29"/>
  <c r="BZ55" i="29" s="1"/>
  <c r="BM22" i="29"/>
  <c r="BM67" i="29" s="1"/>
  <c r="BL22" i="29"/>
  <c r="BE22" i="29"/>
  <c r="BE67" i="29" s="1"/>
  <c r="BD22" i="29"/>
  <c r="AW22" i="29"/>
  <c r="AW67" i="29" s="1"/>
  <c r="AV22" i="29"/>
  <c r="AT22" i="29"/>
  <c r="F22" i="29"/>
  <c r="C256" i="31" s="1"/>
  <c r="DZ21" i="29"/>
  <c r="DY21" i="29"/>
  <c r="DR21" i="29"/>
  <c r="DQ21" i="29"/>
  <c r="DJ21" i="29"/>
  <c r="DI21" i="29"/>
  <c r="CX21" i="29"/>
  <c r="CW21" i="29"/>
  <c r="CP21" i="29"/>
  <c r="CO21" i="29"/>
  <c r="CH21" i="29"/>
  <c r="CG21" i="29"/>
  <c r="BS21" i="29"/>
  <c r="BR21" i="29"/>
  <c r="BK21" i="29"/>
  <c r="BJ21" i="29"/>
  <c r="BC21" i="29"/>
  <c r="BB21" i="29"/>
  <c r="AT21" i="29"/>
  <c r="DX20" i="29"/>
  <c r="DW20" i="29"/>
  <c r="DP20" i="29"/>
  <c r="DO20" i="29"/>
  <c r="DH20" i="29"/>
  <c r="DG20" i="29"/>
  <c r="CV20" i="29"/>
  <c r="CU20" i="29"/>
  <c r="CN20" i="29"/>
  <c r="CM20" i="29"/>
  <c r="CF20" i="29"/>
  <c r="CE20" i="29"/>
  <c r="BQ20" i="29"/>
  <c r="BP20" i="29"/>
  <c r="BI20" i="29"/>
  <c r="BH20" i="29"/>
  <c r="BA20" i="29"/>
  <c r="AZ20" i="29"/>
  <c r="DU19" i="29"/>
  <c r="DM19" i="29"/>
  <c r="DE19" i="29"/>
  <c r="CS19" i="29"/>
  <c r="CK19" i="29"/>
  <c r="CC19" i="29"/>
  <c r="BN19" i="29"/>
  <c r="BF19" i="29"/>
  <c r="AX19" i="29"/>
  <c r="DX18" i="29"/>
  <c r="DP18" i="29"/>
  <c r="DH18" i="29"/>
  <c r="CV18" i="29"/>
  <c r="CN18" i="29"/>
  <c r="CF18" i="29"/>
  <c r="BI18" i="29"/>
  <c r="AT18" i="29"/>
  <c r="F18" i="29"/>
  <c r="DY17" i="29"/>
  <c r="DX17" i="29"/>
  <c r="DQ17" i="29"/>
  <c r="DP17" i="29"/>
  <c r="DI17" i="29"/>
  <c r="DH17" i="29"/>
  <c r="CW17" i="29"/>
  <c r="CV17" i="29"/>
  <c r="CO17" i="29"/>
  <c r="CN17" i="29"/>
  <c r="CG17" i="29"/>
  <c r="CF17" i="29"/>
  <c r="BR17" i="29"/>
  <c r="BJ17" i="29"/>
  <c r="BI17" i="29"/>
  <c r="BB17" i="29"/>
  <c r="AT17" i="29"/>
  <c r="F17" i="29"/>
  <c r="DX16" i="29"/>
  <c r="DP16" i="29"/>
  <c r="DH16" i="29"/>
  <c r="CV16" i="29"/>
  <c r="CN16" i="29"/>
  <c r="CF16" i="29"/>
  <c r="BA16" i="29"/>
  <c r="AT16" i="29"/>
  <c r="F16" i="29"/>
  <c r="DY15" i="29"/>
  <c r="DX15" i="29"/>
  <c r="DQ15" i="29"/>
  <c r="DP15" i="29"/>
  <c r="DI15" i="29"/>
  <c r="DH15" i="29"/>
  <c r="CW15" i="29"/>
  <c r="CV15" i="29"/>
  <c r="CO15" i="29"/>
  <c r="CN15" i="29"/>
  <c r="CG15" i="29"/>
  <c r="CF15" i="29"/>
  <c r="BR15" i="29"/>
  <c r="BQ15" i="29"/>
  <c r="BJ15" i="29"/>
  <c r="BB15" i="29"/>
  <c r="EB24" i="29"/>
  <c r="EA24" i="29"/>
  <c r="DZ24" i="29"/>
  <c r="DY24" i="29"/>
  <c r="DX24" i="29"/>
  <c r="DW24" i="29"/>
  <c r="DT24" i="29"/>
  <c r="DS24" i="29"/>
  <c r="DR24" i="29"/>
  <c r="DQ24" i="29"/>
  <c r="DP24" i="29"/>
  <c r="DO24" i="29"/>
  <c r="DL24" i="29"/>
  <c r="DK24" i="29"/>
  <c r="DJ24" i="29"/>
  <c r="DI24" i="29"/>
  <c r="DI80" i="29" s="1"/>
  <c r="DH24" i="29"/>
  <c r="DG24" i="29"/>
  <c r="DC69" i="29"/>
  <c r="CY24" i="29"/>
  <c r="CX24" i="29"/>
  <c r="CW24" i="29"/>
  <c r="CV24" i="29"/>
  <c r="CU24" i="29"/>
  <c r="CR24" i="29"/>
  <c r="CQ24" i="29"/>
  <c r="CP24" i="29"/>
  <c r="CO24" i="29"/>
  <c r="CN24" i="29"/>
  <c r="CM24" i="29"/>
  <c r="CJ24" i="29"/>
  <c r="CI24" i="29"/>
  <c r="CH24" i="29"/>
  <c r="CG24" i="29"/>
  <c r="CF24" i="29"/>
  <c r="CE24" i="29"/>
  <c r="CB24" i="29"/>
  <c r="BS24" i="29"/>
  <c r="BR24" i="29"/>
  <c r="BQ24" i="29"/>
  <c r="BP24" i="29"/>
  <c r="BM24" i="29"/>
  <c r="BK24" i="29"/>
  <c r="BJ24" i="29"/>
  <c r="BI24" i="29"/>
  <c r="BH24" i="29"/>
  <c r="BE24" i="29"/>
  <c r="BD24" i="29"/>
  <c r="BC24" i="29"/>
  <c r="BB24" i="29"/>
  <c r="BA24" i="29"/>
  <c r="AZ24" i="29"/>
  <c r="AW24" i="29"/>
  <c r="AT13" i="29"/>
  <c r="EB23" i="29"/>
  <c r="EA23" i="29"/>
  <c r="DZ23" i="29"/>
  <c r="DW23" i="29"/>
  <c r="DV23" i="29"/>
  <c r="DU23" i="29"/>
  <c r="DU79" i="29" s="1"/>
  <c r="DT23" i="29"/>
  <c r="DS23" i="29"/>
  <c r="DR23" i="29"/>
  <c r="DO23" i="29"/>
  <c r="DN23" i="29"/>
  <c r="DM23" i="29"/>
  <c r="DL23" i="29"/>
  <c r="DK23" i="29"/>
  <c r="DJ23" i="29"/>
  <c r="DG23" i="29"/>
  <c r="DF23" i="29"/>
  <c r="DE23" i="29"/>
  <c r="DC23" i="29"/>
  <c r="DC56" i="29" s="1"/>
  <c r="CY23" i="29"/>
  <c r="CX23" i="29"/>
  <c r="CU23" i="29"/>
  <c r="CT23" i="29"/>
  <c r="CS23" i="29"/>
  <c r="CR23" i="29"/>
  <c r="CQ23" i="29"/>
  <c r="CP23" i="29"/>
  <c r="CM23" i="29"/>
  <c r="CL23" i="29"/>
  <c r="CK23" i="29"/>
  <c r="CJ23" i="29"/>
  <c r="CI23" i="29"/>
  <c r="CH23" i="29"/>
  <c r="CE23" i="29"/>
  <c r="CD23" i="29"/>
  <c r="CC23" i="29"/>
  <c r="CB23" i="29"/>
  <c r="BZ34" i="29"/>
  <c r="BZ97" i="29" s="1"/>
  <c r="BS23" i="29"/>
  <c r="BP23" i="29"/>
  <c r="BO23" i="29"/>
  <c r="BN23" i="29"/>
  <c r="BM23" i="29"/>
  <c r="BL23" i="29"/>
  <c r="BK23" i="29"/>
  <c r="BH23" i="29"/>
  <c r="BG23" i="29"/>
  <c r="BF23" i="29"/>
  <c r="BE23" i="29"/>
  <c r="BD23" i="29"/>
  <c r="BC23" i="29"/>
  <c r="AZ23" i="29"/>
  <c r="AY23" i="29"/>
  <c r="AX23" i="29"/>
  <c r="AX79" i="29" s="1"/>
  <c r="AW23" i="29"/>
  <c r="AV23" i="29"/>
  <c r="DZ22" i="29"/>
  <c r="DY22" i="29"/>
  <c r="DX22" i="29"/>
  <c r="DW22" i="29"/>
  <c r="DV22" i="29"/>
  <c r="DU22" i="29"/>
  <c r="DR22" i="29"/>
  <c r="DQ22" i="29"/>
  <c r="DP22" i="29"/>
  <c r="DO22" i="29"/>
  <c r="DN22" i="29"/>
  <c r="DM22" i="29"/>
  <c r="DJ22" i="29"/>
  <c r="DI22" i="29"/>
  <c r="DH22" i="29"/>
  <c r="DG22" i="29"/>
  <c r="DF22" i="29"/>
  <c r="DE22" i="29"/>
  <c r="CX22" i="29"/>
  <c r="CW22" i="29"/>
  <c r="CV22" i="29"/>
  <c r="CU22" i="29"/>
  <c r="CT22" i="29"/>
  <c r="CS22" i="29"/>
  <c r="CP22" i="29"/>
  <c r="CO22" i="29"/>
  <c r="CN22" i="29"/>
  <c r="CM22" i="29"/>
  <c r="CL22" i="29"/>
  <c r="CK22" i="29"/>
  <c r="CH22" i="29"/>
  <c r="CG22" i="29"/>
  <c r="CF22" i="29"/>
  <c r="CE22" i="29"/>
  <c r="CD22" i="29"/>
  <c r="CC22" i="29"/>
  <c r="BS22" i="29"/>
  <c r="BR22" i="29"/>
  <c r="BQ22" i="29"/>
  <c r="BP22" i="29"/>
  <c r="BO22" i="29"/>
  <c r="BN22" i="29"/>
  <c r="BK22" i="29"/>
  <c r="BJ22" i="29"/>
  <c r="BI22" i="29"/>
  <c r="BI78" i="29" s="1"/>
  <c r="BH22" i="29"/>
  <c r="BG22" i="29"/>
  <c r="BF22" i="29"/>
  <c r="BC22" i="29"/>
  <c r="BB22" i="29"/>
  <c r="BA22" i="29"/>
  <c r="AZ22" i="29"/>
  <c r="AY22" i="29"/>
  <c r="AX22" i="29"/>
  <c r="AT11" i="29"/>
  <c r="EB21" i="29"/>
  <c r="EA21" i="29"/>
  <c r="DX21" i="29"/>
  <c r="DW21" i="29"/>
  <c r="DV21" i="29"/>
  <c r="DU21" i="29"/>
  <c r="DT21" i="29"/>
  <c r="DS21" i="29"/>
  <c r="DP21" i="29"/>
  <c r="DO21" i="29"/>
  <c r="DN21" i="29"/>
  <c r="DM21" i="29"/>
  <c r="DL21" i="29"/>
  <c r="DK21" i="29"/>
  <c r="DH21" i="29"/>
  <c r="DG21" i="29"/>
  <c r="DF21" i="29"/>
  <c r="DE21" i="29"/>
  <c r="DC21" i="29"/>
  <c r="DC54" i="29" s="1"/>
  <c r="CY21" i="29"/>
  <c r="CV21" i="29"/>
  <c r="CU21" i="29"/>
  <c r="CT21" i="29"/>
  <c r="CS21" i="29"/>
  <c r="CR21" i="29"/>
  <c r="CQ21" i="29"/>
  <c r="CN21" i="29"/>
  <c r="CM21" i="29"/>
  <c r="CL21" i="29"/>
  <c r="CK21" i="29"/>
  <c r="CJ21" i="29"/>
  <c r="CI21" i="29"/>
  <c r="CF21" i="29"/>
  <c r="CE21" i="29"/>
  <c r="CE66" i="29" s="1"/>
  <c r="CD21" i="29"/>
  <c r="CC21" i="29"/>
  <c r="CB21" i="29"/>
  <c r="BZ43" i="29"/>
  <c r="BQ21" i="29"/>
  <c r="BP21" i="29"/>
  <c r="BO21" i="29"/>
  <c r="BN21" i="29"/>
  <c r="BM21" i="29"/>
  <c r="BL21" i="29"/>
  <c r="BI21" i="29"/>
  <c r="BH21" i="29"/>
  <c r="BG21" i="29"/>
  <c r="BF21" i="29"/>
  <c r="BE21" i="29"/>
  <c r="BD21" i="29"/>
  <c r="BA21" i="29"/>
  <c r="AZ21" i="29"/>
  <c r="AY21" i="29"/>
  <c r="AX21" i="29"/>
  <c r="AW21" i="29"/>
  <c r="AV21" i="29"/>
  <c r="AT10" i="29"/>
  <c r="EB20" i="29"/>
  <c r="EA20" i="29"/>
  <c r="DZ20" i="29"/>
  <c r="DY20" i="29"/>
  <c r="DV20" i="29"/>
  <c r="DU20" i="29"/>
  <c r="DT20" i="29"/>
  <c r="DS20" i="29"/>
  <c r="DS65" i="29" s="1"/>
  <c r="DR20" i="29"/>
  <c r="DQ20" i="29"/>
  <c r="DN20" i="29"/>
  <c r="DM20" i="29"/>
  <c r="DL20" i="29"/>
  <c r="DK20" i="29"/>
  <c r="DJ20" i="29"/>
  <c r="DI20" i="29"/>
  <c r="DF20" i="29"/>
  <c r="DE20" i="29"/>
  <c r="CY20" i="29"/>
  <c r="CX20" i="29"/>
  <c r="CW20" i="29"/>
  <c r="CT20" i="29"/>
  <c r="CS20" i="29"/>
  <c r="CR20" i="29"/>
  <c r="CQ20" i="29"/>
  <c r="CP20" i="29"/>
  <c r="CO20" i="29"/>
  <c r="CL20" i="29"/>
  <c r="CL76" i="29" s="1"/>
  <c r="CK20" i="29"/>
  <c r="CJ20" i="29"/>
  <c r="CI20" i="29"/>
  <c r="CH20" i="29"/>
  <c r="CG20" i="29"/>
  <c r="CD20" i="29"/>
  <c r="CC20" i="29"/>
  <c r="CB20" i="29"/>
  <c r="BS20" i="29"/>
  <c r="BR20" i="29"/>
  <c r="BO20" i="29"/>
  <c r="BN20" i="29"/>
  <c r="BM20" i="29"/>
  <c r="BL20" i="29"/>
  <c r="BK20" i="29"/>
  <c r="BJ20" i="29"/>
  <c r="BG20" i="29"/>
  <c r="BF20" i="29"/>
  <c r="BE20" i="29"/>
  <c r="BD20" i="29"/>
  <c r="BC20" i="29"/>
  <c r="BB20" i="29"/>
  <c r="AY20" i="29"/>
  <c r="AX20" i="29"/>
  <c r="AW20" i="29"/>
  <c r="AV20" i="29"/>
  <c r="AV65" i="29" s="1"/>
  <c r="AT9" i="29"/>
  <c r="EB19" i="29"/>
  <c r="EA19" i="29"/>
  <c r="DZ19" i="29"/>
  <c r="DY19" i="29"/>
  <c r="DX19" i="29"/>
  <c r="DW19" i="29"/>
  <c r="DV19" i="29"/>
  <c r="DT19" i="29"/>
  <c r="DS19" i="29"/>
  <c r="DR19" i="29"/>
  <c r="DQ19" i="29"/>
  <c r="DP19" i="29"/>
  <c r="DO19" i="29"/>
  <c r="DN19" i="29"/>
  <c r="DL19" i="29"/>
  <c r="DK19" i="29"/>
  <c r="DJ19" i="29"/>
  <c r="DJ75" i="29" s="1"/>
  <c r="DI19" i="29"/>
  <c r="DH19" i="29"/>
  <c r="DG19" i="29"/>
  <c r="DF19" i="29"/>
  <c r="DC30" i="29"/>
  <c r="DC94" i="29" s="1"/>
  <c r="CY19" i="29"/>
  <c r="CX19" i="29"/>
  <c r="CW19" i="29"/>
  <c r="CV19" i="29"/>
  <c r="CU19" i="29"/>
  <c r="CT19" i="29"/>
  <c r="CR19" i="29"/>
  <c r="CQ19" i="29"/>
  <c r="CP19" i="29"/>
  <c r="CO19" i="29"/>
  <c r="CN19" i="29"/>
  <c r="CM19" i="29"/>
  <c r="CM64" i="29" s="1"/>
  <c r="CL19" i="29"/>
  <c r="CJ19" i="29"/>
  <c r="CI19" i="29"/>
  <c r="CH19" i="29"/>
  <c r="CG19" i="29"/>
  <c r="CF19" i="29"/>
  <c r="CE19" i="29"/>
  <c r="CD19" i="29"/>
  <c r="CB19" i="29"/>
  <c r="BZ64" i="29"/>
  <c r="BS19" i="29"/>
  <c r="BR19" i="29"/>
  <c r="BQ19" i="29"/>
  <c r="BP19" i="29"/>
  <c r="BO19" i="29"/>
  <c r="BM19" i="29"/>
  <c r="BL19" i="29"/>
  <c r="BK19" i="29"/>
  <c r="BJ19" i="29"/>
  <c r="BI19" i="29"/>
  <c r="BH19" i="29"/>
  <c r="BG19" i="29"/>
  <c r="BE19" i="29"/>
  <c r="BD19" i="29"/>
  <c r="BC19" i="29"/>
  <c r="BB19" i="29"/>
  <c r="BA19" i="29"/>
  <c r="AZ19" i="29"/>
  <c r="AY19" i="29"/>
  <c r="AW19" i="29"/>
  <c r="AV19" i="29"/>
  <c r="EB18" i="29"/>
  <c r="EA18" i="29"/>
  <c r="EA63" i="29" s="1"/>
  <c r="DZ18" i="29"/>
  <c r="DY18" i="29"/>
  <c r="DW18" i="29"/>
  <c r="DV18" i="29"/>
  <c r="DU18" i="29"/>
  <c r="DT18" i="29"/>
  <c r="DS18" i="29"/>
  <c r="DR18" i="29"/>
  <c r="DQ18" i="29"/>
  <c r="DO18" i="29"/>
  <c r="DN18" i="29"/>
  <c r="DM18" i="29"/>
  <c r="DL18" i="29"/>
  <c r="DK18" i="29"/>
  <c r="DJ18" i="29"/>
  <c r="DI18" i="29"/>
  <c r="DG18" i="29"/>
  <c r="DF18" i="29"/>
  <c r="DE18" i="29"/>
  <c r="CY18" i="29"/>
  <c r="CX18" i="29"/>
  <c r="CW18" i="29"/>
  <c r="CU18" i="29"/>
  <c r="CT18" i="29"/>
  <c r="CS18" i="29"/>
  <c r="CR18" i="29"/>
  <c r="CQ18" i="29"/>
  <c r="CP18" i="29"/>
  <c r="CO18" i="29"/>
  <c r="CM18" i="29"/>
  <c r="CL18" i="29"/>
  <c r="CK18" i="29"/>
  <c r="CJ18" i="29"/>
  <c r="CI18" i="29"/>
  <c r="CH18" i="29"/>
  <c r="CG18" i="29"/>
  <c r="CE18" i="29"/>
  <c r="CD18" i="29"/>
  <c r="CC18" i="29"/>
  <c r="CB18" i="29"/>
  <c r="BS18" i="29"/>
  <c r="BR18" i="29"/>
  <c r="BP18" i="29"/>
  <c r="BO18" i="29"/>
  <c r="BN18" i="29"/>
  <c r="BM18" i="29"/>
  <c r="BL18" i="29"/>
  <c r="BK18" i="29"/>
  <c r="BJ18" i="29"/>
  <c r="BH18" i="29"/>
  <c r="BG18" i="29"/>
  <c r="BF18" i="29"/>
  <c r="BE18" i="29"/>
  <c r="BC18" i="29"/>
  <c r="BB18" i="29"/>
  <c r="AZ18" i="29"/>
  <c r="AY18" i="29"/>
  <c r="AX18" i="29"/>
  <c r="AW18" i="29"/>
  <c r="AT7" i="29"/>
  <c r="EB17" i="29"/>
  <c r="EA17" i="29"/>
  <c r="DZ17" i="29"/>
  <c r="DW17" i="29"/>
  <c r="DV17" i="29"/>
  <c r="DU17" i="29"/>
  <c r="DT17" i="29"/>
  <c r="DS17" i="29"/>
  <c r="DR17" i="29"/>
  <c r="DO17" i="29"/>
  <c r="DN17" i="29"/>
  <c r="DM17" i="29"/>
  <c r="DL17" i="29"/>
  <c r="DK17" i="29"/>
  <c r="DJ17" i="29"/>
  <c r="DG17" i="29"/>
  <c r="DF17" i="29"/>
  <c r="DE17" i="29"/>
  <c r="DC17" i="29"/>
  <c r="DC50" i="29" s="1"/>
  <c r="CY17" i="29"/>
  <c r="CX17" i="29"/>
  <c r="CU17" i="29"/>
  <c r="CT17" i="29"/>
  <c r="CS17" i="29"/>
  <c r="CR17" i="29"/>
  <c r="CQ17" i="29"/>
  <c r="CP17" i="29"/>
  <c r="CM17" i="29"/>
  <c r="CL17" i="29"/>
  <c r="CK17" i="29"/>
  <c r="CJ17" i="29"/>
  <c r="CI17" i="29"/>
  <c r="CH17" i="29"/>
  <c r="CH73" i="29" s="1"/>
  <c r="CE17" i="29"/>
  <c r="CD17" i="29"/>
  <c r="CC17" i="29"/>
  <c r="CB17" i="29"/>
  <c r="BZ17" i="29"/>
  <c r="BZ50" i="29" s="1"/>
  <c r="BS17" i="29"/>
  <c r="BP17" i="29"/>
  <c r="BO17" i="29"/>
  <c r="BO62" i="29" s="1"/>
  <c r="BO108" i="29" s="1"/>
  <c r="BN17" i="29"/>
  <c r="BM17" i="29"/>
  <c r="BK17" i="29"/>
  <c r="BH17" i="29"/>
  <c r="BG17" i="29"/>
  <c r="BF17" i="29"/>
  <c r="BE17" i="29"/>
  <c r="BC17" i="29"/>
  <c r="AZ17" i="29"/>
  <c r="AY17" i="29"/>
  <c r="AX17" i="29"/>
  <c r="AW17" i="29"/>
  <c r="AT6" i="29"/>
  <c r="EB16" i="29"/>
  <c r="EA16" i="29"/>
  <c r="DZ16" i="29"/>
  <c r="DY16" i="29"/>
  <c r="DW16" i="29"/>
  <c r="DV16" i="29"/>
  <c r="DU16" i="29"/>
  <c r="DT16" i="29"/>
  <c r="DS16" i="29"/>
  <c r="DR16" i="29"/>
  <c r="DQ16" i="29"/>
  <c r="DO16" i="29"/>
  <c r="DN16" i="29"/>
  <c r="DM16" i="29"/>
  <c r="DL16" i="29"/>
  <c r="DK16" i="29"/>
  <c r="DJ16" i="29"/>
  <c r="DI16" i="29"/>
  <c r="DG16" i="29"/>
  <c r="DF16" i="29"/>
  <c r="DF72" i="29" s="1"/>
  <c r="DE16" i="29"/>
  <c r="DC27" i="29"/>
  <c r="DC91" i="29" s="1"/>
  <c r="CY16" i="29"/>
  <c r="CX16" i="29"/>
  <c r="CW16" i="29"/>
  <c r="CU16" i="29"/>
  <c r="CT16" i="29"/>
  <c r="CS16" i="29"/>
  <c r="CR16" i="29"/>
  <c r="CQ16" i="29"/>
  <c r="CP16" i="29"/>
  <c r="CO16" i="29"/>
  <c r="CM16" i="29"/>
  <c r="CL16" i="29"/>
  <c r="CK16" i="29"/>
  <c r="CJ16" i="29"/>
  <c r="CI16" i="29"/>
  <c r="CH16" i="29"/>
  <c r="CH61" i="29" s="1"/>
  <c r="CG16" i="29"/>
  <c r="CE16" i="29"/>
  <c r="CD16" i="29"/>
  <c r="CC16" i="29"/>
  <c r="CB16" i="29"/>
  <c r="BS16" i="29"/>
  <c r="BR16" i="29"/>
  <c r="BP16" i="29"/>
  <c r="BO16" i="29"/>
  <c r="BN16" i="29"/>
  <c r="BM16" i="29"/>
  <c r="BK16" i="29"/>
  <c r="BJ16" i="29"/>
  <c r="BH16" i="29"/>
  <c r="BG16" i="29"/>
  <c r="BF16" i="29"/>
  <c r="BE16" i="29"/>
  <c r="BC16" i="29"/>
  <c r="BB16" i="29"/>
  <c r="AZ16" i="29"/>
  <c r="AY16" i="29"/>
  <c r="AX16" i="29"/>
  <c r="AW16" i="29"/>
  <c r="AV16" i="29"/>
  <c r="AT5" i="29"/>
  <c r="EB15" i="29"/>
  <c r="EA15" i="29"/>
  <c r="DZ15" i="29"/>
  <c r="DZ71" i="29" s="1"/>
  <c r="DW15" i="29"/>
  <c r="DV15" i="29"/>
  <c r="DU15" i="29"/>
  <c r="DT15" i="29"/>
  <c r="DS15" i="29"/>
  <c r="DR15" i="29"/>
  <c r="DO15" i="29"/>
  <c r="DN15" i="29"/>
  <c r="DM15" i="29"/>
  <c r="DL15" i="29"/>
  <c r="DK15" i="29"/>
  <c r="DJ15" i="29"/>
  <c r="DG15" i="29"/>
  <c r="DF15" i="29"/>
  <c r="DE15" i="29"/>
  <c r="DC26" i="29"/>
  <c r="DC90" i="29" s="1"/>
  <c r="CY15" i="29"/>
  <c r="CX15" i="29"/>
  <c r="CU15" i="29"/>
  <c r="CT15" i="29"/>
  <c r="CT60" i="29" s="1"/>
  <c r="CS15" i="29"/>
  <c r="CR15" i="29"/>
  <c r="CQ15" i="29"/>
  <c r="CP15" i="29"/>
  <c r="CM15" i="29"/>
  <c r="CL15" i="29"/>
  <c r="CK15" i="29"/>
  <c r="CJ15" i="29"/>
  <c r="CI15" i="29"/>
  <c r="CH15" i="29"/>
  <c r="CE15" i="29"/>
  <c r="CD15" i="29"/>
  <c r="CC15" i="29"/>
  <c r="CB15" i="29"/>
  <c r="BZ60" i="29"/>
  <c r="BS15" i="29"/>
  <c r="BP15" i="29"/>
  <c r="BO15" i="29"/>
  <c r="BN15" i="29"/>
  <c r="BM15" i="29"/>
  <c r="BL15" i="29"/>
  <c r="BK15" i="29"/>
  <c r="BH15" i="29"/>
  <c r="BG15" i="29"/>
  <c r="BF15" i="29"/>
  <c r="BE15" i="29"/>
  <c r="BC15" i="29"/>
  <c r="AZ15" i="29"/>
  <c r="AY15" i="29"/>
  <c r="AX15" i="29"/>
  <c r="AW15" i="29"/>
  <c r="DD2" i="29"/>
  <c r="CA2" i="29"/>
  <c r="AU2" i="29"/>
  <c r="W47" i="28"/>
  <c r="O47" i="28"/>
  <c r="G47" i="28"/>
  <c r="Y47" i="28"/>
  <c r="Q47" i="28"/>
  <c r="I47" i="28"/>
  <c r="Z47" i="28"/>
  <c r="R47" i="28"/>
  <c r="J47" i="28"/>
  <c r="S47" i="28"/>
  <c r="K47" i="28"/>
  <c r="C47" i="28"/>
  <c r="T47" i="28"/>
  <c r="L47" i="28"/>
  <c r="D47" i="28"/>
  <c r="U47" i="28"/>
  <c r="M47" i="28"/>
  <c r="E47" i="28"/>
  <c r="L41" i="28"/>
  <c r="D41" i="28"/>
  <c r="T5" i="28"/>
  <c r="T9" i="28" s="1"/>
  <c r="L4" i="28"/>
  <c r="D5" i="28"/>
  <c r="D9" i="28" s="1"/>
  <c r="U5" i="28"/>
  <c r="U9" i="28" s="1"/>
  <c r="M5" i="28"/>
  <c r="M9" i="28" s="1"/>
  <c r="E5" i="28"/>
  <c r="E9" i="28" s="1"/>
  <c r="V20" i="28"/>
  <c r="N20" i="28"/>
  <c r="F20" i="28"/>
  <c r="W4" i="28"/>
  <c r="O3" i="28"/>
  <c r="P4" i="28"/>
  <c r="J3" i="28"/>
  <c r="S3" i="28"/>
  <c r="K3" i="28"/>
  <c r="X47" i="28"/>
  <c r="V47" i="28"/>
  <c r="P47" i="28"/>
  <c r="N47" i="28"/>
  <c r="H47" i="28"/>
  <c r="F47" i="28"/>
  <c r="X46" i="28"/>
  <c r="V46" i="28"/>
  <c r="P46" i="28"/>
  <c r="N46" i="28"/>
  <c r="H46" i="28"/>
  <c r="F46" i="28"/>
  <c r="C41" i="28"/>
  <c r="C40" i="28"/>
  <c r="C27" i="28"/>
  <c r="Z26" i="28"/>
  <c r="Y26" i="28"/>
  <c r="X26" i="28"/>
  <c r="W26" i="28"/>
  <c r="V26" i="28"/>
  <c r="U26" i="28"/>
  <c r="T26" i="28"/>
  <c r="S26" i="28"/>
  <c r="R26" i="28"/>
  <c r="Q26" i="28"/>
  <c r="P26" i="28"/>
  <c r="O26" i="28"/>
  <c r="N26" i="28"/>
  <c r="M26" i="28"/>
  <c r="L26" i="28"/>
  <c r="K26" i="28"/>
  <c r="J26" i="28"/>
  <c r="I26" i="28"/>
  <c r="H26" i="28"/>
  <c r="G26" i="28"/>
  <c r="F26" i="28"/>
  <c r="E26" i="28"/>
  <c r="D26" i="28"/>
  <c r="C26" i="28"/>
  <c r="Z25" i="28"/>
  <c r="Y25" i="28"/>
  <c r="X25" i="28"/>
  <c r="W25" i="28"/>
  <c r="V25" i="28"/>
  <c r="U25" i="28"/>
  <c r="T25" i="28"/>
  <c r="S25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8"/>
  <c r="C25" i="28"/>
  <c r="W20" i="28"/>
  <c r="O20" i="28"/>
  <c r="AD14" i="28"/>
  <c r="T233" i="30" s="1"/>
  <c r="T271" i="30" s="1"/>
  <c r="V5" i="28"/>
  <c r="V9" i="28" s="1"/>
  <c r="N5" i="28"/>
  <c r="N9" i="28" s="1"/>
  <c r="F5" i="28"/>
  <c r="F9" i="28" s="1"/>
  <c r="S4" i="28"/>
  <c r="Q4" i="28"/>
  <c r="K4" i="28"/>
  <c r="V3" i="28"/>
  <c r="T3" i="28"/>
  <c r="N3" i="28"/>
  <c r="L3" i="28"/>
  <c r="F3" i="28"/>
  <c r="D3" i="28"/>
  <c r="AB203" i="27"/>
  <c r="AB195" i="27"/>
  <c r="AC182" i="27"/>
  <c r="AB181" i="27"/>
  <c r="AC178" i="27"/>
  <c r="K71" i="27"/>
  <c r="C39" i="31" s="1"/>
  <c r="D39" i="31" s="1"/>
  <c r="K72" i="27"/>
  <c r="C40" i="31" s="1"/>
  <c r="D40" i="31" s="1"/>
  <c r="K70" i="27"/>
  <c r="W29" i="27"/>
  <c r="K11" i="27"/>
  <c r="K10" i="27"/>
  <c r="C9" i="31" s="1"/>
  <c r="D9" i="31" s="1"/>
  <c r="X186" i="27" l="1"/>
  <c r="Z186" i="27"/>
  <c r="T186" i="27"/>
  <c r="Y186" i="27"/>
  <c r="Z186" i="30"/>
  <c r="Y186" i="30"/>
  <c r="AB186" i="30" s="1"/>
  <c r="X186" i="30"/>
  <c r="AA186" i="30" s="1"/>
  <c r="T186" i="30"/>
  <c r="G20" i="28"/>
  <c r="H4" i="28"/>
  <c r="Q8" i="28"/>
  <c r="Y20" i="28"/>
  <c r="Y21" i="28" s="1"/>
  <c r="Y7" i="28" s="1"/>
  <c r="Y12" i="28" s="1"/>
  <c r="S72" i="29"/>
  <c r="T8" i="28"/>
  <c r="I20" i="28"/>
  <c r="X5" i="28"/>
  <c r="X9" i="28" s="1"/>
  <c r="Z72" i="29"/>
  <c r="H5" i="28"/>
  <c r="H9" i="28" s="1"/>
  <c r="I5" i="28"/>
  <c r="I9" i="28" s="1"/>
  <c r="Z69" i="28"/>
  <c r="L8" i="28"/>
  <c r="C4" i="28"/>
  <c r="C2" i="28" s="1"/>
  <c r="Q20" i="28"/>
  <c r="Q21" i="28" s="1"/>
  <c r="Q7" i="28" s="1"/>
  <c r="Q12" i="28" s="1"/>
  <c r="K8" i="28"/>
  <c r="S8" i="28"/>
  <c r="BB90" i="31"/>
  <c r="BR90" i="31"/>
  <c r="CM90" i="31"/>
  <c r="BA28" i="29"/>
  <c r="BL28" i="29"/>
  <c r="BD90" i="31"/>
  <c r="CN90" i="31"/>
  <c r="CP90" i="31"/>
  <c r="BF90" i="31"/>
  <c r="BD28" i="29"/>
  <c r="BO28" i="29"/>
  <c r="BI90" i="31"/>
  <c r="CB90" i="31"/>
  <c r="CR90" i="31"/>
  <c r="BM28" i="29"/>
  <c r="BF28" i="29"/>
  <c r="BP28" i="29"/>
  <c r="CW90" i="31"/>
  <c r="BJ90" i="31"/>
  <c r="CE90" i="31"/>
  <c r="CU90" i="31"/>
  <c r="CT90" i="31"/>
  <c r="AV28" i="29"/>
  <c r="BG28" i="29"/>
  <c r="BQ28" i="29"/>
  <c r="AV90" i="31"/>
  <c r="BL90" i="31"/>
  <c r="CF90" i="31"/>
  <c r="CV90" i="31"/>
  <c r="AX28" i="29"/>
  <c r="BH28" i="29"/>
  <c r="AX90" i="31"/>
  <c r="BN90" i="31"/>
  <c r="CH90" i="31"/>
  <c r="U34" i="27"/>
  <c r="T208" i="30"/>
  <c r="AI208" i="30" s="1"/>
  <c r="Z208" i="30"/>
  <c r="AC208" i="30" s="1"/>
  <c r="Y208" i="30"/>
  <c r="AB208" i="30" s="1"/>
  <c r="X208" i="30"/>
  <c r="AA208" i="30" s="1"/>
  <c r="C160" i="30"/>
  <c r="C159" i="30"/>
  <c r="C158" i="30"/>
  <c r="C161" i="30"/>
  <c r="Z189" i="30"/>
  <c r="AC189" i="30" s="1"/>
  <c r="T189" i="30"/>
  <c r="U189" i="30" s="1"/>
  <c r="Y189" i="30"/>
  <c r="AB189" i="30" s="1"/>
  <c r="X189" i="30"/>
  <c r="AA189" i="30" s="1"/>
  <c r="Y189" i="27"/>
  <c r="AB189" i="27" s="1"/>
  <c r="X189" i="27"/>
  <c r="AA189" i="27" s="1"/>
  <c r="Z189" i="27"/>
  <c r="AC189" i="27" s="1"/>
  <c r="T189" i="27"/>
  <c r="Z171" i="27"/>
  <c r="AC171" i="27" s="1"/>
  <c r="Y171" i="27"/>
  <c r="AB171" i="27" s="1"/>
  <c r="X171" i="27"/>
  <c r="AA171" i="27" s="1"/>
  <c r="T171" i="27"/>
  <c r="V171" i="27" s="1"/>
  <c r="Z173" i="30"/>
  <c r="AC173" i="30" s="1"/>
  <c r="Y173" i="30"/>
  <c r="AB173" i="30" s="1"/>
  <c r="X173" i="30"/>
  <c r="AA173" i="30" s="1"/>
  <c r="T173" i="30"/>
  <c r="X172" i="27"/>
  <c r="AA172" i="27" s="1"/>
  <c r="Y172" i="27"/>
  <c r="AB172" i="27" s="1"/>
  <c r="T172" i="27"/>
  <c r="W172" i="27" s="1"/>
  <c r="Z172" i="27"/>
  <c r="AC172" i="27" s="1"/>
  <c r="T170" i="30"/>
  <c r="Z170" i="30"/>
  <c r="AC170" i="30" s="1"/>
  <c r="Y170" i="30"/>
  <c r="AB170" i="30" s="1"/>
  <c r="X170" i="30"/>
  <c r="AA170" i="30" s="1"/>
  <c r="Z174" i="30"/>
  <c r="Y174" i="30"/>
  <c r="AB174" i="30" s="1"/>
  <c r="X174" i="30"/>
  <c r="AA174" i="30" s="1"/>
  <c r="T174" i="30"/>
  <c r="AI174" i="30" s="1"/>
  <c r="T173" i="27"/>
  <c r="Z173" i="27"/>
  <c r="AC173" i="27" s="1"/>
  <c r="Y173" i="27"/>
  <c r="AB173" i="27" s="1"/>
  <c r="X173" i="27"/>
  <c r="Z171" i="30"/>
  <c r="AC171" i="30" s="1"/>
  <c r="Y171" i="30"/>
  <c r="AB171" i="30" s="1"/>
  <c r="X171" i="30"/>
  <c r="AA171" i="30" s="1"/>
  <c r="T171" i="30"/>
  <c r="Z170" i="27"/>
  <c r="AC170" i="27" s="1"/>
  <c r="T170" i="27"/>
  <c r="V170" i="27" s="1"/>
  <c r="Y170" i="27"/>
  <c r="AB170" i="27" s="1"/>
  <c r="X170" i="27"/>
  <c r="AA170" i="27" s="1"/>
  <c r="Z174" i="27"/>
  <c r="AC174" i="27" s="1"/>
  <c r="T174" i="27"/>
  <c r="Y174" i="27"/>
  <c r="X174" i="27"/>
  <c r="AA174" i="27" s="1"/>
  <c r="X172" i="30"/>
  <c r="AA172" i="30" s="1"/>
  <c r="Y172" i="30"/>
  <c r="AB172" i="30" s="1"/>
  <c r="Z172" i="30"/>
  <c r="AC172" i="30" s="1"/>
  <c r="T172" i="30"/>
  <c r="T167" i="27"/>
  <c r="Z167" i="27"/>
  <c r="AC167" i="27" s="1"/>
  <c r="Y167" i="27"/>
  <c r="AB167" i="27" s="1"/>
  <c r="X167" i="27"/>
  <c r="AA167" i="27" s="1"/>
  <c r="X165" i="30"/>
  <c r="AA165" i="30" s="1"/>
  <c r="Z165" i="30"/>
  <c r="Y165" i="30"/>
  <c r="AB165" i="30" s="1"/>
  <c r="T165" i="30"/>
  <c r="Y169" i="30"/>
  <c r="X169" i="30"/>
  <c r="AA169" i="30" s="1"/>
  <c r="T169" i="30"/>
  <c r="U169" i="30" s="1"/>
  <c r="Z169" i="30"/>
  <c r="AC169" i="30" s="1"/>
  <c r="X164" i="27"/>
  <c r="AA164" i="27" s="1"/>
  <c r="T164" i="27"/>
  <c r="U164" i="27" s="1"/>
  <c r="Z164" i="27"/>
  <c r="AC164" i="27" s="1"/>
  <c r="Y164" i="27"/>
  <c r="T168" i="27"/>
  <c r="Z168" i="27"/>
  <c r="AC168" i="27" s="1"/>
  <c r="Y168" i="27"/>
  <c r="AB168" i="27" s="1"/>
  <c r="X168" i="27"/>
  <c r="AA168" i="27" s="1"/>
  <c r="Z166" i="30"/>
  <c r="AC166" i="30" s="1"/>
  <c r="Y166" i="30"/>
  <c r="AB166" i="30" s="1"/>
  <c r="X166" i="30"/>
  <c r="AA166" i="30" s="1"/>
  <c r="T166" i="30"/>
  <c r="AG166" i="30" s="1"/>
  <c r="Z165" i="27"/>
  <c r="AC165" i="27" s="1"/>
  <c r="T165" i="27"/>
  <c r="Y165" i="27"/>
  <c r="AB165" i="27" s="1"/>
  <c r="X165" i="27"/>
  <c r="AA165" i="27" s="1"/>
  <c r="Y169" i="27"/>
  <c r="AB169" i="27" s="1"/>
  <c r="X169" i="27"/>
  <c r="Z169" i="27"/>
  <c r="AC169" i="27" s="1"/>
  <c r="T169" i="27"/>
  <c r="Z167" i="30"/>
  <c r="T167" i="30"/>
  <c r="Y167" i="30"/>
  <c r="AB167" i="30" s="1"/>
  <c r="X167" i="30"/>
  <c r="AA167" i="30" s="1"/>
  <c r="Z166" i="27"/>
  <c r="AC166" i="27" s="1"/>
  <c r="AE166" i="27" s="1"/>
  <c r="Y166" i="27"/>
  <c r="AB166" i="27" s="1"/>
  <c r="X166" i="27"/>
  <c r="AA166" i="27" s="1"/>
  <c r="T166" i="27"/>
  <c r="X164" i="30"/>
  <c r="T164" i="30"/>
  <c r="V164" i="30" s="1"/>
  <c r="Z164" i="30"/>
  <c r="AC164" i="30" s="1"/>
  <c r="Y164" i="30"/>
  <c r="AB164" i="30" s="1"/>
  <c r="Z168" i="30"/>
  <c r="AC168" i="30" s="1"/>
  <c r="Y168" i="30"/>
  <c r="AB168" i="30" s="1"/>
  <c r="X168" i="30"/>
  <c r="AA168" i="30" s="1"/>
  <c r="T168" i="30"/>
  <c r="C186" i="31"/>
  <c r="D186" i="31" s="1"/>
  <c r="AJ217" i="31" s="1"/>
  <c r="T273" i="30"/>
  <c r="X273" i="30" s="1"/>
  <c r="AJ181" i="30"/>
  <c r="V191" i="30"/>
  <c r="U199" i="30"/>
  <c r="V207" i="30"/>
  <c r="W191" i="30"/>
  <c r="V199" i="30"/>
  <c r="W207" i="30"/>
  <c r="AI191" i="30"/>
  <c r="AE183" i="30"/>
  <c r="U215" i="30"/>
  <c r="U223" i="30"/>
  <c r="V215" i="30"/>
  <c r="V223" i="30"/>
  <c r="W215" i="30"/>
  <c r="W223" i="30"/>
  <c r="W183" i="30"/>
  <c r="J166" i="30"/>
  <c r="C234" i="31" s="1"/>
  <c r="D234" i="31" s="1"/>
  <c r="AF181" i="27"/>
  <c r="AF183" i="30"/>
  <c r="W220" i="30"/>
  <c r="C144" i="31"/>
  <c r="AC174" i="30"/>
  <c r="U129" i="31"/>
  <c r="W176" i="27"/>
  <c r="AE191" i="30"/>
  <c r="AE199" i="30"/>
  <c r="AE207" i="30"/>
  <c r="AE215" i="30"/>
  <c r="AE223" i="30"/>
  <c r="AI200" i="30"/>
  <c r="C142" i="31"/>
  <c r="AE204" i="30"/>
  <c r="AE212" i="30"/>
  <c r="AI131" i="30"/>
  <c r="AI143" i="30"/>
  <c r="AI137" i="30"/>
  <c r="AI177" i="30"/>
  <c r="V202" i="30"/>
  <c r="AJ184" i="30"/>
  <c r="AE176" i="30"/>
  <c r="V179" i="27"/>
  <c r="V39" i="30"/>
  <c r="F73" i="29"/>
  <c r="B110" i="29" s="1"/>
  <c r="C113" i="31"/>
  <c r="D113" i="31" s="1"/>
  <c r="AC188" i="30"/>
  <c r="AG188" i="30" s="1"/>
  <c r="V188" i="30"/>
  <c r="AB188" i="30"/>
  <c r="C143" i="31"/>
  <c r="AI180" i="27"/>
  <c r="AO190" i="31"/>
  <c r="AC48" i="30"/>
  <c r="AF180" i="27"/>
  <c r="V205" i="27"/>
  <c r="AF191" i="27"/>
  <c r="AG191" i="27"/>
  <c r="AC47" i="30"/>
  <c r="U207" i="27"/>
  <c r="AG181" i="27"/>
  <c r="AC51" i="30"/>
  <c r="Y28" i="27"/>
  <c r="V204" i="30"/>
  <c r="Z28" i="27"/>
  <c r="U181" i="27"/>
  <c r="AF198" i="27"/>
  <c r="AG207" i="27"/>
  <c r="V212" i="30"/>
  <c r="C145" i="31"/>
  <c r="AF196" i="30"/>
  <c r="AI207" i="27"/>
  <c r="AG180" i="30"/>
  <c r="V196" i="30"/>
  <c r="V41" i="30"/>
  <c r="AB188" i="27"/>
  <c r="AH93" i="30"/>
  <c r="AX93" i="30"/>
  <c r="Y3" i="28"/>
  <c r="Y2" i="28" s="1"/>
  <c r="F69" i="29"/>
  <c r="AC187" i="30"/>
  <c r="AC188" i="27"/>
  <c r="AF188" i="27" s="1"/>
  <c r="CF160" i="31"/>
  <c r="CF161" i="31" s="1"/>
  <c r="CF162" i="31" s="1"/>
  <c r="CN160" i="31"/>
  <c r="CN161" i="31" s="1"/>
  <c r="CN162" i="31" s="1"/>
  <c r="CV160" i="31"/>
  <c r="CV161" i="31" s="1"/>
  <c r="CV162" i="31" s="1"/>
  <c r="DI160" i="31"/>
  <c r="DI161" i="31" s="1"/>
  <c r="DI162" i="31" s="1"/>
  <c r="DY160" i="31"/>
  <c r="DY161" i="31" s="1"/>
  <c r="DY162" i="31" s="1"/>
  <c r="CC160" i="31"/>
  <c r="CC161" i="31" s="1"/>
  <c r="CC162" i="31" s="1"/>
  <c r="CK160" i="31"/>
  <c r="CK161" i="31" s="1"/>
  <c r="CK162" i="31" s="1"/>
  <c r="CS160" i="31"/>
  <c r="CS161" i="31" s="1"/>
  <c r="CS162" i="31" s="1"/>
  <c r="DQ160" i="31"/>
  <c r="DQ161" i="31" s="1"/>
  <c r="DQ162" i="31" s="1"/>
  <c r="BI15" i="29"/>
  <c r="AX99" i="29"/>
  <c r="AX100" i="29" s="1"/>
  <c r="AX101" i="29" s="1"/>
  <c r="BF99" i="29"/>
  <c r="BF100" i="29" s="1"/>
  <c r="BF101" i="29" s="1"/>
  <c r="BN99" i="29"/>
  <c r="Z257" i="30"/>
  <c r="N69" i="28"/>
  <c r="BI91" i="29"/>
  <c r="S69" i="28"/>
  <c r="BA90" i="29"/>
  <c r="BD15" i="29"/>
  <c r="BD91" i="29"/>
  <c r="BD99" i="29" s="1"/>
  <c r="BD100" i="29" s="1"/>
  <c r="BD101" i="29" s="1"/>
  <c r="E70" i="28"/>
  <c r="K70" i="28"/>
  <c r="D69" i="28"/>
  <c r="V69" i="28"/>
  <c r="M70" i="28"/>
  <c r="Q70" i="28"/>
  <c r="E69" i="28"/>
  <c r="W69" i="28"/>
  <c r="R70" i="28"/>
  <c r="S70" i="28"/>
  <c r="J69" i="28"/>
  <c r="U70" i="28"/>
  <c r="M69" i="28"/>
  <c r="C70" i="28"/>
  <c r="Y70" i="28"/>
  <c r="P69" i="28"/>
  <c r="I70" i="28"/>
  <c r="H70" i="28"/>
  <c r="W71" i="28"/>
  <c r="AV15" i="29"/>
  <c r="C68" i="28"/>
  <c r="K68" i="28"/>
  <c r="N68" i="28"/>
  <c r="S68" i="28"/>
  <c r="G77" i="28"/>
  <c r="K77" i="28"/>
  <c r="R77" i="28"/>
  <c r="T77" i="28"/>
  <c r="W77" i="28"/>
  <c r="AJ100" i="30"/>
  <c r="AD175" i="27"/>
  <c r="AE188" i="30"/>
  <c r="AE196" i="30"/>
  <c r="AO89" i="30"/>
  <c r="BK105" i="30"/>
  <c r="BS105" i="30"/>
  <c r="DN70" i="30"/>
  <c r="DV70" i="30"/>
  <c r="DN72" i="30"/>
  <c r="DV72" i="30"/>
  <c r="DN74" i="30"/>
  <c r="DV74" i="30"/>
  <c r="DN76" i="30"/>
  <c r="DV76" i="30"/>
  <c r="DN77" i="30"/>
  <c r="DV77" i="30"/>
  <c r="DN78" i="30"/>
  <c r="DV78" i="30"/>
  <c r="C10" i="31"/>
  <c r="D10" i="31" s="1"/>
  <c r="CI99" i="29"/>
  <c r="AU90" i="30"/>
  <c r="C32" i="28"/>
  <c r="BM78" i="29"/>
  <c r="BK90" i="30"/>
  <c r="AB96" i="30"/>
  <c r="Y31" i="27"/>
  <c r="Z31" i="27"/>
  <c r="F21" i="28"/>
  <c r="F7" i="28" s="1"/>
  <c r="F12" i="28" s="1"/>
  <c r="CC99" i="29"/>
  <c r="CC100" i="29" s="1"/>
  <c r="CC101" i="29" s="1"/>
  <c r="CS99" i="29"/>
  <c r="DF99" i="29"/>
  <c r="DN99" i="29"/>
  <c r="DV99" i="29"/>
  <c r="DF61" i="29"/>
  <c r="BB79" i="29"/>
  <c r="AR96" i="30"/>
  <c r="AD99" i="30"/>
  <c r="AC106" i="30"/>
  <c r="AL98" i="30"/>
  <c r="O21" i="28"/>
  <c r="O7" i="28" s="1"/>
  <c r="O12" i="28" s="1"/>
  <c r="N21" i="28"/>
  <c r="N7" i="28" s="1"/>
  <c r="N12" i="28" s="1"/>
  <c r="D42" i="28"/>
  <c r="D28" i="28" s="1"/>
  <c r="AU120" i="31"/>
  <c r="AU59" i="29"/>
  <c r="BS99" i="29"/>
  <c r="CD99" i="29"/>
  <c r="CL99" i="29"/>
  <c r="CT99" i="29"/>
  <c r="DY79" i="29"/>
  <c r="AG34" i="30"/>
  <c r="AK91" i="30"/>
  <c r="AV96" i="30"/>
  <c r="AJ99" i="30"/>
  <c r="AC105" i="30"/>
  <c r="AK106" i="30"/>
  <c r="CH160" i="31"/>
  <c r="CH161" i="31" s="1"/>
  <c r="CH162" i="31" s="1"/>
  <c r="CP160" i="31"/>
  <c r="CP161" i="31" s="1"/>
  <c r="CP162" i="31" s="1"/>
  <c r="CX160" i="31"/>
  <c r="CX161" i="31" s="1"/>
  <c r="CX162" i="31" s="1"/>
  <c r="BO73" i="29"/>
  <c r="I21" i="28"/>
  <c r="I7" i="28" s="1"/>
  <c r="I12" i="28" s="1"/>
  <c r="V21" i="28"/>
  <c r="V7" i="28" s="1"/>
  <c r="V12" i="28" s="1"/>
  <c r="CA120" i="31"/>
  <c r="CA59" i="29"/>
  <c r="BC99" i="29"/>
  <c r="BC100" i="29" s="1"/>
  <c r="BC101" i="29" s="1"/>
  <c r="BK99" i="29"/>
  <c r="DN80" i="29"/>
  <c r="AX96" i="30"/>
  <c r="BF99" i="30"/>
  <c r="AE105" i="30"/>
  <c r="L2" i="28"/>
  <c r="K73" i="27"/>
  <c r="C38" i="31"/>
  <c r="D38" i="31" s="1"/>
  <c r="W21" i="28"/>
  <c r="W7" i="28" s="1"/>
  <c r="W12" i="28" s="1"/>
  <c r="C42" i="28"/>
  <c r="C28" i="28" s="1"/>
  <c r="L42" i="28"/>
  <c r="L28" i="28" s="1"/>
  <c r="DD59" i="29"/>
  <c r="DD120" i="31"/>
  <c r="AY69" i="29"/>
  <c r="BL99" i="29"/>
  <c r="BL100" i="29" s="1"/>
  <c r="BL101" i="29" s="1"/>
  <c r="CV99" i="29"/>
  <c r="DI99" i="29"/>
  <c r="DQ99" i="29"/>
  <c r="DQ100" i="29" s="1"/>
  <c r="DQ101" i="29" s="1"/>
  <c r="DY99" i="29"/>
  <c r="CL65" i="29"/>
  <c r="BH96" i="30"/>
  <c r="BP99" i="30"/>
  <c r="AM105" i="30"/>
  <c r="CT71" i="29"/>
  <c r="G21" i="28"/>
  <c r="G7" i="28" s="1"/>
  <c r="G12" i="28" s="1"/>
  <c r="BM99" i="29"/>
  <c r="BM100" i="29" s="1"/>
  <c r="BM101" i="29" s="1"/>
  <c r="BI105" i="30"/>
  <c r="CB160" i="31"/>
  <c r="CB161" i="31" s="1"/>
  <c r="CB162" i="31" s="1"/>
  <c r="CJ160" i="31"/>
  <c r="CJ161" i="31" s="1"/>
  <c r="CJ162" i="31" s="1"/>
  <c r="CR160" i="31"/>
  <c r="CR161" i="31" s="1"/>
  <c r="CR162" i="31" s="1"/>
  <c r="DE160" i="31"/>
  <c r="DE161" i="31" s="1"/>
  <c r="DE162" i="31" s="1"/>
  <c r="DM160" i="31"/>
  <c r="DM161" i="31" s="1"/>
  <c r="DM162" i="31" s="1"/>
  <c r="DU160" i="31"/>
  <c r="DU161" i="31" s="1"/>
  <c r="DU162" i="31" s="1"/>
  <c r="U75" i="28"/>
  <c r="M75" i="28"/>
  <c r="E75" i="28"/>
  <c r="T75" i="28"/>
  <c r="L75" i="28"/>
  <c r="D75" i="28"/>
  <c r="Z75" i="28"/>
  <c r="R75" i="28"/>
  <c r="J75" i="28"/>
  <c r="Q75" i="28"/>
  <c r="F75" i="28"/>
  <c r="P75" i="28"/>
  <c r="C75" i="28"/>
  <c r="Y75" i="28"/>
  <c r="N75" i="28"/>
  <c r="X75" i="28"/>
  <c r="K75" i="28"/>
  <c r="W75" i="28"/>
  <c r="I75" i="28"/>
  <c r="V75" i="28"/>
  <c r="H75" i="28"/>
  <c r="G75" i="28"/>
  <c r="S75" i="28"/>
  <c r="U71" i="28"/>
  <c r="M71" i="28"/>
  <c r="E71" i="28"/>
  <c r="T71" i="28"/>
  <c r="L71" i="28"/>
  <c r="D71" i="28"/>
  <c r="Z71" i="28"/>
  <c r="R71" i="28"/>
  <c r="J71" i="28"/>
  <c r="Y71" i="28"/>
  <c r="N71" i="28"/>
  <c r="X71" i="28"/>
  <c r="K71" i="28"/>
  <c r="V71" i="28"/>
  <c r="H71" i="28"/>
  <c r="S71" i="28"/>
  <c r="G71" i="28"/>
  <c r="Q71" i="28"/>
  <c r="F71" i="28"/>
  <c r="P71" i="28"/>
  <c r="C71" i="28"/>
  <c r="U68" i="28"/>
  <c r="M68" i="28"/>
  <c r="E68" i="28"/>
  <c r="T68" i="28"/>
  <c r="L68" i="28"/>
  <c r="D68" i="28"/>
  <c r="Z68" i="28"/>
  <c r="R68" i="28"/>
  <c r="J68" i="28"/>
  <c r="Y68" i="28"/>
  <c r="Q68" i="28"/>
  <c r="I68" i="28"/>
  <c r="X68" i="28"/>
  <c r="P68" i="28"/>
  <c r="H68" i="28"/>
  <c r="W68" i="28"/>
  <c r="O68" i="28"/>
  <c r="G68" i="28"/>
  <c r="I71" i="28"/>
  <c r="F68" i="28"/>
  <c r="O71" i="28"/>
  <c r="C116" i="28"/>
  <c r="C38" i="28" s="1"/>
  <c r="F69" i="28"/>
  <c r="O69" i="28"/>
  <c r="J70" i="28"/>
  <c r="T70" i="28"/>
  <c r="L73" i="28"/>
  <c r="S77" i="28"/>
  <c r="Z116" i="28"/>
  <c r="R116" i="28"/>
  <c r="J116" i="28"/>
  <c r="Y116" i="28"/>
  <c r="Q116" i="28"/>
  <c r="I116" i="28"/>
  <c r="X116" i="28"/>
  <c r="X38" i="28" s="1"/>
  <c r="P116" i="28"/>
  <c r="H116" i="28"/>
  <c r="W116" i="28"/>
  <c r="O116" i="28"/>
  <c r="G116" i="28"/>
  <c r="U116" i="28"/>
  <c r="M116" i="28"/>
  <c r="E116" i="28"/>
  <c r="Y69" i="28"/>
  <c r="Q69" i="28"/>
  <c r="I69" i="28"/>
  <c r="X69" i="28"/>
  <c r="Y73" i="28"/>
  <c r="Q73" i="28"/>
  <c r="I73" i="28"/>
  <c r="X73" i="28"/>
  <c r="P73" i="28"/>
  <c r="H73" i="28"/>
  <c r="V73" i="28"/>
  <c r="N73" i="28"/>
  <c r="F73" i="28"/>
  <c r="F116" i="28"/>
  <c r="Z159" i="28"/>
  <c r="R159" i="28"/>
  <c r="R61" i="28" s="1"/>
  <c r="R48" i="28" s="1"/>
  <c r="J159" i="28"/>
  <c r="Y159" i="28"/>
  <c r="Q159" i="28"/>
  <c r="I159" i="28"/>
  <c r="X159" i="28"/>
  <c r="P159" i="28"/>
  <c r="H159" i="28"/>
  <c r="W159" i="28"/>
  <c r="O159" i="28"/>
  <c r="G159" i="28"/>
  <c r="V159" i="28"/>
  <c r="N159" i="28"/>
  <c r="F159" i="28"/>
  <c r="U159" i="28"/>
  <c r="M159" i="28"/>
  <c r="E159" i="28"/>
  <c r="T159" i="28"/>
  <c r="L159" i="28"/>
  <c r="D159" i="28"/>
  <c r="S159" i="28"/>
  <c r="K159" i="28"/>
  <c r="C159" i="28"/>
  <c r="H69" i="28"/>
  <c r="R69" i="28"/>
  <c r="L70" i="28"/>
  <c r="X70" i="28"/>
  <c r="C73" i="28"/>
  <c r="O73" i="28"/>
  <c r="W74" i="28"/>
  <c r="O74" i="28"/>
  <c r="G74" i="28"/>
  <c r="V74" i="28"/>
  <c r="N74" i="28"/>
  <c r="F74" i="28"/>
  <c r="T74" i="28"/>
  <c r="L74" i="28"/>
  <c r="D74" i="28"/>
  <c r="J77" i="28"/>
  <c r="U77" i="28"/>
  <c r="K116" i="28"/>
  <c r="K37" i="28" s="1"/>
  <c r="K69" i="28"/>
  <c r="T69" i="28"/>
  <c r="D70" i="28"/>
  <c r="P70" i="28"/>
  <c r="E73" i="28"/>
  <c r="S73" i="28"/>
  <c r="L77" i="28"/>
  <c r="N116" i="28"/>
  <c r="C69" i="28"/>
  <c r="L69" i="28"/>
  <c r="U69" i="28"/>
  <c r="W70" i="28"/>
  <c r="O70" i="28"/>
  <c r="G70" i="28"/>
  <c r="V70" i="28"/>
  <c r="N70" i="28"/>
  <c r="F70" i="28"/>
  <c r="G73" i="28"/>
  <c r="T73" i="28"/>
  <c r="Y77" i="28"/>
  <c r="Q77" i="28"/>
  <c r="I77" i="28"/>
  <c r="X77" i="28"/>
  <c r="P77" i="28"/>
  <c r="H77" i="28"/>
  <c r="V77" i="28"/>
  <c r="N77" i="28"/>
  <c r="F77" i="28"/>
  <c r="Z112" i="28"/>
  <c r="R112" i="28"/>
  <c r="J112" i="28"/>
  <c r="Y112" i="28"/>
  <c r="Q112" i="28"/>
  <c r="I112" i="28"/>
  <c r="X112" i="28"/>
  <c r="P112" i="28"/>
  <c r="H112" i="28"/>
  <c r="W112" i="28"/>
  <c r="O112" i="28"/>
  <c r="G112" i="28"/>
  <c r="U112" i="28"/>
  <c r="M112" i="28"/>
  <c r="E112" i="28"/>
  <c r="S116" i="28"/>
  <c r="S41" i="28" s="1"/>
  <c r="E113" i="28"/>
  <c r="M113" i="28"/>
  <c r="U113" i="28"/>
  <c r="E117" i="28"/>
  <c r="M117" i="28"/>
  <c r="U117" i="28"/>
  <c r="C155" i="28"/>
  <c r="F113" i="28"/>
  <c r="N113" i="28"/>
  <c r="V113" i="28"/>
  <c r="F117" i="28"/>
  <c r="N117" i="28"/>
  <c r="V117" i="28"/>
  <c r="G113" i="28"/>
  <c r="O113" i="28"/>
  <c r="W113" i="28"/>
  <c r="M114" i="28"/>
  <c r="G117" i="28"/>
  <c r="O117" i="28"/>
  <c r="W117" i="28"/>
  <c r="M118" i="28"/>
  <c r="U118" i="28"/>
  <c r="H113" i="28"/>
  <c r="P113" i="28"/>
  <c r="H117" i="28"/>
  <c r="P117" i="28"/>
  <c r="N118" i="28"/>
  <c r="Z155" i="28"/>
  <c r="Z59" i="28" s="1"/>
  <c r="R155" i="28"/>
  <c r="J155" i="28"/>
  <c r="Y155" i="28"/>
  <c r="Q155" i="28"/>
  <c r="I155" i="28"/>
  <c r="X155" i="28"/>
  <c r="P155" i="28"/>
  <c r="H155" i="28"/>
  <c r="W155" i="28"/>
  <c r="O155" i="28"/>
  <c r="G155" i="28"/>
  <c r="V155" i="28"/>
  <c r="N155" i="28"/>
  <c r="F155" i="28"/>
  <c r="U155" i="28"/>
  <c r="M155" i="28"/>
  <c r="E155" i="28"/>
  <c r="T155" i="28"/>
  <c r="L155" i="28"/>
  <c r="D155" i="28"/>
  <c r="H153" i="28"/>
  <c r="P153" i="28"/>
  <c r="X153" i="28"/>
  <c r="H157" i="28"/>
  <c r="P157" i="28"/>
  <c r="X157" i="28"/>
  <c r="V158" i="28"/>
  <c r="J160" i="28"/>
  <c r="R160" i="28"/>
  <c r="H161" i="28"/>
  <c r="P161" i="28"/>
  <c r="X161" i="28"/>
  <c r="F162" i="28"/>
  <c r="N162" i="28"/>
  <c r="V162" i="28"/>
  <c r="I153" i="28"/>
  <c r="Q153" i="28"/>
  <c r="Y153" i="28"/>
  <c r="I157" i="28"/>
  <c r="Q157" i="28"/>
  <c r="Y157" i="28"/>
  <c r="O158" i="28"/>
  <c r="W158" i="28"/>
  <c r="I161" i="28"/>
  <c r="Q161" i="28"/>
  <c r="Y161" i="28"/>
  <c r="O162" i="28"/>
  <c r="W162" i="28"/>
  <c r="J153" i="28"/>
  <c r="R153" i="28"/>
  <c r="Z153" i="28"/>
  <c r="J157" i="28"/>
  <c r="R157" i="28"/>
  <c r="Z157" i="28"/>
  <c r="X158" i="28"/>
  <c r="J161" i="28"/>
  <c r="R161" i="28"/>
  <c r="Z161" i="28"/>
  <c r="P162" i="28"/>
  <c r="X162" i="28"/>
  <c r="Y162" i="28"/>
  <c r="D157" i="28"/>
  <c r="L157" i="28"/>
  <c r="T157" i="28"/>
  <c r="R158" i="28"/>
  <c r="Z158" i="28"/>
  <c r="D161" i="28"/>
  <c r="L161" i="28"/>
  <c r="T161" i="28"/>
  <c r="Z162" i="28"/>
  <c r="E153" i="28"/>
  <c r="M153" i="28"/>
  <c r="U153" i="28"/>
  <c r="E157" i="28"/>
  <c r="M157" i="28"/>
  <c r="U157" i="28"/>
  <c r="U161" i="28"/>
  <c r="N153" i="28"/>
  <c r="F157" i="28"/>
  <c r="N157" i="28"/>
  <c r="F161" i="28"/>
  <c r="N161" i="28"/>
  <c r="W179" i="27"/>
  <c r="U187" i="27"/>
  <c r="BS90" i="30"/>
  <c r="BA91" i="30"/>
  <c r="AU93" i="30"/>
  <c r="AY96" i="30"/>
  <c r="AD97" i="30"/>
  <c r="BT97" i="30"/>
  <c r="BH98" i="30"/>
  <c r="AH99" i="30"/>
  <c r="BH99" i="30"/>
  <c r="AK105" i="30"/>
  <c r="BQ105" i="30"/>
  <c r="AI106" i="30"/>
  <c r="X240" i="30"/>
  <c r="CG160" i="31"/>
  <c r="CG161" i="31" s="1"/>
  <c r="CG162" i="31" s="1"/>
  <c r="CO160" i="31"/>
  <c r="CO161" i="31" s="1"/>
  <c r="CO162" i="31" s="1"/>
  <c r="CW160" i="31"/>
  <c r="CW161" i="31" s="1"/>
  <c r="CW162" i="31" s="1"/>
  <c r="DJ160" i="31"/>
  <c r="DJ161" i="31" s="1"/>
  <c r="DJ162" i="31" s="1"/>
  <c r="DR160" i="31"/>
  <c r="DR161" i="31" s="1"/>
  <c r="DR162" i="31" s="1"/>
  <c r="DZ160" i="31"/>
  <c r="DZ161" i="31" s="1"/>
  <c r="DZ162" i="31" s="1"/>
  <c r="V187" i="27"/>
  <c r="AC195" i="27"/>
  <c r="AE195" i="27" s="1"/>
  <c r="BI91" i="30"/>
  <c r="AF97" i="30"/>
  <c r="BV97" i="30"/>
  <c r="AI179" i="27"/>
  <c r="W187" i="27"/>
  <c r="AC203" i="27"/>
  <c r="AE203" i="27" s="1"/>
  <c r="BQ91" i="30"/>
  <c r="BK93" i="30"/>
  <c r="AF96" i="30"/>
  <c r="BN96" i="30"/>
  <c r="AH97" i="30"/>
  <c r="AL99" i="30"/>
  <c r="BR99" i="30"/>
  <c r="AP100" i="30"/>
  <c r="AQ103" i="30"/>
  <c r="AS105" i="30"/>
  <c r="AQ106" i="30"/>
  <c r="AB206" i="30"/>
  <c r="DL160" i="31"/>
  <c r="DL161" i="31" s="1"/>
  <c r="DL162" i="31" s="1"/>
  <c r="DT160" i="31"/>
  <c r="DT161" i="31" s="1"/>
  <c r="DT162" i="31" s="1"/>
  <c r="EB160" i="31"/>
  <c r="EB161" i="31" s="1"/>
  <c r="EB162" i="31" s="1"/>
  <c r="AE90" i="30"/>
  <c r="BN93" i="30"/>
  <c r="AH96" i="30"/>
  <c r="AV97" i="30"/>
  <c r="AT99" i="30"/>
  <c r="BV99" i="30"/>
  <c r="BF100" i="30"/>
  <c r="AU105" i="30"/>
  <c r="BI106" i="30"/>
  <c r="AB174" i="27"/>
  <c r="AC179" i="27"/>
  <c r="AE179" i="27" s="1"/>
  <c r="AG195" i="27"/>
  <c r="AM90" i="30"/>
  <c r="AI96" i="30"/>
  <c r="AX97" i="30"/>
  <c r="AX99" i="30"/>
  <c r="BL100" i="30"/>
  <c r="BA105" i="30"/>
  <c r="BO106" i="30"/>
  <c r="BR97" i="30"/>
  <c r="BB97" i="30"/>
  <c r="AZ99" i="30"/>
  <c r="BC105" i="30"/>
  <c r="BQ106" i="30"/>
  <c r="AC187" i="27"/>
  <c r="AE187" i="27" s="1"/>
  <c r="BC90" i="30"/>
  <c r="AE93" i="30"/>
  <c r="AB99" i="30"/>
  <c r="BB99" i="30"/>
  <c r="K111" i="30"/>
  <c r="DH160" i="31"/>
  <c r="DH161" i="31" s="1"/>
  <c r="DH162" i="31" s="1"/>
  <c r="DP160" i="31"/>
  <c r="DP161" i="31" s="1"/>
  <c r="DP162" i="31" s="1"/>
  <c r="DX160" i="31"/>
  <c r="DX161" i="31" s="1"/>
  <c r="DX162" i="31" s="1"/>
  <c r="T41" i="28"/>
  <c r="T40" i="28"/>
  <c r="T27" i="28" s="1"/>
  <c r="T38" i="28"/>
  <c r="T37" i="28"/>
  <c r="T36" i="28"/>
  <c r="K2" i="28"/>
  <c r="S2" i="28"/>
  <c r="Q2" i="28"/>
  <c r="K59" i="28"/>
  <c r="K57" i="28"/>
  <c r="CE60" i="29"/>
  <c r="CE71" i="29"/>
  <c r="CM60" i="29"/>
  <c r="CM71" i="29"/>
  <c r="CU60" i="29"/>
  <c r="CU71" i="29"/>
  <c r="DG60" i="29"/>
  <c r="DG71" i="29"/>
  <c r="DO60" i="29"/>
  <c r="DO71" i="29"/>
  <c r="DW60" i="29"/>
  <c r="DW71" i="29"/>
  <c r="BK73" i="29"/>
  <c r="BK62" i="29"/>
  <c r="BK108" i="29" s="1"/>
  <c r="BS73" i="29"/>
  <c r="BS62" i="29"/>
  <c r="BS108" i="29" s="1"/>
  <c r="CP73" i="29"/>
  <c r="CP62" i="29"/>
  <c r="CX73" i="29"/>
  <c r="CX62" i="29"/>
  <c r="DJ73" i="29"/>
  <c r="DJ62" i="29"/>
  <c r="DR73" i="29"/>
  <c r="DR62" i="29"/>
  <c r="DZ73" i="29"/>
  <c r="DZ62" i="29"/>
  <c r="BL63" i="29"/>
  <c r="BL109" i="29" s="1"/>
  <c r="BL74" i="29"/>
  <c r="CI63" i="29"/>
  <c r="CI74" i="29"/>
  <c r="CQ63" i="29"/>
  <c r="CQ74" i="29"/>
  <c r="CY63" i="29"/>
  <c r="CY74" i="29"/>
  <c r="DK63" i="29"/>
  <c r="DK74" i="29"/>
  <c r="DS63" i="29"/>
  <c r="DS74" i="29"/>
  <c r="BB64" i="29"/>
  <c r="BB75" i="29"/>
  <c r="BJ64" i="29"/>
  <c r="BJ75" i="29"/>
  <c r="BR64" i="29"/>
  <c r="BR75" i="29"/>
  <c r="CG64" i="29"/>
  <c r="CG75" i="29"/>
  <c r="CO64" i="29"/>
  <c r="CO75" i="29"/>
  <c r="CW64" i="29"/>
  <c r="CW75" i="29"/>
  <c r="DI64" i="29"/>
  <c r="DI75" i="29"/>
  <c r="DQ64" i="29"/>
  <c r="DQ75" i="29"/>
  <c r="DY64" i="29"/>
  <c r="DY75" i="29"/>
  <c r="BD65" i="29"/>
  <c r="BD76" i="29"/>
  <c r="BL65" i="29"/>
  <c r="BL76" i="29"/>
  <c r="CI65" i="29"/>
  <c r="CI76" i="29"/>
  <c r="CQ65" i="29"/>
  <c r="CQ76" i="29"/>
  <c r="CY65" i="29"/>
  <c r="CY76" i="29"/>
  <c r="DK65" i="29"/>
  <c r="DK76" i="29"/>
  <c r="EA65" i="29"/>
  <c r="EA76" i="29"/>
  <c r="AX77" i="29"/>
  <c r="AX66" i="29"/>
  <c r="BF77" i="29"/>
  <c r="BF66" i="29"/>
  <c r="BN77" i="29"/>
  <c r="BN66" i="29"/>
  <c r="CC77" i="29"/>
  <c r="CC66" i="29"/>
  <c r="CK77" i="29"/>
  <c r="CK66" i="29"/>
  <c r="CS77" i="29"/>
  <c r="CS66" i="29"/>
  <c r="DE77" i="29"/>
  <c r="DE66" i="29"/>
  <c r="DM77" i="29"/>
  <c r="DM66" i="29"/>
  <c r="DU77" i="29"/>
  <c r="DU66" i="29"/>
  <c r="AZ67" i="29"/>
  <c r="AZ78" i="29"/>
  <c r="BH67" i="29"/>
  <c r="BH78" i="29"/>
  <c r="BP67" i="29"/>
  <c r="BP78" i="29"/>
  <c r="CE67" i="29"/>
  <c r="CE78" i="29"/>
  <c r="CM67" i="29"/>
  <c r="CM78" i="29"/>
  <c r="CU67" i="29"/>
  <c r="CU78" i="29"/>
  <c r="DG67" i="29"/>
  <c r="DG78" i="29"/>
  <c r="DO67" i="29"/>
  <c r="DO78" i="29"/>
  <c r="DW67" i="29"/>
  <c r="DW78" i="29"/>
  <c r="BF79" i="29"/>
  <c r="BF68" i="29"/>
  <c r="BN79" i="29"/>
  <c r="BN68" i="29"/>
  <c r="CC79" i="29"/>
  <c r="CC68" i="29"/>
  <c r="CK79" i="29"/>
  <c r="CK68" i="29"/>
  <c r="CS79" i="29"/>
  <c r="CS68" i="29"/>
  <c r="DE79" i="29"/>
  <c r="DE68" i="29"/>
  <c r="DM79" i="29"/>
  <c r="DM68" i="29"/>
  <c r="AZ69" i="29"/>
  <c r="AZ80" i="29"/>
  <c r="BH69" i="29"/>
  <c r="BH80" i="29"/>
  <c r="CE69" i="29"/>
  <c r="CE80" i="29"/>
  <c r="CM69" i="29"/>
  <c r="CM80" i="29"/>
  <c r="CU69" i="29"/>
  <c r="CU80" i="29"/>
  <c r="DG69" i="29"/>
  <c r="DG80" i="29"/>
  <c r="DO69" i="29"/>
  <c r="DO80" i="29"/>
  <c r="DW69" i="29"/>
  <c r="DW80" i="29"/>
  <c r="CV60" i="29"/>
  <c r="CV71" i="29"/>
  <c r="CF72" i="29"/>
  <c r="CF61" i="29"/>
  <c r="DH74" i="29"/>
  <c r="DH63" i="29"/>
  <c r="CS75" i="29"/>
  <c r="CS64" i="29"/>
  <c r="BH76" i="29"/>
  <c r="BH65" i="29"/>
  <c r="CU76" i="29"/>
  <c r="CU65" i="29"/>
  <c r="BR66" i="29"/>
  <c r="BR77" i="29"/>
  <c r="DI66" i="29"/>
  <c r="DI77" i="29"/>
  <c r="CK80" i="29"/>
  <c r="CK69" i="29"/>
  <c r="DU80" i="29"/>
  <c r="DU69" i="29"/>
  <c r="CE77" i="29"/>
  <c r="E3" i="28"/>
  <c r="M3" i="28"/>
  <c r="U3" i="28"/>
  <c r="BF3" i="28"/>
  <c r="BK3" i="28" s="1"/>
  <c r="J4" i="28"/>
  <c r="J2" i="28" s="1"/>
  <c r="R4" i="28"/>
  <c r="R2" i="28" s="1"/>
  <c r="Z4" i="28"/>
  <c r="Z2" i="28" s="1"/>
  <c r="G5" i="28"/>
  <c r="G9" i="28" s="1"/>
  <c r="O5" i="28"/>
  <c r="O9" i="28" s="1"/>
  <c r="W5" i="28"/>
  <c r="W9" i="28" s="1"/>
  <c r="C19" i="28"/>
  <c r="H20" i="28"/>
  <c r="P20" i="28"/>
  <c r="X20" i="28"/>
  <c r="G46" i="28"/>
  <c r="O46" i="28"/>
  <c r="W46" i="28"/>
  <c r="BB72" i="29"/>
  <c r="BB61" i="29"/>
  <c r="BB107" i="29" s="1"/>
  <c r="BJ72" i="29"/>
  <c r="BJ61" i="29"/>
  <c r="BJ107" i="29" s="1"/>
  <c r="BR72" i="29"/>
  <c r="BR61" i="29"/>
  <c r="BR107" i="29" s="1"/>
  <c r="CG72" i="29"/>
  <c r="CG61" i="29"/>
  <c r="CO72" i="29"/>
  <c r="CO61" i="29"/>
  <c r="CW72" i="29"/>
  <c r="CW61" i="29"/>
  <c r="DI72" i="29"/>
  <c r="DI61" i="29"/>
  <c r="DQ72" i="29"/>
  <c r="DQ61" i="29"/>
  <c r="DY72" i="29"/>
  <c r="DY61" i="29"/>
  <c r="AV73" i="29"/>
  <c r="AV62" i="29"/>
  <c r="AV108" i="29" s="1"/>
  <c r="BD73" i="29"/>
  <c r="BD62" i="29"/>
  <c r="BD108" i="29" s="1"/>
  <c r="BL73" i="29"/>
  <c r="BL62" i="29"/>
  <c r="BL108" i="29" s="1"/>
  <c r="CI73" i="29"/>
  <c r="CI62" i="29"/>
  <c r="CQ73" i="29"/>
  <c r="CQ62" i="29"/>
  <c r="CY73" i="29"/>
  <c r="CY62" i="29"/>
  <c r="DK73" i="29"/>
  <c r="DK62" i="29"/>
  <c r="DS73" i="29"/>
  <c r="DS62" i="29"/>
  <c r="EA73" i="29"/>
  <c r="EA62" i="29"/>
  <c r="BM63" i="29"/>
  <c r="BM109" i="29" s="1"/>
  <c r="BM74" i="29"/>
  <c r="CB63" i="29"/>
  <c r="CB74" i="29"/>
  <c r="CJ63" i="29"/>
  <c r="CJ74" i="29"/>
  <c r="CR63" i="29"/>
  <c r="CR74" i="29"/>
  <c r="DL63" i="29"/>
  <c r="DL74" i="29"/>
  <c r="DT63" i="29"/>
  <c r="DT74" i="29"/>
  <c r="EB63" i="29"/>
  <c r="EB74" i="29"/>
  <c r="BC75" i="29"/>
  <c r="BC64" i="29"/>
  <c r="BK75" i="29"/>
  <c r="BK64" i="29"/>
  <c r="BS75" i="29"/>
  <c r="BS64" i="29"/>
  <c r="CH75" i="29"/>
  <c r="CH64" i="29"/>
  <c r="CP75" i="29"/>
  <c r="CP64" i="29"/>
  <c r="CX75" i="29"/>
  <c r="CX64" i="29"/>
  <c r="DR75" i="29"/>
  <c r="DR64" i="29"/>
  <c r="DZ75" i="29"/>
  <c r="DZ64" i="29"/>
  <c r="AW65" i="29"/>
  <c r="AW76" i="29"/>
  <c r="BE65" i="29"/>
  <c r="BE76" i="29"/>
  <c r="BM65" i="29"/>
  <c r="BM76" i="29"/>
  <c r="CB65" i="29"/>
  <c r="CB76" i="29"/>
  <c r="CJ65" i="29"/>
  <c r="CJ76" i="29"/>
  <c r="CR65" i="29"/>
  <c r="CR76" i="29"/>
  <c r="DL65" i="29"/>
  <c r="DL76" i="29"/>
  <c r="DT65" i="29"/>
  <c r="DT76" i="29"/>
  <c r="EB65" i="29"/>
  <c r="EB76" i="29"/>
  <c r="AY77" i="29"/>
  <c r="AY66" i="29"/>
  <c r="BG77" i="29"/>
  <c r="BG66" i="29"/>
  <c r="BO77" i="29"/>
  <c r="BO66" i="29"/>
  <c r="CD77" i="29"/>
  <c r="CD66" i="29"/>
  <c r="CL77" i="29"/>
  <c r="CL66" i="29"/>
  <c r="CT77" i="29"/>
  <c r="CT66" i="29"/>
  <c r="DF77" i="29"/>
  <c r="DF66" i="29"/>
  <c r="DN77" i="29"/>
  <c r="DN66" i="29"/>
  <c r="DV77" i="29"/>
  <c r="DV66" i="29"/>
  <c r="BA78" i="29"/>
  <c r="BA67" i="29"/>
  <c r="BQ78" i="29"/>
  <c r="BQ67" i="29"/>
  <c r="CF78" i="29"/>
  <c r="CF67" i="29"/>
  <c r="CN78" i="29"/>
  <c r="CN67" i="29"/>
  <c r="CV78" i="29"/>
  <c r="CV67" i="29"/>
  <c r="DH78" i="29"/>
  <c r="DH67" i="29"/>
  <c r="DP78" i="29"/>
  <c r="DP67" i="29"/>
  <c r="DX78" i="29"/>
  <c r="DX67" i="29"/>
  <c r="AY79" i="29"/>
  <c r="AY68" i="29"/>
  <c r="BG79" i="29"/>
  <c r="BG68" i="29"/>
  <c r="BO79" i="29"/>
  <c r="BO68" i="29"/>
  <c r="CD79" i="29"/>
  <c r="CD68" i="29"/>
  <c r="CL79" i="29"/>
  <c r="CL68" i="29"/>
  <c r="CT79" i="29"/>
  <c r="CT68" i="29"/>
  <c r="DF79" i="29"/>
  <c r="DF68" i="29"/>
  <c r="DN79" i="29"/>
  <c r="DN68" i="29"/>
  <c r="DV79" i="29"/>
  <c r="DV68" i="29"/>
  <c r="BA69" i="29"/>
  <c r="BA80" i="29"/>
  <c r="BI69" i="29"/>
  <c r="BI80" i="29"/>
  <c r="CF69" i="29"/>
  <c r="CF80" i="29"/>
  <c r="CN69" i="29"/>
  <c r="CN80" i="29"/>
  <c r="CV69" i="29"/>
  <c r="CV80" i="29"/>
  <c r="DH69" i="29"/>
  <c r="DH80" i="29"/>
  <c r="DP69" i="29"/>
  <c r="DP80" i="29"/>
  <c r="DX69" i="29"/>
  <c r="DX80" i="29"/>
  <c r="CN72" i="29"/>
  <c r="CN61" i="29"/>
  <c r="CF62" i="29"/>
  <c r="CF73" i="29"/>
  <c r="DP62" i="29"/>
  <c r="DP73" i="29"/>
  <c r="DP74" i="29"/>
  <c r="DP63" i="29"/>
  <c r="DE75" i="29"/>
  <c r="DE64" i="29"/>
  <c r="AV78" i="29"/>
  <c r="AV67" i="29"/>
  <c r="CI78" i="29"/>
  <c r="CI67" i="29"/>
  <c r="DS78" i="29"/>
  <c r="DS67" i="29"/>
  <c r="BQ79" i="29"/>
  <c r="BQ68" i="29"/>
  <c r="DH79" i="29"/>
  <c r="DH68" i="29"/>
  <c r="EA33" i="29"/>
  <c r="DS33" i="29"/>
  <c r="DK33" i="29"/>
  <c r="DZ33" i="29"/>
  <c r="DR33" i="29"/>
  <c r="DJ33" i="29"/>
  <c r="DY33" i="29"/>
  <c r="DQ33" i="29"/>
  <c r="DI33" i="29"/>
  <c r="DX33" i="29"/>
  <c r="DP33" i="29"/>
  <c r="DH33" i="29"/>
  <c r="DW33" i="29"/>
  <c r="DO33" i="29"/>
  <c r="DG33" i="29"/>
  <c r="DV33" i="29"/>
  <c r="DN33" i="29"/>
  <c r="DF33" i="29"/>
  <c r="DU33" i="29"/>
  <c r="DM33" i="29"/>
  <c r="DE33" i="29"/>
  <c r="AT106" i="29"/>
  <c r="AT71" i="29"/>
  <c r="AT111" i="29"/>
  <c r="AT76" i="29"/>
  <c r="CH72" i="29"/>
  <c r="P38" i="28"/>
  <c r="CX61" i="29"/>
  <c r="CX72" i="29"/>
  <c r="CJ73" i="29"/>
  <c r="CJ62" i="29"/>
  <c r="EB73" i="29"/>
  <c r="EB62" i="29"/>
  <c r="BN63" i="29"/>
  <c r="BN109" i="29" s="1"/>
  <c r="BN74" i="29"/>
  <c r="DM63" i="29"/>
  <c r="DM74" i="29"/>
  <c r="CI75" i="29"/>
  <c r="CI64" i="29"/>
  <c r="EA75" i="29"/>
  <c r="EA64" i="29"/>
  <c r="CK65" i="29"/>
  <c r="CK76" i="29"/>
  <c r="DG66" i="29"/>
  <c r="DG77" i="29"/>
  <c r="BB78" i="29"/>
  <c r="BB67" i="29"/>
  <c r="CW78" i="29"/>
  <c r="CW67" i="29"/>
  <c r="DQ78" i="29"/>
  <c r="DQ67" i="29"/>
  <c r="BP79" i="29"/>
  <c r="BP68" i="29"/>
  <c r="DG79" i="29"/>
  <c r="DG68" i="29"/>
  <c r="BJ80" i="29"/>
  <c r="BJ69" i="29"/>
  <c r="CO80" i="29"/>
  <c r="CO69" i="29"/>
  <c r="DY80" i="29"/>
  <c r="DY69" i="29"/>
  <c r="CV72" i="29"/>
  <c r="CV61" i="29"/>
  <c r="DX74" i="29"/>
  <c r="DX63" i="29"/>
  <c r="DG76" i="29"/>
  <c r="DG65" i="29"/>
  <c r="AT90" i="29"/>
  <c r="AT4" i="29"/>
  <c r="AT15" i="29"/>
  <c r="AT107" i="29"/>
  <c r="AT72" i="29"/>
  <c r="CH62" i="29"/>
  <c r="T4" i="28"/>
  <c r="Y5" i="28"/>
  <c r="Y9" i="28" s="1"/>
  <c r="I46" i="28"/>
  <c r="Q46" i="28"/>
  <c r="Y46" i="28"/>
  <c r="BS60" i="29"/>
  <c r="CH71" i="29"/>
  <c r="CH60" i="29"/>
  <c r="CP71" i="29"/>
  <c r="CP60" i="29"/>
  <c r="CX71" i="29"/>
  <c r="CX60" i="29"/>
  <c r="DJ71" i="29"/>
  <c r="DJ60" i="29"/>
  <c r="DR71" i="29"/>
  <c r="DR60" i="29"/>
  <c r="AV61" i="29"/>
  <c r="AV107" i="29" s="1"/>
  <c r="AV72" i="29"/>
  <c r="BD61" i="29"/>
  <c r="BD107" i="29" s="1"/>
  <c r="BD72" i="29"/>
  <c r="BL61" i="29"/>
  <c r="BL107" i="29" s="1"/>
  <c r="BL72" i="29"/>
  <c r="CI61" i="29"/>
  <c r="CI72" i="29"/>
  <c r="CQ61" i="29"/>
  <c r="CQ72" i="29"/>
  <c r="CY61" i="29"/>
  <c r="CY72" i="29"/>
  <c r="DK61" i="29"/>
  <c r="DK72" i="29"/>
  <c r="DS61" i="29"/>
  <c r="DS72" i="29"/>
  <c r="EA61" i="29"/>
  <c r="EA72" i="29"/>
  <c r="AX73" i="29"/>
  <c r="AX62" i="29"/>
  <c r="AX108" i="29" s="1"/>
  <c r="BF73" i="29"/>
  <c r="BF62" i="29"/>
  <c r="BF108" i="29" s="1"/>
  <c r="BN73" i="29"/>
  <c r="BN62" i="29"/>
  <c r="BN108" i="29" s="1"/>
  <c r="CC73" i="29"/>
  <c r="CC62" i="29"/>
  <c r="CK73" i="29"/>
  <c r="CK62" i="29"/>
  <c r="CS73" i="29"/>
  <c r="CS62" i="29"/>
  <c r="DE73" i="29"/>
  <c r="DE62" i="29"/>
  <c r="DM73" i="29"/>
  <c r="DM62" i="29"/>
  <c r="DU73" i="29"/>
  <c r="DU62" i="29"/>
  <c r="BO74" i="29"/>
  <c r="BO63" i="29"/>
  <c r="BO109" i="29" s="1"/>
  <c r="CD74" i="29"/>
  <c r="CD63" i="29"/>
  <c r="CL74" i="29"/>
  <c r="CL63" i="29"/>
  <c r="CT74" i="29"/>
  <c r="CT63" i="29"/>
  <c r="DF74" i="29"/>
  <c r="DF63" i="29"/>
  <c r="DN74" i="29"/>
  <c r="DN63" i="29"/>
  <c r="DV74" i="29"/>
  <c r="DV63" i="29"/>
  <c r="AW75" i="29"/>
  <c r="AW64" i="29"/>
  <c r="BE75" i="29"/>
  <c r="BE64" i="29"/>
  <c r="BM75" i="29"/>
  <c r="BM64" i="29"/>
  <c r="CB75" i="29"/>
  <c r="CB64" i="29"/>
  <c r="CJ75" i="29"/>
  <c r="CJ64" i="29"/>
  <c r="CR75" i="29"/>
  <c r="CR64" i="29"/>
  <c r="DL75" i="29"/>
  <c r="DL64" i="29"/>
  <c r="DT75" i="29"/>
  <c r="DT64" i="29"/>
  <c r="EB75" i="29"/>
  <c r="EB64" i="29"/>
  <c r="AY76" i="29"/>
  <c r="AY65" i="29"/>
  <c r="BG76" i="29"/>
  <c r="BG65" i="29"/>
  <c r="BO76" i="29"/>
  <c r="BO65" i="29"/>
  <c r="CD76" i="29"/>
  <c r="CD65" i="29"/>
  <c r="CT76" i="29"/>
  <c r="CT65" i="29"/>
  <c r="DF76" i="29"/>
  <c r="DF65" i="29"/>
  <c r="DN76" i="29"/>
  <c r="DN65" i="29"/>
  <c r="DV76" i="29"/>
  <c r="DV65" i="29"/>
  <c r="BA66" i="29"/>
  <c r="BA77" i="29"/>
  <c r="BI66" i="29"/>
  <c r="BI77" i="29"/>
  <c r="BQ66" i="29"/>
  <c r="BQ77" i="29"/>
  <c r="CF66" i="29"/>
  <c r="CF77" i="29"/>
  <c r="CN66" i="29"/>
  <c r="CN77" i="29"/>
  <c r="CV66" i="29"/>
  <c r="CV77" i="29"/>
  <c r="DH66" i="29"/>
  <c r="DH77" i="29"/>
  <c r="DP66" i="29"/>
  <c r="DP77" i="29"/>
  <c r="DX66" i="29"/>
  <c r="DX77" i="29"/>
  <c r="BC78" i="29"/>
  <c r="BC67" i="29"/>
  <c r="BK78" i="29"/>
  <c r="BK67" i="29"/>
  <c r="BS78" i="29"/>
  <c r="BS67" i="29"/>
  <c r="CH78" i="29"/>
  <c r="CH67" i="29"/>
  <c r="CP78" i="29"/>
  <c r="CP67" i="29"/>
  <c r="CX78" i="29"/>
  <c r="CX67" i="29"/>
  <c r="DJ78" i="29"/>
  <c r="DJ67" i="29"/>
  <c r="DR78" i="29"/>
  <c r="DR67" i="29"/>
  <c r="DZ78" i="29"/>
  <c r="DZ67" i="29"/>
  <c r="BK80" i="29"/>
  <c r="BK69" i="29"/>
  <c r="BS80" i="29"/>
  <c r="BS69" i="29"/>
  <c r="CH80" i="29"/>
  <c r="CH69" i="29"/>
  <c r="CP80" i="29"/>
  <c r="CP69" i="29"/>
  <c r="CX80" i="29"/>
  <c r="CX69" i="29"/>
  <c r="DJ80" i="29"/>
  <c r="DJ69" i="29"/>
  <c r="DR80" i="29"/>
  <c r="DR69" i="29"/>
  <c r="DZ80" i="29"/>
  <c r="DZ69" i="29"/>
  <c r="DH72" i="29"/>
  <c r="DH61" i="29"/>
  <c r="BA62" i="29"/>
  <c r="BA108" i="29" s="1"/>
  <c r="BA73" i="29"/>
  <c r="CN62" i="29"/>
  <c r="CN73" i="29"/>
  <c r="DX62" i="29"/>
  <c r="DX73" i="29"/>
  <c r="BI74" i="29"/>
  <c r="BI63" i="29"/>
  <c r="BI109" i="29" s="1"/>
  <c r="AX75" i="29"/>
  <c r="AX64" i="29"/>
  <c r="DU75" i="29"/>
  <c r="DU64" i="29"/>
  <c r="BD78" i="29"/>
  <c r="BD67" i="29"/>
  <c r="CQ78" i="29"/>
  <c r="CQ67" i="29"/>
  <c r="EA78" i="29"/>
  <c r="EA67" i="29"/>
  <c r="CF79" i="29"/>
  <c r="CF68" i="29"/>
  <c r="DP79" i="29"/>
  <c r="DP68" i="29"/>
  <c r="DT33" i="29"/>
  <c r="BE99" i="29"/>
  <c r="BI67" i="29"/>
  <c r="BS61" i="29"/>
  <c r="BS107" i="29" s="1"/>
  <c r="BS72" i="29"/>
  <c r="DR61" i="29"/>
  <c r="DR72" i="29"/>
  <c r="BM73" i="29"/>
  <c r="BM62" i="29"/>
  <c r="BM108" i="29" s="1"/>
  <c r="DL73" i="29"/>
  <c r="DL62" i="29"/>
  <c r="CK63" i="29"/>
  <c r="CK74" i="29"/>
  <c r="BD75" i="29"/>
  <c r="BD64" i="29"/>
  <c r="CY75" i="29"/>
  <c r="CY64" i="29"/>
  <c r="BF65" i="29"/>
  <c r="BF76" i="29"/>
  <c r="DE65" i="29"/>
  <c r="DE76" i="29"/>
  <c r="AZ66" i="29"/>
  <c r="AZ77" i="29"/>
  <c r="DW66" i="29"/>
  <c r="DW77" i="29"/>
  <c r="CO78" i="29"/>
  <c r="CO67" i="29"/>
  <c r="AZ79" i="29"/>
  <c r="AZ68" i="29"/>
  <c r="CU79" i="29"/>
  <c r="CU68" i="29"/>
  <c r="BR80" i="29"/>
  <c r="BR69" i="29"/>
  <c r="CW80" i="29"/>
  <c r="CW69" i="29"/>
  <c r="BQ60" i="29"/>
  <c r="BQ71" i="29"/>
  <c r="DM75" i="29"/>
  <c r="DM64" i="29"/>
  <c r="DQ66" i="29"/>
  <c r="DQ77" i="29"/>
  <c r="CS80" i="29"/>
  <c r="CS69" i="29"/>
  <c r="Q5" i="28"/>
  <c r="Q9" i="28" s="1"/>
  <c r="J20" i="28"/>
  <c r="H3" i="28"/>
  <c r="P3" i="28"/>
  <c r="X3" i="28"/>
  <c r="E4" i="28"/>
  <c r="M4" i="28"/>
  <c r="U4" i="28"/>
  <c r="J5" i="28"/>
  <c r="J9" i="28" s="1"/>
  <c r="R5" i="28"/>
  <c r="R9" i="28" s="1"/>
  <c r="Z5" i="28"/>
  <c r="Z9" i="28" s="1"/>
  <c r="C20" i="28"/>
  <c r="K20" i="28"/>
  <c r="S20" i="28"/>
  <c r="J46" i="28"/>
  <c r="R46" i="28"/>
  <c r="Z46" i="28"/>
  <c r="AV60" i="29"/>
  <c r="CI71" i="29"/>
  <c r="CI60" i="29"/>
  <c r="CQ71" i="29"/>
  <c r="CQ60" i="29"/>
  <c r="CY71" i="29"/>
  <c r="CY60" i="29"/>
  <c r="DK71" i="29"/>
  <c r="DK60" i="29"/>
  <c r="DS71" i="29"/>
  <c r="DS60" i="29"/>
  <c r="EA71" i="29"/>
  <c r="EA60" i="29"/>
  <c r="AW61" i="29"/>
  <c r="AW107" i="29" s="1"/>
  <c r="AW72" i="29"/>
  <c r="BE61" i="29"/>
  <c r="BE107" i="29" s="1"/>
  <c r="BE72" i="29"/>
  <c r="BM61" i="29"/>
  <c r="BM107" i="29" s="1"/>
  <c r="BM72" i="29"/>
  <c r="CB61" i="29"/>
  <c r="CB72" i="29"/>
  <c r="CJ61" i="29"/>
  <c r="CJ72" i="29"/>
  <c r="CR61" i="29"/>
  <c r="CR72" i="29"/>
  <c r="DL61" i="29"/>
  <c r="DL72" i="29"/>
  <c r="DT61" i="29"/>
  <c r="DT72" i="29"/>
  <c r="EB61" i="29"/>
  <c r="EB72" i="29"/>
  <c r="AY62" i="29"/>
  <c r="AY108" i="29" s="1"/>
  <c r="AY73" i="29"/>
  <c r="BG62" i="29"/>
  <c r="BG108" i="29" s="1"/>
  <c r="BG73" i="29"/>
  <c r="CD62" i="29"/>
  <c r="CD73" i="29"/>
  <c r="CL62" i="29"/>
  <c r="CL73" i="29"/>
  <c r="CT62" i="29"/>
  <c r="CT73" i="29"/>
  <c r="DF62" i="29"/>
  <c r="DF73" i="29"/>
  <c r="DN62" i="29"/>
  <c r="DN73" i="29"/>
  <c r="DV62" i="29"/>
  <c r="DV73" i="29"/>
  <c r="AZ74" i="29"/>
  <c r="AZ63" i="29"/>
  <c r="AZ109" i="29" s="1"/>
  <c r="BH74" i="29"/>
  <c r="BH63" i="29"/>
  <c r="BH109" i="29" s="1"/>
  <c r="BP74" i="29"/>
  <c r="BP63" i="29"/>
  <c r="BP109" i="29" s="1"/>
  <c r="CE74" i="29"/>
  <c r="CE63" i="29"/>
  <c r="CM74" i="29"/>
  <c r="CM63" i="29"/>
  <c r="CU74" i="29"/>
  <c r="CU63" i="29"/>
  <c r="DG74" i="29"/>
  <c r="DG63" i="29"/>
  <c r="DO74" i="29"/>
  <c r="DO63" i="29"/>
  <c r="DW74" i="29"/>
  <c r="DW63" i="29"/>
  <c r="BZ46" i="29"/>
  <c r="BZ35" i="29"/>
  <c r="BZ98" i="29" s="1"/>
  <c r="BZ69" i="29"/>
  <c r="BZ24" i="29"/>
  <c r="BZ57" i="29" s="1"/>
  <c r="CI80" i="29"/>
  <c r="CI69" i="29"/>
  <c r="CQ80" i="29"/>
  <c r="CQ69" i="29"/>
  <c r="CY80" i="29"/>
  <c r="CY69" i="29"/>
  <c r="DK80" i="29"/>
  <c r="DK69" i="29"/>
  <c r="DS80" i="29"/>
  <c r="DS69" i="29"/>
  <c r="EA80" i="29"/>
  <c r="EA69" i="29"/>
  <c r="CF60" i="29"/>
  <c r="CF71" i="29"/>
  <c r="DP60" i="29"/>
  <c r="DP71" i="29"/>
  <c r="DP72" i="29"/>
  <c r="DP61" i="29"/>
  <c r="BQ74" i="29"/>
  <c r="BQ63" i="29"/>
  <c r="BQ109" i="29" s="1"/>
  <c r="BF75" i="29"/>
  <c r="BF64" i="29"/>
  <c r="CE76" i="29"/>
  <c r="CE65" i="29"/>
  <c r="DO76" i="29"/>
  <c r="DO65" i="29"/>
  <c r="BB66" i="29"/>
  <c r="BB77" i="29"/>
  <c r="CO66" i="29"/>
  <c r="CO77" i="29"/>
  <c r="DY66" i="29"/>
  <c r="DY77" i="29"/>
  <c r="DE80" i="29"/>
  <c r="DE69" i="29"/>
  <c r="EB33" i="29"/>
  <c r="AW99" i="29"/>
  <c r="AW100" i="29" s="1"/>
  <c r="AW101" i="29" s="1"/>
  <c r="AX68" i="29"/>
  <c r="EA74" i="29"/>
  <c r="CP61" i="29"/>
  <c r="CP72" i="29"/>
  <c r="DZ61" i="29"/>
  <c r="DZ72" i="29"/>
  <c r="CB73" i="29"/>
  <c r="CB62" i="29"/>
  <c r="DT73" i="29"/>
  <c r="DT62" i="29"/>
  <c r="CC63" i="29"/>
  <c r="CC74" i="29"/>
  <c r="DU63" i="29"/>
  <c r="DU74" i="29"/>
  <c r="CQ75" i="29"/>
  <c r="CQ64" i="29"/>
  <c r="AX65" i="29"/>
  <c r="AX76" i="29"/>
  <c r="CS65" i="29"/>
  <c r="CS76" i="29"/>
  <c r="BP66" i="29"/>
  <c r="BP77" i="29"/>
  <c r="CU66" i="29"/>
  <c r="CU77" i="29"/>
  <c r="CG78" i="29"/>
  <c r="CG67" i="29"/>
  <c r="DI78" i="29"/>
  <c r="DI67" i="29"/>
  <c r="CE79" i="29"/>
  <c r="CE68" i="29"/>
  <c r="DO79" i="29"/>
  <c r="DO68" i="29"/>
  <c r="CG80" i="29"/>
  <c r="CG69" i="29"/>
  <c r="BZ112" i="29"/>
  <c r="BZ77" i="29"/>
  <c r="W3" i="28"/>
  <c r="Z20" i="28"/>
  <c r="Q37" i="28"/>
  <c r="I3" i="28"/>
  <c r="F4" i="28"/>
  <c r="F2" i="28" s="1"/>
  <c r="N4" i="28"/>
  <c r="R72" i="29" s="1"/>
  <c r="V4" i="28"/>
  <c r="V2" i="28" s="1"/>
  <c r="C5" i="28"/>
  <c r="C9" i="28" s="1"/>
  <c r="K5" i="28"/>
  <c r="K9" i="28" s="1"/>
  <c r="S5" i="28"/>
  <c r="S9" i="28" s="1"/>
  <c r="D20" i="28"/>
  <c r="L20" i="28"/>
  <c r="T20" i="28"/>
  <c r="C36" i="28"/>
  <c r="C39" i="28" s="1"/>
  <c r="C43" i="28" s="1"/>
  <c r="S36" i="28"/>
  <c r="C37" i="28"/>
  <c r="S37" i="28"/>
  <c r="S38" i="28"/>
  <c r="S40" i="28"/>
  <c r="S27" i="28" s="1"/>
  <c r="S32" i="28" s="1"/>
  <c r="C46" i="28"/>
  <c r="K46" i="28"/>
  <c r="S46" i="28"/>
  <c r="Z37" i="28"/>
  <c r="Q38" i="28"/>
  <c r="I40" i="28"/>
  <c r="I27" i="28" s="1"/>
  <c r="P40" i="28"/>
  <c r="P27" i="28" s="1"/>
  <c r="H37" i="28"/>
  <c r="K62" i="28"/>
  <c r="AW60" i="29"/>
  <c r="CB71" i="29"/>
  <c r="CB60" i="29"/>
  <c r="CJ71" i="29"/>
  <c r="CJ60" i="29"/>
  <c r="CR71" i="29"/>
  <c r="CR60" i="29"/>
  <c r="DL71" i="29"/>
  <c r="DL60" i="29"/>
  <c r="DT71" i="29"/>
  <c r="DT60" i="29"/>
  <c r="EB71" i="29"/>
  <c r="EB60" i="29"/>
  <c r="AX61" i="29"/>
  <c r="AX107" i="29" s="1"/>
  <c r="AX72" i="29"/>
  <c r="BF61" i="29"/>
  <c r="BF107" i="29" s="1"/>
  <c r="BF72" i="29"/>
  <c r="BN61" i="29"/>
  <c r="BN107" i="29" s="1"/>
  <c r="BN72" i="29"/>
  <c r="CC61" i="29"/>
  <c r="CC72" i="29"/>
  <c r="CK61" i="29"/>
  <c r="CK72" i="29"/>
  <c r="CS61" i="29"/>
  <c r="CS72" i="29"/>
  <c r="DE61" i="29"/>
  <c r="DE72" i="29"/>
  <c r="DM61" i="29"/>
  <c r="DM72" i="29"/>
  <c r="DU61" i="29"/>
  <c r="DU72" i="29"/>
  <c r="AZ62" i="29"/>
  <c r="AZ108" i="29" s="1"/>
  <c r="AZ73" i="29"/>
  <c r="BH62" i="29"/>
  <c r="BH108" i="29" s="1"/>
  <c r="BH73" i="29"/>
  <c r="BP62" i="29"/>
  <c r="BP108" i="29" s="1"/>
  <c r="BP73" i="29"/>
  <c r="CE62" i="29"/>
  <c r="CE73" i="29"/>
  <c r="CM62" i="29"/>
  <c r="CM73" i="29"/>
  <c r="CU62" i="29"/>
  <c r="CU73" i="29"/>
  <c r="DG62" i="29"/>
  <c r="DG73" i="29"/>
  <c r="DO62" i="29"/>
  <c r="DO73" i="29"/>
  <c r="DW62" i="29"/>
  <c r="DW73" i="29"/>
  <c r="AY75" i="29"/>
  <c r="AY64" i="29"/>
  <c r="BG75" i="29"/>
  <c r="BG64" i="29"/>
  <c r="BO75" i="29"/>
  <c r="BO64" i="29"/>
  <c r="CD75" i="29"/>
  <c r="CD64" i="29"/>
  <c r="CL75" i="29"/>
  <c r="CL64" i="29"/>
  <c r="CT75" i="29"/>
  <c r="CT64" i="29"/>
  <c r="DF75" i="29"/>
  <c r="DF64" i="29"/>
  <c r="DN75" i="29"/>
  <c r="DN64" i="29"/>
  <c r="DV75" i="29"/>
  <c r="DV64" i="29"/>
  <c r="BC68" i="29"/>
  <c r="BC79" i="29"/>
  <c r="BK68" i="29"/>
  <c r="BK79" i="29"/>
  <c r="BS68" i="29"/>
  <c r="BS79" i="29"/>
  <c r="CH68" i="29"/>
  <c r="CH79" i="29"/>
  <c r="CP68" i="29"/>
  <c r="CP79" i="29"/>
  <c r="CX68" i="29"/>
  <c r="CX79" i="29"/>
  <c r="DJ68" i="29"/>
  <c r="DJ79" i="29"/>
  <c r="DR68" i="29"/>
  <c r="DR79" i="29"/>
  <c r="DZ68" i="29"/>
  <c r="DZ79" i="29"/>
  <c r="CB80" i="29"/>
  <c r="CB69" i="29"/>
  <c r="CJ80" i="29"/>
  <c r="CJ69" i="29"/>
  <c r="CR80" i="29"/>
  <c r="CR69" i="29"/>
  <c r="DL80" i="29"/>
  <c r="DL69" i="29"/>
  <c r="DT80" i="29"/>
  <c r="DT69" i="29"/>
  <c r="EB80" i="29"/>
  <c r="EB69" i="29"/>
  <c r="BA61" i="29"/>
  <c r="BA107" i="29" s="1"/>
  <c r="DX72" i="29"/>
  <c r="DX61" i="29"/>
  <c r="BI62" i="29"/>
  <c r="BI108" i="29" s="1"/>
  <c r="BI73" i="29"/>
  <c r="CV62" i="29"/>
  <c r="CV73" i="29"/>
  <c r="CF74" i="29"/>
  <c r="CF63" i="29"/>
  <c r="BN75" i="29"/>
  <c r="BN64" i="29"/>
  <c r="BL78" i="29"/>
  <c r="BL67" i="29"/>
  <c r="CY78" i="29"/>
  <c r="CY67" i="29"/>
  <c r="BA79" i="29"/>
  <c r="BA68" i="29"/>
  <c r="CN79" i="29"/>
  <c r="CN68" i="29"/>
  <c r="DX79" i="29"/>
  <c r="DX68" i="29"/>
  <c r="DU68" i="29"/>
  <c r="CM75" i="29"/>
  <c r="DE63" i="29"/>
  <c r="DE74" i="29"/>
  <c r="BL75" i="29"/>
  <c r="BL64" i="29"/>
  <c r="DK75" i="29"/>
  <c r="DK64" i="29"/>
  <c r="BN65" i="29"/>
  <c r="BN76" i="29"/>
  <c r="DM65" i="29"/>
  <c r="DM76" i="29"/>
  <c r="BH66" i="29"/>
  <c r="BH77" i="29"/>
  <c r="DO66" i="29"/>
  <c r="DO77" i="29"/>
  <c r="BR78" i="29"/>
  <c r="BR67" i="29"/>
  <c r="DY78" i="29"/>
  <c r="DY67" i="29"/>
  <c r="CM79" i="29"/>
  <c r="CM68" i="29"/>
  <c r="DH60" i="29"/>
  <c r="DH71" i="29"/>
  <c r="BP76" i="29"/>
  <c r="BP65" i="29"/>
  <c r="CG66" i="29"/>
  <c r="CG77" i="29"/>
  <c r="G3" i="28"/>
  <c r="D4" i="28"/>
  <c r="D2" i="28" s="1"/>
  <c r="C182" i="31"/>
  <c r="D182" i="31" s="1"/>
  <c r="AJ215" i="31" s="1"/>
  <c r="X233" i="30"/>
  <c r="C306" i="31" s="1"/>
  <c r="X271" i="30"/>
  <c r="R20" i="28"/>
  <c r="O4" i="28"/>
  <c r="O8" i="28" s="1"/>
  <c r="L5" i="28"/>
  <c r="E20" i="28"/>
  <c r="M20" i="28"/>
  <c r="U20" i="28"/>
  <c r="D36" i="28"/>
  <c r="L36" i="28"/>
  <c r="D37" i="28"/>
  <c r="L37" i="28"/>
  <c r="D38" i="28"/>
  <c r="L38" i="28"/>
  <c r="D40" i="28"/>
  <c r="D27" i="28" s="1"/>
  <c r="D32" i="28" s="1"/>
  <c r="L40" i="28"/>
  <c r="L27" i="28" s="1"/>
  <c r="D46" i="28"/>
  <c r="L46" i="28"/>
  <c r="T46" i="28"/>
  <c r="I38" i="28"/>
  <c r="P36" i="28"/>
  <c r="AX60" i="29"/>
  <c r="CC71" i="29"/>
  <c r="CC60" i="29"/>
  <c r="CK71" i="29"/>
  <c r="CK60" i="29"/>
  <c r="CS71" i="29"/>
  <c r="CS60" i="29"/>
  <c r="DE71" i="29"/>
  <c r="DE60" i="29"/>
  <c r="DM71" i="29"/>
  <c r="DM60" i="29"/>
  <c r="DU71" i="29"/>
  <c r="DU60" i="29"/>
  <c r="AY72" i="29"/>
  <c r="AY61" i="29"/>
  <c r="AY107" i="29" s="1"/>
  <c r="BG72" i="29"/>
  <c r="BG61" i="29"/>
  <c r="BG107" i="29" s="1"/>
  <c r="BO72" i="29"/>
  <c r="BO61" i="29"/>
  <c r="BO107" i="29" s="1"/>
  <c r="CD72" i="29"/>
  <c r="CD61" i="29"/>
  <c r="CL72" i="29"/>
  <c r="CL61" i="29"/>
  <c r="CT72" i="29"/>
  <c r="CT61" i="29"/>
  <c r="DN72" i="29"/>
  <c r="DN61" i="29"/>
  <c r="DV72" i="29"/>
  <c r="DV61" i="29"/>
  <c r="BB74" i="29"/>
  <c r="BB63" i="29"/>
  <c r="BB109" i="29" s="1"/>
  <c r="BJ74" i="29"/>
  <c r="BJ63" i="29"/>
  <c r="BJ109" i="29" s="1"/>
  <c r="BR74" i="29"/>
  <c r="BR63" i="29"/>
  <c r="BR109" i="29" s="1"/>
  <c r="CG74" i="29"/>
  <c r="CG63" i="29"/>
  <c r="CO74" i="29"/>
  <c r="CO63" i="29"/>
  <c r="CW74" i="29"/>
  <c r="CW63" i="29"/>
  <c r="DI74" i="29"/>
  <c r="DI63" i="29"/>
  <c r="DQ74" i="29"/>
  <c r="DQ63" i="29"/>
  <c r="DY74" i="29"/>
  <c r="DY63" i="29"/>
  <c r="AZ64" i="29"/>
  <c r="AZ75" i="29"/>
  <c r="BH64" i="29"/>
  <c r="BH75" i="29"/>
  <c r="BP64" i="29"/>
  <c r="BP75" i="29"/>
  <c r="CE64" i="29"/>
  <c r="CE75" i="29"/>
  <c r="CU64" i="29"/>
  <c r="CU75" i="29"/>
  <c r="DG64" i="29"/>
  <c r="DG75" i="29"/>
  <c r="DO64" i="29"/>
  <c r="DO75" i="29"/>
  <c r="DW64" i="29"/>
  <c r="DW75" i="29"/>
  <c r="BB76" i="29"/>
  <c r="BB65" i="29"/>
  <c r="BJ76" i="29"/>
  <c r="BJ65" i="29"/>
  <c r="BR76" i="29"/>
  <c r="BR65" i="29"/>
  <c r="CG76" i="29"/>
  <c r="CG65" i="29"/>
  <c r="CO76" i="29"/>
  <c r="CO65" i="29"/>
  <c r="CW76" i="29"/>
  <c r="CW65" i="29"/>
  <c r="DI76" i="29"/>
  <c r="DI65" i="29"/>
  <c r="DQ76" i="29"/>
  <c r="DQ65" i="29"/>
  <c r="DY76" i="29"/>
  <c r="DY65" i="29"/>
  <c r="AV77" i="29"/>
  <c r="AV66" i="29"/>
  <c r="BD77" i="29"/>
  <c r="BD66" i="29"/>
  <c r="BL77" i="29"/>
  <c r="BL66" i="29"/>
  <c r="CI77" i="29"/>
  <c r="CI66" i="29"/>
  <c r="CQ77" i="29"/>
  <c r="CQ66" i="29"/>
  <c r="CY77" i="29"/>
  <c r="CY66" i="29"/>
  <c r="DK77" i="29"/>
  <c r="DK66" i="29"/>
  <c r="DS77" i="29"/>
  <c r="DS66" i="29"/>
  <c r="EA77" i="29"/>
  <c r="EA66" i="29"/>
  <c r="AX67" i="29"/>
  <c r="AX78" i="29"/>
  <c r="BF67" i="29"/>
  <c r="BF78" i="29"/>
  <c r="BN67" i="29"/>
  <c r="BN78" i="29"/>
  <c r="CC67" i="29"/>
  <c r="CC78" i="29"/>
  <c r="CK67" i="29"/>
  <c r="CK78" i="29"/>
  <c r="CS67" i="29"/>
  <c r="CS78" i="29"/>
  <c r="DE67" i="29"/>
  <c r="DE78" i="29"/>
  <c r="DM67" i="29"/>
  <c r="DM78" i="29"/>
  <c r="DU67" i="29"/>
  <c r="DU78" i="29"/>
  <c r="AV68" i="29"/>
  <c r="AV79" i="29"/>
  <c r="BD68" i="29"/>
  <c r="BD79" i="29"/>
  <c r="BL68" i="29"/>
  <c r="BL79" i="29"/>
  <c r="CI68" i="29"/>
  <c r="CI79" i="29"/>
  <c r="CQ68" i="29"/>
  <c r="CQ79" i="29"/>
  <c r="CY68" i="29"/>
  <c r="CY79" i="29"/>
  <c r="DK68" i="29"/>
  <c r="DK79" i="29"/>
  <c r="DS68" i="29"/>
  <c r="DS79" i="29"/>
  <c r="EA68" i="29"/>
  <c r="EA79" i="29"/>
  <c r="CN60" i="29"/>
  <c r="CN71" i="29"/>
  <c r="DX60" i="29"/>
  <c r="DX71" i="29"/>
  <c r="CN74" i="29"/>
  <c r="CN63" i="29"/>
  <c r="CC75" i="29"/>
  <c r="CC64" i="29"/>
  <c r="AZ76" i="29"/>
  <c r="AZ65" i="29"/>
  <c r="CM76" i="29"/>
  <c r="CM65" i="29"/>
  <c r="DW76" i="29"/>
  <c r="DW65" i="29"/>
  <c r="BJ66" i="29"/>
  <c r="BJ77" i="29"/>
  <c r="CW66" i="29"/>
  <c r="CW77" i="29"/>
  <c r="CC80" i="29"/>
  <c r="CC69" i="29"/>
  <c r="DM80" i="29"/>
  <c r="DM69" i="29"/>
  <c r="AT94" i="29"/>
  <c r="AT19" i="29"/>
  <c r="AT8" i="29"/>
  <c r="AT108" i="29"/>
  <c r="AT73" i="29"/>
  <c r="DZ60" i="29"/>
  <c r="AV76" i="29"/>
  <c r="S62" i="28"/>
  <c r="S58" i="28"/>
  <c r="S57" i="28"/>
  <c r="C62" i="28"/>
  <c r="C61" i="28"/>
  <c r="C48" i="28" s="1"/>
  <c r="DJ61" i="29"/>
  <c r="DJ72" i="29"/>
  <c r="CR73" i="29"/>
  <c r="CR62" i="29"/>
  <c r="CS63" i="29"/>
  <c r="CS74" i="29"/>
  <c r="AV75" i="29"/>
  <c r="AV64" i="29"/>
  <c r="DS75" i="29"/>
  <c r="DS64" i="29"/>
  <c r="CC65" i="29"/>
  <c r="CC76" i="29"/>
  <c r="DU65" i="29"/>
  <c r="DU76" i="29"/>
  <c r="CM66" i="29"/>
  <c r="CM77" i="29"/>
  <c r="BJ78" i="29"/>
  <c r="BJ67" i="29"/>
  <c r="BH79" i="29"/>
  <c r="BH68" i="29"/>
  <c r="DW79" i="29"/>
  <c r="DW68" i="29"/>
  <c r="DQ80" i="29"/>
  <c r="DQ69" i="29"/>
  <c r="BA74" i="29"/>
  <c r="BA63" i="29"/>
  <c r="BA109" i="29" s="1"/>
  <c r="E46" i="28"/>
  <c r="M46" i="28"/>
  <c r="U46" i="28"/>
  <c r="S61" i="28"/>
  <c r="S48" i="28" s="1"/>
  <c r="CD60" i="29"/>
  <c r="CD71" i="29"/>
  <c r="CL60" i="29"/>
  <c r="CL71" i="29"/>
  <c r="DF60" i="29"/>
  <c r="DF71" i="29"/>
  <c r="DN60" i="29"/>
  <c r="DN71" i="29"/>
  <c r="DV60" i="29"/>
  <c r="DV71" i="29"/>
  <c r="AZ72" i="29"/>
  <c r="AZ61" i="29"/>
  <c r="AZ107" i="29" s="1"/>
  <c r="BH72" i="29"/>
  <c r="BH61" i="29"/>
  <c r="BH107" i="29" s="1"/>
  <c r="BP72" i="29"/>
  <c r="BP61" i="29"/>
  <c r="BP107" i="29" s="1"/>
  <c r="CE72" i="29"/>
  <c r="CE61" i="29"/>
  <c r="CM72" i="29"/>
  <c r="CM61" i="29"/>
  <c r="CU72" i="29"/>
  <c r="CU61" i="29"/>
  <c r="DG72" i="29"/>
  <c r="DG61" i="29"/>
  <c r="DO72" i="29"/>
  <c r="DO61" i="29"/>
  <c r="DW72" i="29"/>
  <c r="DW61" i="29"/>
  <c r="BK74" i="29"/>
  <c r="BK63" i="29"/>
  <c r="BK109" i="29" s="1"/>
  <c r="CH74" i="29"/>
  <c r="CH63" i="29"/>
  <c r="CP74" i="29"/>
  <c r="CP63" i="29"/>
  <c r="CX74" i="29"/>
  <c r="CX63" i="29"/>
  <c r="DJ74" i="29"/>
  <c r="DJ63" i="29"/>
  <c r="DR74" i="29"/>
  <c r="DR63" i="29"/>
  <c r="DZ74" i="29"/>
  <c r="DZ63" i="29"/>
  <c r="BA64" i="29"/>
  <c r="BA75" i="29"/>
  <c r="BI64" i="29"/>
  <c r="BI75" i="29"/>
  <c r="BQ64" i="29"/>
  <c r="BQ75" i="29"/>
  <c r="CF64" i="29"/>
  <c r="CF75" i="29"/>
  <c r="CN64" i="29"/>
  <c r="CN75" i="29"/>
  <c r="CV64" i="29"/>
  <c r="CV75" i="29"/>
  <c r="DH64" i="29"/>
  <c r="DH75" i="29"/>
  <c r="DP64" i="29"/>
  <c r="DP75" i="29"/>
  <c r="DX64" i="29"/>
  <c r="DX75" i="29"/>
  <c r="BC76" i="29"/>
  <c r="BC65" i="29"/>
  <c r="BK76" i="29"/>
  <c r="BK65" i="29"/>
  <c r="BS76" i="29"/>
  <c r="BS65" i="29"/>
  <c r="CH76" i="29"/>
  <c r="CH65" i="29"/>
  <c r="CP76" i="29"/>
  <c r="CP65" i="29"/>
  <c r="CX76" i="29"/>
  <c r="CX65" i="29"/>
  <c r="DJ76" i="29"/>
  <c r="DJ65" i="29"/>
  <c r="DR76" i="29"/>
  <c r="DR65" i="29"/>
  <c r="DZ76" i="29"/>
  <c r="DZ65" i="29"/>
  <c r="AW77" i="29"/>
  <c r="AW66" i="29"/>
  <c r="BE77" i="29"/>
  <c r="BE66" i="29"/>
  <c r="BM77" i="29"/>
  <c r="BM66" i="29"/>
  <c r="CB77" i="29"/>
  <c r="CB66" i="29"/>
  <c r="CJ77" i="29"/>
  <c r="CJ66" i="29"/>
  <c r="CR77" i="29"/>
  <c r="CR66" i="29"/>
  <c r="DL77" i="29"/>
  <c r="DL66" i="29"/>
  <c r="DT77" i="29"/>
  <c r="DT66" i="29"/>
  <c r="EB77" i="29"/>
  <c r="EB66" i="29"/>
  <c r="AY67" i="29"/>
  <c r="AY78" i="29"/>
  <c r="BG67" i="29"/>
  <c r="BG78" i="29"/>
  <c r="BO67" i="29"/>
  <c r="BO78" i="29"/>
  <c r="CD67" i="29"/>
  <c r="CD78" i="29"/>
  <c r="CL67" i="29"/>
  <c r="CL78" i="29"/>
  <c r="CT67" i="29"/>
  <c r="CT78" i="29"/>
  <c r="DF67" i="29"/>
  <c r="DF78" i="29"/>
  <c r="DN67" i="29"/>
  <c r="DN78" i="29"/>
  <c r="DV67" i="29"/>
  <c r="DV78" i="29"/>
  <c r="AW68" i="29"/>
  <c r="AW79" i="29"/>
  <c r="BE68" i="29"/>
  <c r="BE79" i="29"/>
  <c r="BM68" i="29"/>
  <c r="BM79" i="29"/>
  <c r="CB68" i="29"/>
  <c r="CB79" i="29"/>
  <c r="CJ68" i="29"/>
  <c r="CJ79" i="29"/>
  <c r="CR68" i="29"/>
  <c r="CR79" i="29"/>
  <c r="DL68" i="29"/>
  <c r="DL79" i="29"/>
  <c r="DT68" i="29"/>
  <c r="DT79" i="29"/>
  <c r="EB68" i="29"/>
  <c r="EB79" i="29"/>
  <c r="BQ62" i="29"/>
  <c r="BQ108" i="29" s="1"/>
  <c r="BQ73" i="29"/>
  <c r="DH62" i="29"/>
  <c r="DH73" i="29"/>
  <c r="CV74" i="29"/>
  <c r="CV63" i="29"/>
  <c r="CK75" i="29"/>
  <c r="CK64" i="29"/>
  <c r="DK78" i="29"/>
  <c r="DK67" i="29"/>
  <c r="BI79" i="29"/>
  <c r="BI68" i="29"/>
  <c r="CV79" i="29"/>
  <c r="CV68" i="29"/>
  <c r="AT113" i="29"/>
  <c r="AT78" i="29"/>
  <c r="DJ64" i="29"/>
  <c r="DI69" i="29"/>
  <c r="DS76" i="29"/>
  <c r="BZ65" i="29"/>
  <c r="BZ42" i="29"/>
  <c r="BZ67" i="29"/>
  <c r="BZ44" i="29"/>
  <c r="DC115" i="29"/>
  <c r="DC80" i="29"/>
  <c r="BB60" i="29"/>
  <c r="BB71" i="29"/>
  <c r="BJ60" i="29"/>
  <c r="BJ71" i="29"/>
  <c r="BR60" i="29"/>
  <c r="BR71" i="29"/>
  <c r="CG60" i="29"/>
  <c r="CG71" i="29"/>
  <c r="CO60" i="29"/>
  <c r="CO71" i="29"/>
  <c r="CW60" i="29"/>
  <c r="CW71" i="29"/>
  <c r="DI60" i="29"/>
  <c r="DI71" i="29"/>
  <c r="DQ60" i="29"/>
  <c r="DQ71" i="29"/>
  <c r="DY60" i="29"/>
  <c r="DY71" i="29"/>
  <c r="C251" i="31"/>
  <c r="D251" i="31" s="1"/>
  <c r="AK191" i="31"/>
  <c r="AO191" i="31" s="1"/>
  <c r="T247" i="30"/>
  <c r="X247" i="30" s="1"/>
  <c r="B95" i="29"/>
  <c r="D95" i="29" s="1"/>
  <c r="C252" i="31"/>
  <c r="D252" i="31" s="1"/>
  <c r="B96" i="29"/>
  <c r="D96" i="29" s="1"/>
  <c r="BB62" i="29"/>
  <c r="BB108" i="29" s="1"/>
  <c r="BB73" i="29"/>
  <c r="BJ62" i="29"/>
  <c r="BJ108" i="29" s="1"/>
  <c r="BJ73" i="29"/>
  <c r="BR62" i="29"/>
  <c r="BR108" i="29" s="1"/>
  <c r="BR73" i="29"/>
  <c r="CG62" i="29"/>
  <c r="CG73" i="29"/>
  <c r="CO62" i="29"/>
  <c r="CO73" i="29"/>
  <c r="CW62" i="29"/>
  <c r="CW73" i="29"/>
  <c r="DI62" i="29"/>
  <c r="DI73" i="29"/>
  <c r="DQ62" i="29"/>
  <c r="DQ73" i="29"/>
  <c r="DY62" i="29"/>
  <c r="DY73" i="29"/>
  <c r="C253" i="31"/>
  <c r="D253" i="31" s="1"/>
  <c r="B97" i="29"/>
  <c r="D97" i="29" s="1"/>
  <c r="BA76" i="29"/>
  <c r="BA65" i="29"/>
  <c r="BI76" i="29"/>
  <c r="BI65" i="29"/>
  <c r="BQ76" i="29"/>
  <c r="BQ65" i="29"/>
  <c r="CF76" i="29"/>
  <c r="CF65" i="29"/>
  <c r="CN76" i="29"/>
  <c r="CN65" i="29"/>
  <c r="CV76" i="29"/>
  <c r="CV65" i="29"/>
  <c r="DH76" i="29"/>
  <c r="DH65" i="29"/>
  <c r="DP76" i="29"/>
  <c r="DP65" i="29"/>
  <c r="DX76" i="29"/>
  <c r="DX65" i="29"/>
  <c r="BC66" i="29"/>
  <c r="BC77" i="29"/>
  <c r="BK66" i="29"/>
  <c r="BK77" i="29"/>
  <c r="BS66" i="29"/>
  <c r="BS77" i="29"/>
  <c r="CH66" i="29"/>
  <c r="CH77" i="29"/>
  <c r="CP66" i="29"/>
  <c r="CP77" i="29"/>
  <c r="CX66" i="29"/>
  <c r="CX77" i="29"/>
  <c r="DJ66" i="29"/>
  <c r="DJ77" i="29"/>
  <c r="DR66" i="29"/>
  <c r="DR77" i="29"/>
  <c r="DZ66" i="29"/>
  <c r="DZ77" i="29"/>
  <c r="BC26" i="29"/>
  <c r="BC71" i="29" s="1"/>
  <c r="BK26" i="29"/>
  <c r="BK71" i="29" s="1"/>
  <c r="BS26" i="29"/>
  <c r="BS71" i="29" s="1"/>
  <c r="CI27" i="29"/>
  <c r="CQ27" i="29"/>
  <c r="CY27" i="29"/>
  <c r="DL28" i="29"/>
  <c r="DT28" i="29"/>
  <c r="EB28" i="29"/>
  <c r="BC30" i="29"/>
  <c r="BK30" i="29"/>
  <c r="BS30" i="29"/>
  <c r="AT112" i="29"/>
  <c r="AT77" i="29"/>
  <c r="AT109" i="29"/>
  <c r="AT74" i="29"/>
  <c r="AT110" i="29"/>
  <c r="AT75" i="29"/>
  <c r="CB78" i="29"/>
  <c r="BJ79" i="29"/>
  <c r="AY80" i="29"/>
  <c r="DV80" i="29"/>
  <c r="Q41" i="28"/>
  <c r="BZ61" i="29"/>
  <c r="BZ38" i="29"/>
  <c r="BZ63" i="29"/>
  <c r="BZ40" i="29"/>
  <c r="DC65" i="29"/>
  <c r="DC42" i="29"/>
  <c r="DC67" i="29"/>
  <c r="DC44" i="29"/>
  <c r="BZ21" i="29"/>
  <c r="BZ54" i="29" s="1"/>
  <c r="AT23" i="29"/>
  <c r="AV26" i="29"/>
  <c r="BD26" i="29"/>
  <c r="BD71" i="29" s="1"/>
  <c r="BL26" i="29"/>
  <c r="BL71" i="29" s="1"/>
  <c r="BZ26" i="29"/>
  <c r="BZ90" i="29" s="1"/>
  <c r="CB27" i="29"/>
  <c r="CJ27" i="29"/>
  <c r="CR27" i="29"/>
  <c r="DE28" i="29"/>
  <c r="DM28" i="29"/>
  <c r="DU28" i="29"/>
  <c r="AV30" i="29"/>
  <c r="BD30" i="29"/>
  <c r="BL30" i="29"/>
  <c r="BZ30" i="29"/>
  <c r="BZ94" i="29" s="1"/>
  <c r="BC31" i="29"/>
  <c r="BK31" i="29"/>
  <c r="BS31" i="29"/>
  <c r="BC34" i="29"/>
  <c r="BK34" i="29"/>
  <c r="BS34" i="29"/>
  <c r="CS35" i="29"/>
  <c r="CK35" i="29"/>
  <c r="CC35" i="29"/>
  <c r="CY35" i="29"/>
  <c r="CQ35" i="29"/>
  <c r="CX35" i="29"/>
  <c r="CP35" i="29"/>
  <c r="CH35" i="29"/>
  <c r="CV35" i="29"/>
  <c r="CN35" i="29"/>
  <c r="CF35" i="29"/>
  <c r="CM35" i="29"/>
  <c r="AY99" i="29"/>
  <c r="AY100" i="29" s="1"/>
  <c r="AY101" i="29" s="1"/>
  <c r="BG99" i="29"/>
  <c r="BG100" i="29" s="1"/>
  <c r="BG101" i="29" s="1"/>
  <c r="CJ78" i="29"/>
  <c r="BR79" i="29"/>
  <c r="BO99" i="29"/>
  <c r="BO100" i="29" s="1"/>
  <c r="BO101" i="29" s="1"/>
  <c r="BS100" i="29"/>
  <c r="BS101" i="29" s="1"/>
  <c r="DC61" i="29"/>
  <c r="DC38" i="29"/>
  <c r="DC63" i="29"/>
  <c r="DC40" i="29"/>
  <c r="AT12" i="29"/>
  <c r="BZ15" i="29"/>
  <c r="BZ48" i="29" s="1"/>
  <c r="BZ16" i="29"/>
  <c r="BZ49" i="29" s="1"/>
  <c r="BZ18" i="29"/>
  <c r="BZ51" i="29" s="1"/>
  <c r="AT20" i="29"/>
  <c r="BZ23" i="29"/>
  <c r="BZ56" i="29" s="1"/>
  <c r="AW26" i="29"/>
  <c r="AW71" i="29" s="1"/>
  <c r="BE26" i="29"/>
  <c r="BE71" i="29" s="1"/>
  <c r="BM26" i="29"/>
  <c r="BM71" i="29" s="1"/>
  <c r="CI26" i="29"/>
  <c r="CQ26" i="29"/>
  <c r="CY26" i="29"/>
  <c r="CC27" i="29"/>
  <c r="CK27" i="29"/>
  <c r="CS27" i="29"/>
  <c r="DL27" i="29"/>
  <c r="DT27" i="29"/>
  <c r="EB27" i="29"/>
  <c r="DF28" i="29"/>
  <c r="DN28" i="29"/>
  <c r="DV28" i="29"/>
  <c r="BC29" i="29"/>
  <c r="BC63" i="29" s="1"/>
  <c r="BC109" i="29" s="1"/>
  <c r="BK29" i="29"/>
  <c r="BS29" i="29"/>
  <c r="BS74" i="29" s="1"/>
  <c r="CG29" i="29"/>
  <c r="CO29" i="29"/>
  <c r="CW29" i="29"/>
  <c r="DH29" i="29"/>
  <c r="DP29" i="29"/>
  <c r="DX29" i="29"/>
  <c r="AW30" i="29"/>
  <c r="BE30" i="29"/>
  <c r="BM30" i="29"/>
  <c r="CI30" i="29"/>
  <c r="CQ30" i="29"/>
  <c r="CY30" i="29"/>
  <c r="DJ30" i="29"/>
  <c r="DR30" i="29"/>
  <c r="DZ30" i="29"/>
  <c r="AV31" i="29"/>
  <c r="BD31" i="29"/>
  <c r="BL31" i="29"/>
  <c r="BZ31" i="29"/>
  <c r="BZ95" i="29" s="1"/>
  <c r="CH31" i="29"/>
  <c r="CP31" i="29"/>
  <c r="CX31" i="29"/>
  <c r="DI31" i="29"/>
  <c r="DQ31" i="29"/>
  <c r="DY31" i="29"/>
  <c r="BC32" i="29"/>
  <c r="BK32" i="29"/>
  <c r="BS32" i="29"/>
  <c r="CG32" i="29"/>
  <c r="CO32" i="29"/>
  <c r="CW32" i="29"/>
  <c r="DP32" i="29"/>
  <c r="DX32" i="29"/>
  <c r="BB33" i="29"/>
  <c r="BJ33" i="29"/>
  <c r="BR33" i="29"/>
  <c r="CF33" i="29"/>
  <c r="CN33" i="29"/>
  <c r="CV33" i="29"/>
  <c r="AV34" i="29"/>
  <c r="BD34" i="29"/>
  <c r="BL34" i="29"/>
  <c r="CH34" i="29"/>
  <c r="CP34" i="29"/>
  <c r="CX34" i="29"/>
  <c r="DI34" i="29"/>
  <c r="DQ34" i="29"/>
  <c r="DY34" i="29"/>
  <c r="BB35" i="29"/>
  <c r="BB80" i="29" s="1"/>
  <c r="CB35" i="29"/>
  <c r="CO35" i="29"/>
  <c r="AZ99" i="29"/>
  <c r="AZ100" i="29" s="1"/>
  <c r="AZ101" i="29" s="1"/>
  <c r="BH99" i="29"/>
  <c r="BH100" i="29" s="1"/>
  <c r="BH101" i="29" s="1"/>
  <c r="BP99" i="29"/>
  <c r="BP100" i="29" s="1"/>
  <c r="BP101" i="29" s="1"/>
  <c r="AT114" i="29"/>
  <c r="AT79" i="29"/>
  <c r="CR78" i="29"/>
  <c r="CG79" i="29"/>
  <c r="BO80" i="29"/>
  <c r="BZ68" i="29"/>
  <c r="BZ45" i="29"/>
  <c r="DC15" i="29"/>
  <c r="DC48" i="29" s="1"/>
  <c r="DC16" i="29"/>
  <c r="DC49" i="29" s="1"/>
  <c r="DC18" i="29"/>
  <c r="DC51" i="29" s="1"/>
  <c r="BZ20" i="29"/>
  <c r="BZ53" i="29" s="1"/>
  <c r="AX26" i="29"/>
  <c r="AX71" i="29" s="1"/>
  <c r="BF26" i="29"/>
  <c r="BF71" i="29" s="1"/>
  <c r="BN26" i="29"/>
  <c r="BN60" i="29" s="1"/>
  <c r="CB26" i="29"/>
  <c r="CJ26" i="29"/>
  <c r="CR26" i="29"/>
  <c r="CD27" i="29"/>
  <c r="CL27" i="29"/>
  <c r="CT27" i="29"/>
  <c r="DE27" i="29"/>
  <c r="DM27" i="29"/>
  <c r="DU27" i="29"/>
  <c r="DG28" i="29"/>
  <c r="DO28" i="29"/>
  <c r="DW28" i="29"/>
  <c r="AV29" i="29"/>
  <c r="AV74" i="29" s="1"/>
  <c r="BD29" i="29"/>
  <c r="BD63" i="29" s="1"/>
  <c r="BD109" i="29" s="1"/>
  <c r="BL29" i="29"/>
  <c r="BZ29" i="29"/>
  <c r="BZ93" i="29" s="1"/>
  <c r="AX30" i="29"/>
  <c r="BF30" i="29"/>
  <c r="BN30" i="29"/>
  <c r="AW31" i="29"/>
  <c r="BE31" i="29"/>
  <c r="BM31" i="29"/>
  <c r="CI31" i="29"/>
  <c r="CQ31" i="29"/>
  <c r="CY31" i="29"/>
  <c r="BZ32" i="29"/>
  <c r="BC33" i="29"/>
  <c r="BK33" i="29"/>
  <c r="BS33" i="29"/>
  <c r="AW34" i="29"/>
  <c r="BE34" i="29"/>
  <c r="BM34" i="29"/>
  <c r="CI34" i="29"/>
  <c r="CQ34" i="29"/>
  <c r="CY34" i="29"/>
  <c r="BO35" i="29"/>
  <c r="BO69" i="29" s="1"/>
  <c r="BG35" i="29"/>
  <c r="BG69" i="29" s="1"/>
  <c r="BL35" i="29"/>
  <c r="BL80" i="29" s="1"/>
  <c r="BC35" i="29"/>
  <c r="BC80" i="29" s="1"/>
  <c r="BM35" i="29"/>
  <c r="BM80" i="29" s="1"/>
  <c r="CD35" i="29"/>
  <c r="CR35" i="29"/>
  <c r="CF99" i="29"/>
  <c r="CF100" i="29" s="1"/>
  <c r="CF101" i="29" s="1"/>
  <c r="CN99" i="29"/>
  <c r="AT115" i="29"/>
  <c r="AT80" i="29"/>
  <c r="CO79" i="29"/>
  <c r="CD80" i="29"/>
  <c r="BZ110" i="29"/>
  <c r="BZ75" i="29"/>
  <c r="DC68" i="29"/>
  <c r="DC45" i="29"/>
  <c r="DC20" i="29"/>
  <c r="DC53" i="29" s="1"/>
  <c r="AY26" i="29"/>
  <c r="AY60" i="29" s="1"/>
  <c r="BG26" i="29"/>
  <c r="BG60" i="29" s="1"/>
  <c r="BO26" i="29"/>
  <c r="BO60" i="29" s="1"/>
  <c r="CC26" i="29"/>
  <c r="CK26" i="29"/>
  <c r="CS26" i="29"/>
  <c r="DL26" i="29"/>
  <c r="DT26" i="29"/>
  <c r="EB26" i="29"/>
  <c r="BA27" i="29"/>
  <c r="BA72" i="29" s="1"/>
  <c r="BI27" i="29"/>
  <c r="BI72" i="29" s="1"/>
  <c r="BQ27" i="29"/>
  <c r="BQ72" i="29" s="1"/>
  <c r="CE27" i="29"/>
  <c r="CM27" i="29"/>
  <c r="CU27" i="29"/>
  <c r="DF27" i="29"/>
  <c r="DN27" i="29"/>
  <c r="DV27" i="29"/>
  <c r="BC28" i="29"/>
  <c r="BC62" i="29" s="1"/>
  <c r="BC108" i="29" s="1"/>
  <c r="BK28" i="29"/>
  <c r="BS28" i="29"/>
  <c r="CG28" i="29"/>
  <c r="CO28" i="29"/>
  <c r="CW28" i="29"/>
  <c r="DH28" i="29"/>
  <c r="DP28" i="29"/>
  <c r="DX28" i="29"/>
  <c r="AW29" i="29"/>
  <c r="AW74" i="29" s="1"/>
  <c r="BE29" i="29"/>
  <c r="BE63" i="29" s="1"/>
  <c r="BE109" i="29" s="1"/>
  <c r="BM29" i="29"/>
  <c r="CI29" i="29"/>
  <c r="CQ29" i="29"/>
  <c r="CY29" i="29"/>
  <c r="DJ29" i="29"/>
  <c r="DR29" i="29"/>
  <c r="DZ29" i="29"/>
  <c r="AY30" i="29"/>
  <c r="BG30" i="29"/>
  <c r="BO30" i="29"/>
  <c r="CC30" i="29"/>
  <c r="CK30" i="29"/>
  <c r="CS30" i="29"/>
  <c r="DL30" i="29"/>
  <c r="DT30" i="29"/>
  <c r="EB30" i="29"/>
  <c r="AX31" i="29"/>
  <c r="BF31" i="29"/>
  <c r="BN31" i="29"/>
  <c r="CB31" i="29"/>
  <c r="CJ31" i="29"/>
  <c r="CR31" i="29"/>
  <c r="DC31" i="29"/>
  <c r="DC95" i="29" s="1"/>
  <c r="DK31" i="29"/>
  <c r="DS31" i="29"/>
  <c r="EA31" i="29"/>
  <c r="AW32" i="29"/>
  <c r="BE32" i="29"/>
  <c r="BM32" i="29"/>
  <c r="CI32" i="29"/>
  <c r="CQ32" i="29"/>
  <c r="CY32" i="29"/>
  <c r="DJ32" i="29"/>
  <c r="DR32" i="29"/>
  <c r="DZ32" i="29"/>
  <c r="AV33" i="29"/>
  <c r="BD33" i="29"/>
  <c r="BL33" i="29"/>
  <c r="BZ33" i="29"/>
  <c r="BZ96" i="29" s="1"/>
  <c r="CH33" i="29"/>
  <c r="CP33" i="29"/>
  <c r="CX33" i="29"/>
  <c r="AX34" i="29"/>
  <c r="BF34" i="29"/>
  <c r="BN34" i="29"/>
  <c r="CB34" i="29"/>
  <c r="CJ34" i="29"/>
  <c r="CR34" i="29"/>
  <c r="DC34" i="29"/>
  <c r="DC97" i="29" s="1"/>
  <c r="DK34" i="29"/>
  <c r="DS34" i="29"/>
  <c r="EA34" i="29"/>
  <c r="AV35" i="29"/>
  <c r="AV69" i="29" s="1"/>
  <c r="BD35" i="29"/>
  <c r="BD80" i="29" s="1"/>
  <c r="BN35" i="29"/>
  <c r="BN80" i="29" s="1"/>
  <c r="CE35" i="29"/>
  <c r="CT35" i="29"/>
  <c r="BB99" i="29"/>
  <c r="BB100" i="29" s="1"/>
  <c r="BB101" i="29" s="1"/>
  <c r="BJ99" i="29"/>
  <c r="BR99" i="29"/>
  <c r="BR100" i="29" s="1"/>
  <c r="BR101" i="29" s="1"/>
  <c r="DC46" i="29"/>
  <c r="DL78" i="29"/>
  <c r="CW79" i="29"/>
  <c r="CL80" i="29"/>
  <c r="BZ106" i="29"/>
  <c r="BZ71" i="29"/>
  <c r="BZ39" i="29"/>
  <c r="BZ62" i="29"/>
  <c r="DC64" i="29"/>
  <c r="DC41" i="29"/>
  <c r="DC43" i="29"/>
  <c r="DC66" i="29"/>
  <c r="BZ19" i="29"/>
  <c r="BZ52" i="29" s="1"/>
  <c r="AZ26" i="29"/>
  <c r="AZ60" i="29" s="1"/>
  <c r="BH26" i="29"/>
  <c r="BH71" i="29" s="1"/>
  <c r="BP26" i="29"/>
  <c r="BP60" i="29" s="1"/>
  <c r="CD26" i="29"/>
  <c r="CL26" i="29"/>
  <c r="CT26" i="29"/>
  <c r="CF27" i="29"/>
  <c r="CN27" i="29"/>
  <c r="CV27" i="29"/>
  <c r="DG27" i="29"/>
  <c r="DO27" i="29"/>
  <c r="DW27" i="29"/>
  <c r="BZ28" i="29"/>
  <c r="BZ92" i="29" s="1"/>
  <c r="DI28" i="29"/>
  <c r="DQ28" i="29"/>
  <c r="DY28" i="29"/>
  <c r="AX29" i="29"/>
  <c r="AX63" i="29" s="1"/>
  <c r="AX109" i="29" s="1"/>
  <c r="BF29" i="29"/>
  <c r="BF63" i="29" s="1"/>
  <c r="BF109" i="29" s="1"/>
  <c r="BN29" i="29"/>
  <c r="DC29" i="29"/>
  <c r="DC93" i="29" s="1"/>
  <c r="AZ30" i="29"/>
  <c r="BH30" i="29"/>
  <c r="BP30" i="29"/>
  <c r="AY31" i="29"/>
  <c r="BG31" i="29"/>
  <c r="BO31" i="29"/>
  <c r="CC31" i="29"/>
  <c r="CK31" i="29"/>
  <c r="CS31" i="29"/>
  <c r="DL31" i="29"/>
  <c r="DT31" i="29"/>
  <c r="EB31" i="29"/>
  <c r="DC32" i="29"/>
  <c r="AW33" i="29"/>
  <c r="BE33" i="29"/>
  <c r="BM33" i="29"/>
  <c r="CI33" i="29"/>
  <c r="CQ33" i="29"/>
  <c r="CY33" i="29"/>
  <c r="AY34" i="29"/>
  <c r="BG34" i="29"/>
  <c r="BO34" i="29"/>
  <c r="CC34" i="29"/>
  <c r="CK34" i="29"/>
  <c r="CS34" i="29"/>
  <c r="DL34" i="29"/>
  <c r="DT34" i="29"/>
  <c r="EB34" i="29"/>
  <c r="AW35" i="29"/>
  <c r="AW80" i="29" s="1"/>
  <c r="BE35" i="29"/>
  <c r="BE80" i="29" s="1"/>
  <c r="BP35" i="29"/>
  <c r="BP69" i="29" s="1"/>
  <c r="CG35" i="29"/>
  <c r="CU35" i="29"/>
  <c r="AW78" i="29"/>
  <c r="DT78" i="29"/>
  <c r="DI79" i="29"/>
  <c r="CT80" i="29"/>
  <c r="EA100" i="29"/>
  <c r="EA101" i="29" s="1"/>
  <c r="DS100" i="29"/>
  <c r="DS101" i="29" s="1"/>
  <c r="DK100" i="29"/>
  <c r="DK101" i="29" s="1"/>
  <c r="BJ100" i="29"/>
  <c r="BJ101" i="29" s="1"/>
  <c r="DR100" i="29"/>
  <c r="DR101" i="29" s="1"/>
  <c r="DY100" i="29"/>
  <c r="DY101" i="29" s="1"/>
  <c r="DI100" i="29"/>
  <c r="DI101" i="29" s="1"/>
  <c r="CV100" i="29"/>
  <c r="CV101" i="29" s="1"/>
  <c r="CN100" i="29"/>
  <c r="CN101" i="29" s="1"/>
  <c r="DV100" i="29"/>
  <c r="DV101" i="29" s="1"/>
  <c r="DN100" i="29"/>
  <c r="DN101" i="29" s="1"/>
  <c r="DF100" i="29"/>
  <c r="DF101" i="29" s="1"/>
  <c r="CS100" i="29"/>
  <c r="CS101" i="29" s="1"/>
  <c r="CK100" i="29"/>
  <c r="CK101" i="29" s="1"/>
  <c r="BE100" i="29"/>
  <c r="BE101" i="29" s="1"/>
  <c r="BN100" i="29"/>
  <c r="BN101" i="29" s="1"/>
  <c r="BK100" i="29"/>
  <c r="BK101" i="29" s="1"/>
  <c r="CT100" i="29"/>
  <c r="CT101" i="29" s="1"/>
  <c r="DW100" i="29"/>
  <c r="DW101" i="29" s="1"/>
  <c r="CL100" i="29"/>
  <c r="CL101" i="29" s="1"/>
  <c r="CI100" i="29"/>
  <c r="CI101" i="29" s="1"/>
  <c r="CD100" i="29"/>
  <c r="CD101" i="29" s="1"/>
  <c r="DC60" i="29"/>
  <c r="DC37" i="29"/>
  <c r="DC39" i="29"/>
  <c r="DC62" i="29"/>
  <c r="DC19" i="29"/>
  <c r="DC52" i="29" s="1"/>
  <c r="DC24" i="29"/>
  <c r="DC57" i="29" s="1"/>
  <c r="BA26" i="29"/>
  <c r="BA60" i="29" s="1"/>
  <c r="BI26" i="29"/>
  <c r="BI60" i="29" s="1"/>
  <c r="CE26" i="29"/>
  <c r="CM26" i="29"/>
  <c r="DF26" i="29"/>
  <c r="DN26" i="29"/>
  <c r="BC27" i="29"/>
  <c r="BC72" i="29" s="1"/>
  <c r="BK27" i="29"/>
  <c r="BK61" i="29" s="1"/>
  <c r="BK107" i="29" s="1"/>
  <c r="CG27" i="29"/>
  <c r="CO27" i="29"/>
  <c r="DH27" i="29"/>
  <c r="DP27" i="29"/>
  <c r="AW28" i="29"/>
  <c r="AW73" i="29" s="1"/>
  <c r="BE28" i="29"/>
  <c r="BE73" i="29" s="1"/>
  <c r="CI28" i="29"/>
  <c r="CQ28" i="29"/>
  <c r="DJ28" i="29"/>
  <c r="DR28" i="29"/>
  <c r="AY29" i="29"/>
  <c r="AY74" i="29" s="1"/>
  <c r="BG29" i="29"/>
  <c r="BG74" i="29" s="1"/>
  <c r="CC29" i="29"/>
  <c r="CK29" i="29"/>
  <c r="DL29" i="29"/>
  <c r="DT29" i="29"/>
  <c r="BA30" i="29"/>
  <c r="BI30" i="29"/>
  <c r="CE30" i="29"/>
  <c r="CM30" i="29"/>
  <c r="DF30" i="29"/>
  <c r="DN30" i="29"/>
  <c r="AZ31" i="29"/>
  <c r="BH31" i="29"/>
  <c r="CD31" i="29"/>
  <c r="CL31" i="29"/>
  <c r="DE31" i="29"/>
  <c r="DM31" i="29"/>
  <c r="AY32" i="29"/>
  <c r="BG32" i="29"/>
  <c r="CC32" i="29"/>
  <c r="CK32" i="29"/>
  <c r="DL32" i="29"/>
  <c r="DT32" i="29"/>
  <c r="AX33" i="29"/>
  <c r="BF33" i="29"/>
  <c r="CB33" i="29"/>
  <c r="CJ33" i="29"/>
  <c r="DC33" i="29"/>
  <c r="DC96" i="29" s="1"/>
  <c r="AZ34" i="29"/>
  <c r="BH34" i="29"/>
  <c r="CD34" i="29"/>
  <c r="CL34" i="29"/>
  <c r="DE34" i="29"/>
  <c r="DM34" i="29"/>
  <c r="AX35" i="29"/>
  <c r="AX80" i="29" s="1"/>
  <c r="BF35" i="29"/>
  <c r="BF80" i="29" s="1"/>
  <c r="BQ35" i="29"/>
  <c r="BQ69" i="29" s="1"/>
  <c r="CI35" i="29"/>
  <c r="CW35" i="29"/>
  <c r="AV99" i="29"/>
  <c r="AV100" i="29" s="1"/>
  <c r="AV101" i="29" s="1"/>
  <c r="BZ37" i="29"/>
  <c r="BZ41" i="29"/>
  <c r="CQ99" i="29"/>
  <c r="CQ100" i="29" s="1"/>
  <c r="CQ101" i="29" s="1"/>
  <c r="CY99" i="29"/>
  <c r="CY100" i="29" s="1"/>
  <c r="CY101" i="29" s="1"/>
  <c r="BE78" i="29"/>
  <c r="EB78" i="29"/>
  <c r="DQ79" i="29"/>
  <c r="DF80" i="29"/>
  <c r="M5" i="30"/>
  <c r="D6" i="30"/>
  <c r="M6" i="30" s="1"/>
  <c r="AO28" i="30"/>
  <c r="AP28" i="30" s="1"/>
  <c r="AO27" i="30"/>
  <c r="AP27" i="30" s="1"/>
  <c r="CB99" i="29"/>
  <c r="CB100" i="29" s="1"/>
  <c r="CB101" i="29" s="1"/>
  <c r="CJ99" i="29"/>
  <c r="CJ100" i="29" s="1"/>
  <c r="CJ101" i="29" s="1"/>
  <c r="CR99" i="29"/>
  <c r="CR100" i="29" s="1"/>
  <c r="CR101" i="29" s="1"/>
  <c r="DL99" i="29"/>
  <c r="DL100" i="29" s="1"/>
  <c r="DL101" i="29" s="1"/>
  <c r="DT99" i="29"/>
  <c r="DT100" i="29" s="1"/>
  <c r="DT101" i="29" s="1"/>
  <c r="EB99" i="29"/>
  <c r="EB100" i="29" s="1"/>
  <c r="EB101" i="29" s="1"/>
  <c r="DG35" i="29"/>
  <c r="DO35" i="29"/>
  <c r="DW35" i="29"/>
  <c r="DE99" i="29"/>
  <c r="DE100" i="29" s="1"/>
  <c r="DE101" i="29" s="1"/>
  <c r="DM99" i="29"/>
  <c r="DM100" i="29" s="1"/>
  <c r="DM101" i="29" s="1"/>
  <c r="DU99" i="29"/>
  <c r="DU100" i="29" s="1"/>
  <c r="DU101" i="29" s="1"/>
  <c r="C279" i="31"/>
  <c r="B116" i="29"/>
  <c r="X30" i="30"/>
  <c r="AG35" i="30"/>
  <c r="AI35" i="30" s="1"/>
  <c r="C272" i="31"/>
  <c r="B107" i="29"/>
  <c r="B124" i="29" s="1"/>
  <c r="C274" i="31"/>
  <c r="D274" i="31" s="1"/>
  <c r="C206" i="29"/>
  <c r="AK27" i="30"/>
  <c r="AK28" i="30" s="1"/>
  <c r="J38" i="30" s="1"/>
  <c r="DI35" i="29"/>
  <c r="DQ35" i="29"/>
  <c r="DY35" i="29"/>
  <c r="CE99" i="29"/>
  <c r="CE100" i="29" s="1"/>
  <c r="CE101" i="29" s="1"/>
  <c r="CM99" i="29"/>
  <c r="CM100" i="29" s="1"/>
  <c r="CM101" i="29" s="1"/>
  <c r="CU99" i="29"/>
  <c r="CU100" i="29" s="1"/>
  <c r="CU101" i="29" s="1"/>
  <c r="DG99" i="29"/>
  <c r="DG100" i="29" s="1"/>
  <c r="DG101" i="29" s="1"/>
  <c r="DO99" i="29"/>
  <c r="DO100" i="29" s="1"/>
  <c r="DO101" i="29" s="1"/>
  <c r="DW99" i="29"/>
  <c r="L6" i="30"/>
  <c r="AH34" i="30"/>
  <c r="AI34" i="30" s="1"/>
  <c r="AL77" i="30"/>
  <c r="AT77" i="30"/>
  <c r="BB77" i="30"/>
  <c r="DR35" i="29"/>
  <c r="DZ35" i="29"/>
  <c r="DH99" i="29"/>
  <c r="DH100" i="29" s="1"/>
  <c r="DH101" i="29" s="1"/>
  <c r="DP99" i="29"/>
  <c r="DP100" i="29" s="1"/>
  <c r="DP101" i="29" s="1"/>
  <c r="DX99" i="29"/>
  <c r="DX100" i="29" s="1"/>
  <c r="DX101" i="29" s="1"/>
  <c r="X28" i="30"/>
  <c r="AG33" i="30"/>
  <c r="BA99" i="29"/>
  <c r="BA100" i="29" s="1"/>
  <c r="BA101" i="29" s="1"/>
  <c r="BI99" i="29"/>
  <c r="BI100" i="29" s="1"/>
  <c r="BI101" i="29" s="1"/>
  <c r="BQ99" i="29"/>
  <c r="BQ100" i="29" s="1"/>
  <c r="BQ101" i="29" s="1"/>
  <c r="CG99" i="29"/>
  <c r="CG100" i="29" s="1"/>
  <c r="CG101" i="29" s="1"/>
  <c r="CO99" i="29"/>
  <c r="CO100" i="29" s="1"/>
  <c r="CO101" i="29" s="1"/>
  <c r="CW99" i="29"/>
  <c r="CW100" i="29" s="1"/>
  <c r="CW101" i="29" s="1"/>
  <c r="AC50" i="30"/>
  <c r="CM73" i="30"/>
  <c r="CU73" i="30"/>
  <c r="DC73" i="30"/>
  <c r="DL35" i="29"/>
  <c r="DT35" i="29"/>
  <c r="CH99" i="29"/>
  <c r="CH100" i="29" s="1"/>
  <c r="CH101" i="29" s="1"/>
  <c r="CP99" i="29"/>
  <c r="CP100" i="29" s="1"/>
  <c r="CP101" i="29" s="1"/>
  <c r="CX99" i="29"/>
  <c r="CX100" i="29" s="1"/>
  <c r="CX101" i="29" s="1"/>
  <c r="DJ99" i="29"/>
  <c r="DJ100" i="29" s="1"/>
  <c r="DJ101" i="29" s="1"/>
  <c r="DR99" i="29"/>
  <c r="DZ99" i="29"/>
  <c r="DZ100" i="29" s="1"/>
  <c r="DZ101" i="29" s="1"/>
  <c r="G4" i="30"/>
  <c r="CQ72" i="30"/>
  <c r="CY72" i="30"/>
  <c r="DG72" i="30"/>
  <c r="BP76" i="30"/>
  <c r="BX76" i="30"/>
  <c r="CF76" i="30"/>
  <c r="AW89" i="30"/>
  <c r="BT92" i="30"/>
  <c r="BL92" i="30"/>
  <c r="BD92" i="30"/>
  <c r="AV92" i="30"/>
  <c r="AN92" i="30"/>
  <c r="BS92" i="30"/>
  <c r="BK92" i="30"/>
  <c r="BC92" i="30"/>
  <c r="AU92" i="30"/>
  <c r="AM92" i="30"/>
  <c r="BR92" i="30"/>
  <c r="BJ92" i="30"/>
  <c r="BB92" i="30"/>
  <c r="AT92" i="30"/>
  <c r="BV92" i="30"/>
  <c r="BU92" i="30"/>
  <c r="BF92" i="30"/>
  <c r="AR92" i="30"/>
  <c r="AH92" i="30"/>
  <c r="BQ92" i="30"/>
  <c r="BE92" i="30"/>
  <c r="AQ92" i="30"/>
  <c r="AG92" i="30"/>
  <c r="BP92" i="30"/>
  <c r="BA92" i="30"/>
  <c r="AP92" i="30"/>
  <c r="AF92" i="30"/>
  <c r="BO92" i="30"/>
  <c r="AZ92" i="30"/>
  <c r="AO92" i="30"/>
  <c r="AE92" i="30"/>
  <c r="BM92" i="30"/>
  <c r="AY92" i="30"/>
  <c r="AL92" i="30"/>
  <c r="AD92" i="30"/>
  <c r="BI92" i="30"/>
  <c r="AX92" i="30"/>
  <c r="AK92" i="30"/>
  <c r="AC92" i="30"/>
  <c r="BH92" i="30"/>
  <c r="AW92" i="30"/>
  <c r="AJ92" i="30"/>
  <c r="AB92" i="30"/>
  <c r="BU107" i="30"/>
  <c r="BM107" i="30"/>
  <c r="BE107" i="30"/>
  <c r="AW107" i="30"/>
  <c r="AO107" i="30"/>
  <c r="AG107" i="30"/>
  <c r="BT107" i="30"/>
  <c r="BL107" i="30"/>
  <c r="BD107" i="30"/>
  <c r="AV107" i="30"/>
  <c r="AN107" i="30"/>
  <c r="AF107" i="30"/>
  <c r="BS107" i="30"/>
  <c r="BK107" i="30"/>
  <c r="BC107" i="30"/>
  <c r="AU107" i="30"/>
  <c r="AM107" i="30"/>
  <c r="AE107" i="30"/>
  <c r="BR107" i="30"/>
  <c r="BJ107" i="30"/>
  <c r="BB107" i="30"/>
  <c r="AT107" i="30"/>
  <c r="AL107" i="30"/>
  <c r="AD107" i="30"/>
  <c r="BQ107" i="30"/>
  <c r="BI107" i="30"/>
  <c r="BA107" i="30"/>
  <c r="AS107" i="30"/>
  <c r="AK107" i="30"/>
  <c r="AC107" i="30"/>
  <c r="BG107" i="30"/>
  <c r="AY107" i="30"/>
  <c r="AQ107" i="30"/>
  <c r="AI107" i="30"/>
  <c r="AX107" i="30"/>
  <c r="AR107" i="30"/>
  <c r="BV107" i="30"/>
  <c r="AP107" i="30"/>
  <c r="BP107" i="30"/>
  <c r="AJ107" i="30"/>
  <c r="BN107" i="30"/>
  <c r="AH107" i="30"/>
  <c r="BH107" i="30"/>
  <c r="AB107" i="30"/>
  <c r="BF107" i="30"/>
  <c r="L113" i="30"/>
  <c r="H4" i="30"/>
  <c r="L5" i="30"/>
  <c r="BL69" i="30"/>
  <c r="BT69" i="30"/>
  <c r="CB69" i="30"/>
  <c r="CM69" i="30"/>
  <c r="CU69" i="30"/>
  <c r="DC69" i="30"/>
  <c r="DN69" i="30"/>
  <c r="DV69" i="30"/>
  <c r="ED69" i="30"/>
  <c r="BP70" i="30"/>
  <c r="BX70" i="30"/>
  <c r="CF70" i="30"/>
  <c r="CM71" i="30"/>
  <c r="CU71" i="30"/>
  <c r="DC71" i="30"/>
  <c r="CQ74" i="30"/>
  <c r="CY74" i="30"/>
  <c r="DG74" i="30"/>
  <c r="BL77" i="30"/>
  <c r="BT77" i="30"/>
  <c r="CB77" i="30"/>
  <c r="BP78" i="30"/>
  <c r="BX78" i="30"/>
  <c r="CF78" i="30"/>
  <c r="BE89" i="30"/>
  <c r="BP91" i="30"/>
  <c r="BH91" i="30"/>
  <c r="AZ91" i="30"/>
  <c r="AR91" i="30"/>
  <c r="AJ91" i="30"/>
  <c r="AB91" i="30"/>
  <c r="BO91" i="30"/>
  <c r="BG91" i="30"/>
  <c r="AY91" i="30"/>
  <c r="AQ91" i="30"/>
  <c r="AI91" i="30"/>
  <c r="BV91" i="30"/>
  <c r="BN91" i="30"/>
  <c r="BF91" i="30"/>
  <c r="AX91" i="30"/>
  <c r="AP91" i="30"/>
  <c r="AH91" i="30"/>
  <c r="BU91" i="30"/>
  <c r="BE91" i="30"/>
  <c r="AW91" i="30"/>
  <c r="AO91" i="30"/>
  <c r="AG91" i="30"/>
  <c r="BT91" i="30"/>
  <c r="BL91" i="30"/>
  <c r="BD91" i="30"/>
  <c r="AV91" i="30"/>
  <c r="AN91" i="30"/>
  <c r="AF91" i="30"/>
  <c r="BS91" i="30"/>
  <c r="BK91" i="30"/>
  <c r="BC91" i="30"/>
  <c r="AU91" i="30"/>
  <c r="AM91" i="30"/>
  <c r="AE91" i="30"/>
  <c r="BR91" i="30"/>
  <c r="BJ91" i="30"/>
  <c r="BB91" i="30"/>
  <c r="AT91" i="30"/>
  <c r="AL91" i="30"/>
  <c r="AD91" i="30"/>
  <c r="AL73" i="30"/>
  <c r="AT73" i="30"/>
  <c r="BB73" i="30"/>
  <c r="DN73" i="30"/>
  <c r="DV73" i="30"/>
  <c r="ED73" i="30"/>
  <c r="CM75" i="30"/>
  <c r="CU75" i="30"/>
  <c r="DC75" i="30"/>
  <c r="BM89" i="30"/>
  <c r="AX72" i="30"/>
  <c r="DR72" i="30"/>
  <c r="DZ72" i="30"/>
  <c r="EH72" i="30"/>
  <c r="CQ76" i="30"/>
  <c r="CY76" i="30"/>
  <c r="DG76" i="30"/>
  <c r="AI92" i="30"/>
  <c r="CQ70" i="30"/>
  <c r="CY70" i="30"/>
  <c r="DG70" i="30"/>
  <c r="BB71" i="30"/>
  <c r="DN71" i="30"/>
  <c r="DV71" i="30"/>
  <c r="ED71" i="30"/>
  <c r="I220" i="31"/>
  <c r="BL73" i="30"/>
  <c r="BT73" i="30"/>
  <c r="CB73" i="30"/>
  <c r="AH74" i="30"/>
  <c r="AP74" i="30"/>
  <c r="AX74" i="30"/>
  <c r="DR74" i="30"/>
  <c r="DZ74" i="30"/>
  <c r="EH74" i="30"/>
  <c r="S54" i="30"/>
  <c r="CM77" i="30"/>
  <c r="CU77" i="30"/>
  <c r="DC77" i="30"/>
  <c r="CQ78" i="30"/>
  <c r="CY78" i="30"/>
  <c r="DG78" i="30"/>
  <c r="BT89" i="30"/>
  <c r="BL89" i="30"/>
  <c r="BD89" i="30"/>
  <c r="AV89" i="30"/>
  <c r="AN89" i="30"/>
  <c r="AF89" i="30"/>
  <c r="BS89" i="30"/>
  <c r="BC89" i="30"/>
  <c r="AU89" i="30"/>
  <c r="AM89" i="30"/>
  <c r="AE89" i="30"/>
  <c r="BR89" i="30"/>
  <c r="BJ89" i="30"/>
  <c r="BB89" i="30"/>
  <c r="AT89" i="30"/>
  <c r="AL89" i="30"/>
  <c r="AD89" i="30"/>
  <c r="BQ89" i="30"/>
  <c r="BI89" i="30"/>
  <c r="BA89" i="30"/>
  <c r="AS89" i="30"/>
  <c r="AK89" i="30"/>
  <c r="AC89" i="30"/>
  <c r="BP89" i="30"/>
  <c r="BH89" i="30"/>
  <c r="AZ89" i="30"/>
  <c r="AR89" i="30"/>
  <c r="AJ89" i="30"/>
  <c r="AB89" i="30"/>
  <c r="BO89" i="30"/>
  <c r="BG89" i="30"/>
  <c r="AY89" i="30"/>
  <c r="AQ89" i="30"/>
  <c r="AI89" i="30"/>
  <c r="BV89" i="30"/>
  <c r="BN89" i="30"/>
  <c r="BF89" i="30"/>
  <c r="AX89" i="30"/>
  <c r="AP89" i="30"/>
  <c r="AH89" i="30"/>
  <c r="BP72" i="30"/>
  <c r="BX72" i="30"/>
  <c r="CF72" i="30"/>
  <c r="AL75" i="30"/>
  <c r="AT75" i="30"/>
  <c r="BB75" i="30"/>
  <c r="DN75" i="30"/>
  <c r="DV75" i="30"/>
  <c r="ED75" i="30"/>
  <c r="AS91" i="30"/>
  <c r="BG92" i="30"/>
  <c r="W225" i="30"/>
  <c r="V225" i="30"/>
  <c r="U225" i="30"/>
  <c r="AJ225" i="30"/>
  <c r="AI225" i="30"/>
  <c r="AG225" i="30"/>
  <c r="AF225" i="30"/>
  <c r="BL71" i="30"/>
  <c r="BT71" i="30"/>
  <c r="CB71" i="30"/>
  <c r="BP74" i="30"/>
  <c r="BX74" i="30"/>
  <c r="CF74" i="30"/>
  <c r="AH76" i="30"/>
  <c r="AP76" i="30"/>
  <c r="AX76" i="30"/>
  <c r="DR76" i="30"/>
  <c r="DZ76" i="30"/>
  <c r="EH76" i="30"/>
  <c r="AG89" i="30"/>
  <c r="AF90" i="30"/>
  <c r="AN90" i="30"/>
  <c r="AV90" i="30"/>
  <c r="BD90" i="30"/>
  <c r="BT90" i="30"/>
  <c r="AG93" i="30"/>
  <c r="AW93" i="30"/>
  <c r="BM93" i="30"/>
  <c r="BL96" i="30"/>
  <c r="AN98" i="30"/>
  <c r="AN100" i="30"/>
  <c r="BR104" i="30"/>
  <c r="BJ104" i="30"/>
  <c r="BB104" i="30"/>
  <c r="AT104" i="30"/>
  <c r="AL104" i="30"/>
  <c r="AD104" i="30"/>
  <c r="BQ104" i="30"/>
  <c r="BI104" i="30"/>
  <c r="BA104" i="30"/>
  <c r="AS104" i="30"/>
  <c r="AK104" i="30"/>
  <c r="AC104" i="30"/>
  <c r="BP104" i="30"/>
  <c r="BH104" i="30"/>
  <c r="AZ104" i="30"/>
  <c r="AR104" i="30"/>
  <c r="AJ104" i="30"/>
  <c r="AB104" i="30"/>
  <c r="BO104" i="30"/>
  <c r="BG104" i="30"/>
  <c r="AY104" i="30"/>
  <c r="AQ104" i="30"/>
  <c r="AI104" i="30"/>
  <c r="BV104" i="30"/>
  <c r="BN104" i="30"/>
  <c r="BF104" i="30"/>
  <c r="AX104" i="30"/>
  <c r="AP104" i="30"/>
  <c r="AH104" i="30"/>
  <c r="BT104" i="30"/>
  <c r="BD104" i="30"/>
  <c r="AV104" i="30"/>
  <c r="AN104" i="30"/>
  <c r="AF104" i="30"/>
  <c r="BC104" i="30"/>
  <c r="AB169" i="30"/>
  <c r="AA221" i="30"/>
  <c r="AD221" i="30" s="1"/>
  <c r="AH221" i="30" s="1"/>
  <c r="AG90" i="30"/>
  <c r="AO90" i="30"/>
  <c r="AW90" i="30"/>
  <c r="BE90" i="30"/>
  <c r="BM90" i="30"/>
  <c r="BU90" i="30"/>
  <c r="BO98" i="30"/>
  <c r="BG98" i="30"/>
  <c r="AY98" i="30"/>
  <c r="AQ98" i="30"/>
  <c r="AI98" i="30"/>
  <c r="BV98" i="30"/>
  <c r="BN98" i="30"/>
  <c r="BF98" i="30"/>
  <c r="AX98" i="30"/>
  <c r="AP98" i="30"/>
  <c r="AH98" i="30"/>
  <c r="BU98" i="30"/>
  <c r="BE98" i="30"/>
  <c r="AW98" i="30"/>
  <c r="AO98" i="30"/>
  <c r="AG98" i="30"/>
  <c r="BS98" i="30"/>
  <c r="BK98" i="30"/>
  <c r="BC98" i="30"/>
  <c r="AU98" i="30"/>
  <c r="AM98" i="30"/>
  <c r="AE98" i="30"/>
  <c r="BQ98" i="30"/>
  <c r="BI98" i="30"/>
  <c r="BA98" i="30"/>
  <c r="AS98" i="30"/>
  <c r="AK98" i="30"/>
  <c r="AC98" i="30"/>
  <c r="AR98" i="30"/>
  <c r="BL98" i="30"/>
  <c r="BT103" i="30"/>
  <c r="BL103" i="30"/>
  <c r="BD103" i="30"/>
  <c r="AV103" i="30"/>
  <c r="AN103" i="30"/>
  <c r="AF103" i="30"/>
  <c r="BS103" i="30"/>
  <c r="BC103" i="30"/>
  <c r="AU103" i="30"/>
  <c r="AM103" i="30"/>
  <c r="AE103" i="30"/>
  <c r="BR103" i="30"/>
  <c r="BJ103" i="30"/>
  <c r="BB103" i="30"/>
  <c r="AT103" i="30"/>
  <c r="AL103" i="30"/>
  <c r="AD103" i="30"/>
  <c r="BQ103" i="30"/>
  <c r="BI103" i="30"/>
  <c r="BA103" i="30"/>
  <c r="AS103" i="30"/>
  <c r="AK103" i="30"/>
  <c r="AC103" i="30"/>
  <c r="BP103" i="30"/>
  <c r="BH103" i="30"/>
  <c r="AZ103" i="30"/>
  <c r="AR103" i="30"/>
  <c r="AJ103" i="30"/>
  <c r="AB103" i="30"/>
  <c r="BV103" i="30"/>
  <c r="BN103" i="30"/>
  <c r="BF103" i="30"/>
  <c r="AX103" i="30"/>
  <c r="AP103" i="30"/>
  <c r="AH103" i="30"/>
  <c r="AY103" i="30"/>
  <c r="BE104" i="30"/>
  <c r="AH90" i="30"/>
  <c r="AP90" i="30"/>
  <c r="AX90" i="30"/>
  <c r="BF90" i="30"/>
  <c r="BN90" i="30"/>
  <c r="BV90" i="30"/>
  <c r="AI93" i="30"/>
  <c r="AY93" i="30"/>
  <c r="BO96" i="30"/>
  <c r="AT98" i="30"/>
  <c r="BP98" i="30"/>
  <c r="BS100" i="30"/>
  <c r="BK100" i="30"/>
  <c r="BC100" i="30"/>
  <c r="AU100" i="30"/>
  <c r="AM100" i="30"/>
  <c r="AE100" i="30"/>
  <c r="BR100" i="30"/>
  <c r="BJ100" i="30"/>
  <c r="BB100" i="30"/>
  <c r="AT100" i="30"/>
  <c r="AL100" i="30"/>
  <c r="AD100" i="30"/>
  <c r="BQ100" i="30"/>
  <c r="BI100" i="30"/>
  <c r="BA100" i="30"/>
  <c r="AS100" i="30"/>
  <c r="AK100" i="30"/>
  <c r="AC100" i="30"/>
  <c r="BG100" i="30"/>
  <c r="AY100" i="30"/>
  <c r="AQ100" i="30"/>
  <c r="AI100" i="30"/>
  <c r="BU100" i="30"/>
  <c r="BM100" i="30"/>
  <c r="BE100" i="30"/>
  <c r="AW100" i="30"/>
  <c r="AO100" i="30"/>
  <c r="AG100" i="30"/>
  <c r="AR100" i="30"/>
  <c r="BN100" i="30"/>
  <c r="BE103" i="30"/>
  <c r="AE104" i="30"/>
  <c r="BK104" i="30"/>
  <c r="J125" i="30"/>
  <c r="AI140" i="30"/>
  <c r="AG192" i="30"/>
  <c r="AF192" i="30"/>
  <c r="W192" i="30"/>
  <c r="V192" i="30"/>
  <c r="U192" i="30"/>
  <c r="AJ192" i="30"/>
  <c r="AI192" i="30"/>
  <c r="AM215" i="31"/>
  <c r="W274" i="30"/>
  <c r="AM218" i="31" s="1"/>
  <c r="AI90" i="30"/>
  <c r="AQ90" i="30"/>
  <c r="AY90" i="30"/>
  <c r="BG90" i="30"/>
  <c r="BO90" i="30"/>
  <c r="AM93" i="30"/>
  <c r="BC93" i="30"/>
  <c r="AJ96" i="30"/>
  <c r="AZ96" i="30"/>
  <c r="AL97" i="30"/>
  <c r="BF97" i="30"/>
  <c r="AB98" i="30"/>
  <c r="AV98" i="30"/>
  <c r="BR98" i="30"/>
  <c r="AV100" i="30"/>
  <c r="BP100" i="30"/>
  <c r="BG103" i="30"/>
  <c r="AG104" i="30"/>
  <c r="BM104" i="30"/>
  <c r="J129" i="30"/>
  <c r="V178" i="30"/>
  <c r="U178" i="30"/>
  <c r="AI178" i="30"/>
  <c r="AG178" i="30"/>
  <c r="AJ178" i="30"/>
  <c r="AF178" i="30"/>
  <c r="AE178" i="30"/>
  <c r="W178" i="30"/>
  <c r="AB90" i="30"/>
  <c r="AJ90" i="30"/>
  <c r="AR90" i="30"/>
  <c r="AZ90" i="30"/>
  <c r="BH90" i="30"/>
  <c r="BP90" i="30"/>
  <c r="BR93" i="30"/>
  <c r="BJ93" i="30"/>
  <c r="BB93" i="30"/>
  <c r="AT93" i="30"/>
  <c r="AL93" i="30"/>
  <c r="AD93" i="30"/>
  <c r="BQ93" i="30"/>
  <c r="BI93" i="30"/>
  <c r="BA93" i="30"/>
  <c r="AS93" i="30"/>
  <c r="AK93" i="30"/>
  <c r="AC93" i="30"/>
  <c r="BP93" i="30"/>
  <c r="BH93" i="30"/>
  <c r="AZ93" i="30"/>
  <c r="AR93" i="30"/>
  <c r="AJ93" i="30"/>
  <c r="AB93" i="30"/>
  <c r="BT93" i="30"/>
  <c r="BL93" i="30"/>
  <c r="BD93" i="30"/>
  <c r="AV93" i="30"/>
  <c r="AN93" i="30"/>
  <c r="AF93" i="30"/>
  <c r="AO93" i="30"/>
  <c r="BE93" i="30"/>
  <c r="BU93" i="30"/>
  <c r="BS96" i="30"/>
  <c r="BC96" i="30"/>
  <c r="AU96" i="30"/>
  <c r="AM96" i="30"/>
  <c r="AE96" i="30"/>
  <c r="BR96" i="30"/>
  <c r="BJ96" i="30"/>
  <c r="BB96" i="30"/>
  <c r="AT96" i="30"/>
  <c r="AL96" i="30"/>
  <c r="AD96" i="30"/>
  <c r="BQ96" i="30"/>
  <c r="BI96" i="30"/>
  <c r="BA96" i="30"/>
  <c r="AS96" i="30"/>
  <c r="AK96" i="30"/>
  <c r="AC96" i="30"/>
  <c r="BU96" i="30"/>
  <c r="BM96" i="30"/>
  <c r="BE96" i="30"/>
  <c r="AW96" i="30"/>
  <c r="AO96" i="30"/>
  <c r="AG96" i="30"/>
  <c r="AN96" i="30"/>
  <c r="BD96" i="30"/>
  <c r="BT96" i="30"/>
  <c r="AN97" i="30"/>
  <c r="BJ97" i="30"/>
  <c r="AD98" i="30"/>
  <c r="AZ98" i="30"/>
  <c r="BT98" i="30"/>
  <c r="AB100" i="30"/>
  <c r="AX100" i="30"/>
  <c r="BT100" i="30"/>
  <c r="AG103" i="30"/>
  <c r="BM103" i="30"/>
  <c r="AM104" i="30"/>
  <c r="BS104" i="30"/>
  <c r="BV106" i="30"/>
  <c r="BF106" i="30"/>
  <c r="AX106" i="30"/>
  <c r="AP106" i="30"/>
  <c r="AH106" i="30"/>
  <c r="BU106" i="30"/>
  <c r="BM106" i="30"/>
  <c r="BE106" i="30"/>
  <c r="AW106" i="30"/>
  <c r="AO106" i="30"/>
  <c r="AG106" i="30"/>
  <c r="BT106" i="30"/>
  <c r="BL106" i="30"/>
  <c r="BD106" i="30"/>
  <c r="AV106" i="30"/>
  <c r="AN106" i="30"/>
  <c r="AF106" i="30"/>
  <c r="BS106" i="30"/>
  <c r="BK106" i="30"/>
  <c r="BC106" i="30"/>
  <c r="AU106" i="30"/>
  <c r="AM106" i="30"/>
  <c r="AE106" i="30"/>
  <c r="BR106" i="30"/>
  <c r="BJ106" i="30"/>
  <c r="BB106" i="30"/>
  <c r="AT106" i="30"/>
  <c r="AL106" i="30"/>
  <c r="AD106" i="30"/>
  <c r="BP106" i="30"/>
  <c r="BH106" i="30"/>
  <c r="AZ106" i="30"/>
  <c r="AR106" i="30"/>
  <c r="AJ106" i="30"/>
  <c r="AB106" i="30"/>
  <c r="AY106" i="30"/>
  <c r="AC90" i="30"/>
  <c r="AK90" i="30"/>
  <c r="AS90" i="30"/>
  <c r="BA90" i="30"/>
  <c r="BI90" i="30"/>
  <c r="BQ90" i="30"/>
  <c r="AP93" i="30"/>
  <c r="BF93" i="30"/>
  <c r="BV93" i="30"/>
  <c r="AP96" i="30"/>
  <c r="BF96" i="30"/>
  <c r="BV96" i="30"/>
  <c r="AP97" i="30"/>
  <c r="AF98" i="30"/>
  <c r="BB98" i="30"/>
  <c r="AP99" i="30"/>
  <c r="AF100" i="30"/>
  <c r="AZ100" i="30"/>
  <c r="BV100" i="30"/>
  <c r="AI103" i="30"/>
  <c r="BO103" i="30"/>
  <c r="AO104" i="30"/>
  <c r="BU104" i="30"/>
  <c r="BA106" i="30"/>
  <c r="M113" i="30"/>
  <c r="AD90" i="30"/>
  <c r="AL90" i="30"/>
  <c r="AT90" i="30"/>
  <c r="BB90" i="30"/>
  <c r="BJ90" i="30"/>
  <c r="AQ93" i="30"/>
  <c r="BG93" i="30"/>
  <c r="AQ96" i="30"/>
  <c r="BG96" i="30"/>
  <c r="BQ97" i="30"/>
  <c r="BI97" i="30"/>
  <c r="BA97" i="30"/>
  <c r="AS97" i="30"/>
  <c r="AK97" i="30"/>
  <c r="AC97" i="30"/>
  <c r="BP97" i="30"/>
  <c r="BH97" i="30"/>
  <c r="AZ97" i="30"/>
  <c r="AR97" i="30"/>
  <c r="AJ97" i="30"/>
  <c r="AB97" i="30"/>
  <c r="BO97" i="30"/>
  <c r="BG97" i="30"/>
  <c r="AY97" i="30"/>
  <c r="AQ97" i="30"/>
  <c r="AI97" i="30"/>
  <c r="BU97" i="30"/>
  <c r="BM97" i="30"/>
  <c r="BE97" i="30"/>
  <c r="AW97" i="30"/>
  <c r="AO97" i="30"/>
  <c r="AG97" i="30"/>
  <c r="BS97" i="30"/>
  <c r="BK97" i="30"/>
  <c r="BC97" i="30"/>
  <c r="AU97" i="30"/>
  <c r="AM97" i="30"/>
  <c r="AE97" i="30"/>
  <c r="AT97" i="30"/>
  <c r="BN97" i="30"/>
  <c r="AJ98" i="30"/>
  <c r="BD98" i="30"/>
  <c r="BU99" i="30"/>
  <c r="BM99" i="30"/>
  <c r="BE99" i="30"/>
  <c r="AW99" i="30"/>
  <c r="AO99" i="30"/>
  <c r="AG99" i="30"/>
  <c r="BT99" i="30"/>
  <c r="BL99" i="30"/>
  <c r="BD99" i="30"/>
  <c r="AV99" i="30"/>
  <c r="AN99" i="30"/>
  <c r="AF99" i="30"/>
  <c r="BS99" i="30"/>
  <c r="BK99" i="30"/>
  <c r="BC99" i="30"/>
  <c r="AU99" i="30"/>
  <c r="AM99" i="30"/>
  <c r="AE99" i="30"/>
  <c r="BQ99" i="30"/>
  <c r="BI99" i="30"/>
  <c r="BA99" i="30"/>
  <c r="AS99" i="30"/>
  <c r="AK99" i="30"/>
  <c r="AC99" i="30"/>
  <c r="BO99" i="30"/>
  <c r="BG99" i="30"/>
  <c r="AY99" i="30"/>
  <c r="AQ99" i="30"/>
  <c r="AI99" i="30"/>
  <c r="AR99" i="30"/>
  <c r="AH100" i="30"/>
  <c r="BD100" i="30"/>
  <c r="AO103" i="30"/>
  <c r="BU103" i="30"/>
  <c r="AU104" i="30"/>
  <c r="BG106" i="30"/>
  <c r="T135" i="30"/>
  <c r="K113" i="30" s="1"/>
  <c r="T136" i="30"/>
  <c r="K114" i="30" s="1"/>
  <c r="T132" i="30"/>
  <c r="K110" i="30" s="1"/>
  <c r="AC167" i="30"/>
  <c r="AA203" i="30"/>
  <c r="AD105" i="30"/>
  <c r="AL105" i="30"/>
  <c r="AT105" i="30"/>
  <c r="BB105" i="30"/>
  <c r="BJ105" i="30"/>
  <c r="BR105" i="30"/>
  <c r="Z135" i="30"/>
  <c r="AA135" i="30" s="1"/>
  <c r="AC165" i="30"/>
  <c r="AF165" i="30" s="1"/>
  <c r="AF166" i="30"/>
  <c r="U166" i="30"/>
  <c r="AA179" i="30"/>
  <c r="AD179" i="30" s="1"/>
  <c r="AH179" i="30" s="1"/>
  <c r="AD184" i="30"/>
  <c r="AH184" i="30" s="1"/>
  <c r="AJ202" i="30"/>
  <c r="AI202" i="30"/>
  <c r="AG202" i="30"/>
  <c r="AF202" i="30"/>
  <c r="W202" i="30"/>
  <c r="AC203" i="30"/>
  <c r="AB214" i="30"/>
  <c r="AJ218" i="30"/>
  <c r="AI218" i="30"/>
  <c r="AG218" i="30"/>
  <c r="AF218" i="30"/>
  <c r="W218" i="30"/>
  <c r="V218" i="30"/>
  <c r="AD220" i="30"/>
  <c r="AH220" i="30" s="1"/>
  <c r="AI221" i="30"/>
  <c r="AG221" i="30"/>
  <c r="AF221" i="30"/>
  <c r="AE221" i="30"/>
  <c r="W221" i="30"/>
  <c r="V221" i="30"/>
  <c r="U221" i="30"/>
  <c r="AB227" i="30"/>
  <c r="U168" i="30"/>
  <c r="V176" i="30"/>
  <c r="AI176" i="30"/>
  <c r="AG176" i="30"/>
  <c r="AJ176" i="30"/>
  <c r="AI179" i="30"/>
  <c r="AF179" i="30"/>
  <c r="AE179" i="30"/>
  <c r="W179" i="30"/>
  <c r="V179" i="30"/>
  <c r="W180" i="30"/>
  <c r="V180" i="30"/>
  <c r="AJ180" i="30"/>
  <c r="AI180" i="30"/>
  <c r="AG184" i="30"/>
  <c r="AE184" i="30"/>
  <c r="W184" i="30"/>
  <c r="V184" i="30"/>
  <c r="U184" i="30"/>
  <c r="W185" i="30"/>
  <c r="V185" i="30"/>
  <c r="U185" i="30"/>
  <c r="AJ185" i="30"/>
  <c r="AI185" i="30"/>
  <c r="AJ210" i="30"/>
  <c r="AI210" i="30"/>
  <c r="AG210" i="30"/>
  <c r="AF210" i="30"/>
  <c r="W210" i="30"/>
  <c r="V210" i="30"/>
  <c r="DC122" i="31"/>
  <c r="DC99" i="31"/>
  <c r="DC88" i="31"/>
  <c r="DC152" i="31" s="1"/>
  <c r="DC76" i="31"/>
  <c r="DC110" i="31" s="1"/>
  <c r="AF105" i="30"/>
  <c r="AN105" i="30"/>
  <c r="AV105" i="30"/>
  <c r="BD105" i="30"/>
  <c r="BL105" i="30"/>
  <c r="BT105" i="30"/>
  <c r="L111" i="30"/>
  <c r="V132" i="30"/>
  <c r="W132" i="30" s="1"/>
  <c r="V168" i="30"/>
  <c r="AF168" i="30"/>
  <c r="U176" i="30"/>
  <c r="U179" i="30"/>
  <c r="AB195" i="30"/>
  <c r="AB198" i="30"/>
  <c r="W201" i="30"/>
  <c r="V201" i="30"/>
  <c r="U201" i="30"/>
  <c r="AJ201" i="30"/>
  <c r="AI201" i="30"/>
  <c r="AA213" i="30"/>
  <c r="AD213" i="30" s="1"/>
  <c r="AH213" i="30" s="1"/>
  <c r="AB224" i="30"/>
  <c r="AG105" i="30"/>
  <c r="AO105" i="30"/>
  <c r="AW105" i="30"/>
  <c r="BE105" i="30"/>
  <c r="BU105" i="30"/>
  <c r="X133" i="30"/>
  <c r="Y133" i="30" s="1"/>
  <c r="W168" i="30"/>
  <c r="AG168" i="30"/>
  <c r="W176" i="30"/>
  <c r="U180" i="30"/>
  <c r="AA182" i="30"/>
  <c r="AD182" i="30" s="1"/>
  <c r="AD183" i="30"/>
  <c r="AH183" i="30" s="1"/>
  <c r="AI197" i="30"/>
  <c r="AG197" i="30"/>
  <c r="AF197" i="30"/>
  <c r="AE197" i="30"/>
  <c r="W197" i="30"/>
  <c r="V197" i="30"/>
  <c r="AG200" i="30"/>
  <c r="AF200" i="30"/>
  <c r="AE200" i="30"/>
  <c r="W200" i="30"/>
  <c r="V200" i="30"/>
  <c r="U200" i="30"/>
  <c r="U210" i="30"/>
  <c r="AI213" i="30"/>
  <c r="AG213" i="30"/>
  <c r="AF213" i="30"/>
  <c r="AE213" i="30"/>
  <c r="W213" i="30"/>
  <c r="V213" i="30"/>
  <c r="U213" i="30"/>
  <c r="W217" i="30"/>
  <c r="V217" i="30"/>
  <c r="U217" i="30"/>
  <c r="AJ217" i="30"/>
  <c r="AI217" i="30"/>
  <c r="AG217" i="30"/>
  <c r="AH105" i="30"/>
  <c r="AP105" i="30"/>
  <c r="AX105" i="30"/>
  <c r="BF105" i="30"/>
  <c r="BN105" i="30"/>
  <c r="BV105" i="30"/>
  <c r="L114" i="30"/>
  <c r="X132" i="30"/>
  <c r="Y132" i="30" s="1"/>
  <c r="V165" i="30"/>
  <c r="AD177" i="30"/>
  <c r="AH177" i="30" s="1"/>
  <c r="AI181" i="30"/>
  <c r="AF181" i="30"/>
  <c r="AE181" i="30"/>
  <c r="W181" i="30"/>
  <c r="V181" i="30"/>
  <c r="AB182" i="30"/>
  <c r="AA190" i="30"/>
  <c r="AD190" i="30" s="1"/>
  <c r="AJ194" i="30"/>
  <c r="AI194" i="30"/>
  <c r="AG194" i="30"/>
  <c r="AF194" i="30"/>
  <c r="W194" i="30"/>
  <c r="AC195" i="30"/>
  <c r="U197" i="30"/>
  <c r="AC198" i="30"/>
  <c r="AI205" i="30"/>
  <c r="AG205" i="30"/>
  <c r="AF205" i="30"/>
  <c r="AE205" i="30"/>
  <c r="W205" i="30"/>
  <c r="V205" i="30"/>
  <c r="U205" i="30"/>
  <c r="W209" i="30"/>
  <c r="V209" i="30"/>
  <c r="U209" i="30"/>
  <c r="AJ209" i="30"/>
  <c r="AI209" i="30"/>
  <c r="AG209" i="30"/>
  <c r="AB219" i="30"/>
  <c r="AA219" i="30"/>
  <c r="AJ226" i="30"/>
  <c r="AI226" i="30"/>
  <c r="AG226" i="30"/>
  <c r="AF226" i="30"/>
  <c r="W226" i="30"/>
  <c r="V226" i="30"/>
  <c r="T259" i="30"/>
  <c r="T257" i="30"/>
  <c r="T260" i="30"/>
  <c r="T258" i="30"/>
  <c r="T256" i="30"/>
  <c r="AI105" i="30"/>
  <c r="AQ105" i="30"/>
  <c r="AY105" i="30"/>
  <c r="BG105" i="30"/>
  <c r="BO105" i="30"/>
  <c r="Z133" i="30"/>
  <c r="AA133" i="30" s="1"/>
  <c r="X136" i="30"/>
  <c r="Y136" i="30" s="1"/>
  <c r="W165" i="30"/>
  <c r="AJ168" i="30"/>
  <c r="AG177" i="30"/>
  <c r="AE177" i="30"/>
  <c r="W177" i="30"/>
  <c r="V177" i="30"/>
  <c r="U177" i="30"/>
  <c r="U181" i="30"/>
  <c r="AB184" i="30"/>
  <c r="AF185" i="30"/>
  <c r="AA187" i="30"/>
  <c r="AC192" i="30"/>
  <c r="AE192" i="30" s="1"/>
  <c r="AA195" i="30"/>
  <c r="AB211" i="30"/>
  <c r="AD216" i="30"/>
  <c r="AH216" i="30" s="1"/>
  <c r="AB216" i="30"/>
  <c r="AE220" i="30"/>
  <c r="AB222" i="30"/>
  <c r="AA224" i="30"/>
  <c r="AD224" i="30" s="1"/>
  <c r="AH224" i="30" s="1"/>
  <c r="AB105" i="30"/>
  <c r="AJ105" i="30"/>
  <c r="AR105" i="30"/>
  <c r="AZ105" i="30"/>
  <c r="BH105" i="30"/>
  <c r="S228" i="30"/>
  <c r="AA164" i="30"/>
  <c r="AD175" i="30"/>
  <c r="AB175" i="30"/>
  <c r="AG179" i="30"/>
  <c r="AF184" i="30"/>
  <c r="AG185" i="30"/>
  <c r="AB187" i="30"/>
  <c r="AB190" i="30"/>
  <c r="W193" i="30"/>
  <c r="V193" i="30"/>
  <c r="U193" i="30"/>
  <c r="AJ193" i="30"/>
  <c r="AI193" i="30"/>
  <c r="U194" i="30"/>
  <c r="AA200" i="30"/>
  <c r="AD200" i="30" s="1"/>
  <c r="AH200" i="30" s="1"/>
  <c r="AF201" i="30"/>
  <c r="AB203" i="30"/>
  <c r="AJ213" i="30"/>
  <c r="AC219" i="30"/>
  <c r="U226" i="30"/>
  <c r="AF204" i="30"/>
  <c r="AC206" i="30"/>
  <c r="AJ208" i="30"/>
  <c r="AA211" i="30"/>
  <c r="AD211" i="30" s="1"/>
  <c r="AF212" i="30"/>
  <c r="AC214" i="30"/>
  <c r="AJ216" i="30"/>
  <c r="AF220" i="30"/>
  <c r="AC222" i="30"/>
  <c r="AJ224" i="30"/>
  <c r="AA227" i="30"/>
  <c r="AD227" i="30" s="1"/>
  <c r="AU62" i="31"/>
  <c r="AC180" i="30"/>
  <c r="AE180" i="30" s="1"/>
  <c r="AC185" i="30"/>
  <c r="AE185" i="30" s="1"/>
  <c r="AC193" i="30"/>
  <c r="AG196" i="30"/>
  <c r="AA198" i="30"/>
  <c r="AF199" i="30"/>
  <c r="AC201" i="30"/>
  <c r="AG204" i="30"/>
  <c r="AA206" i="30"/>
  <c r="AF207" i="30"/>
  <c r="U208" i="30"/>
  <c r="AC209" i="30"/>
  <c r="AG212" i="30"/>
  <c r="AA214" i="30"/>
  <c r="AF215" i="30"/>
  <c r="U216" i="30"/>
  <c r="AC217" i="30"/>
  <c r="AB220" i="30"/>
  <c r="AG220" i="30"/>
  <c r="AA222" i="30"/>
  <c r="AF223" i="30"/>
  <c r="U224" i="30"/>
  <c r="AC225" i="30"/>
  <c r="AE225" i="30" s="1"/>
  <c r="AA180" i="30"/>
  <c r="AG183" i="30"/>
  <c r="AA185" i="30"/>
  <c r="AG191" i="30"/>
  <c r="AA193" i="30"/>
  <c r="AG199" i="30"/>
  <c r="AA201" i="30"/>
  <c r="AA202" i="30"/>
  <c r="AG207" i="30"/>
  <c r="V208" i="30"/>
  <c r="AA209" i="30"/>
  <c r="AG215" i="30"/>
  <c r="V216" i="30"/>
  <c r="AA217" i="30"/>
  <c r="AG223" i="30"/>
  <c r="V224" i="30"/>
  <c r="AA225" i="30"/>
  <c r="AA226" i="30"/>
  <c r="X246" i="30"/>
  <c r="AA176" i="30"/>
  <c r="AD176" i="30" s="1"/>
  <c r="AH176" i="30" s="1"/>
  <c r="AA178" i="30"/>
  <c r="AD178" i="30" s="1"/>
  <c r="AH178" i="30" s="1"/>
  <c r="AB180" i="30"/>
  <c r="AA181" i="30"/>
  <c r="AD181" i="30" s="1"/>
  <c r="AH181" i="30" s="1"/>
  <c r="AA188" i="30"/>
  <c r="AB194" i="30"/>
  <c r="AA196" i="30"/>
  <c r="AD196" i="30" s="1"/>
  <c r="AH196" i="30" s="1"/>
  <c r="AI196" i="30"/>
  <c r="AA197" i="30"/>
  <c r="AD197" i="30" s="1"/>
  <c r="AH197" i="30" s="1"/>
  <c r="AB202" i="30"/>
  <c r="AA204" i="30"/>
  <c r="AD204" i="30" s="1"/>
  <c r="AH204" i="30" s="1"/>
  <c r="AI204" i="30"/>
  <c r="AA205" i="30"/>
  <c r="AD205" i="30" s="1"/>
  <c r="AH205" i="30" s="1"/>
  <c r="W208" i="30"/>
  <c r="AB210" i="30"/>
  <c r="AA212" i="30"/>
  <c r="AD212" i="30" s="1"/>
  <c r="AH212" i="30" s="1"/>
  <c r="AI212" i="30"/>
  <c r="W216" i="30"/>
  <c r="AE216" i="30"/>
  <c r="AB217" i="30"/>
  <c r="AB218" i="30"/>
  <c r="AI220" i="30"/>
  <c r="W224" i="30"/>
  <c r="AE224" i="30"/>
  <c r="AB225" i="30"/>
  <c r="AB226" i="30"/>
  <c r="Z256" i="30"/>
  <c r="Z258" i="30"/>
  <c r="AC186" i="30"/>
  <c r="AA191" i="30"/>
  <c r="AD191" i="30" s="1"/>
  <c r="AH191" i="30" s="1"/>
  <c r="AC194" i="30"/>
  <c r="AJ196" i="30"/>
  <c r="AA199" i="30"/>
  <c r="AD199" i="30" s="1"/>
  <c r="AH199" i="30" s="1"/>
  <c r="AC202" i="30"/>
  <c r="AE202" i="30" s="1"/>
  <c r="AJ204" i="30"/>
  <c r="AA207" i="30"/>
  <c r="AD207" i="30" s="1"/>
  <c r="AH207" i="30" s="1"/>
  <c r="AF208" i="30"/>
  <c r="AC210" i="30"/>
  <c r="AE210" i="30" s="1"/>
  <c r="AJ212" i="30"/>
  <c r="AA215" i="30"/>
  <c r="AD215" i="30" s="1"/>
  <c r="AH215" i="30" s="1"/>
  <c r="AF216" i="30"/>
  <c r="AC218" i="30"/>
  <c r="AJ220" i="30"/>
  <c r="AA223" i="30"/>
  <c r="AD223" i="30" s="1"/>
  <c r="AH223" i="30" s="1"/>
  <c r="AF224" i="30"/>
  <c r="AC226" i="30"/>
  <c r="AE226" i="30" s="1"/>
  <c r="BZ127" i="31"/>
  <c r="BZ104" i="31"/>
  <c r="BZ81" i="31"/>
  <c r="BZ115" i="31" s="1"/>
  <c r="BZ93" i="31"/>
  <c r="AJ183" i="30"/>
  <c r="U188" i="30"/>
  <c r="AJ191" i="30"/>
  <c r="AA194" i="30"/>
  <c r="U196" i="30"/>
  <c r="AJ199" i="30"/>
  <c r="U204" i="30"/>
  <c r="AJ207" i="30"/>
  <c r="AG208" i="30"/>
  <c r="AA210" i="30"/>
  <c r="U212" i="30"/>
  <c r="AJ215" i="30"/>
  <c r="AG216" i="30"/>
  <c r="AA218" i="30"/>
  <c r="U220" i="30"/>
  <c r="AJ223" i="30"/>
  <c r="AG224" i="30"/>
  <c r="AK231" i="31"/>
  <c r="AO231" i="31" s="1"/>
  <c r="AR231" i="31" s="1"/>
  <c r="AS231" i="31" s="1"/>
  <c r="AN217" i="31"/>
  <c r="DC96" i="31"/>
  <c r="DC159" i="31" s="1"/>
  <c r="DC107" i="31"/>
  <c r="DC130" i="31"/>
  <c r="DC85" i="31"/>
  <c r="DC118" i="31" s="1"/>
  <c r="BZ124" i="31"/>
  <c r="BZ101" i="31"/>
  <c r="DC127" i="31"/>
  <c r="DC104" i="31"/>
  <c r="DC93" i="31"/>
  <c r="BZ78" i="31"/>
  <c r="BZ112" i="31" s="1"/>
  <c r="BZ98" i="31"/>
  <c r="BZ121" i="31"/>
  <c r="DC124" i="31"/>
  <c r="DC101" i="31"/>
  <c r="DC90" i="31"/>
  <c r="DC154" i="31" s="1"/>
  <c r="BZ106" i="31"/>
  <c r="BZ129" i="31"/>
  <c r="BZ84" i="31"/>
  <c r="BZ117" i="31" s="1"/>
  <c r="BZ95" i="31"/>
  <c r="BZ158" i="31" s="1"/>
  <c r="DC121" i="31"/>
  <c r="DC75" i="31"/>
  <c r="DC109" i="31" s="1"/>
  <c r="DC98" i="31"/>
  <c r="BZ126" i="31"/>
  <c r="BZ103" i="31"/>
  <c r="BZ80" i="31"/>
  <c r="BZ114" i="31" s="1"/>
  <c r="DC106" i="31"/>
  <c r="DC129" i="31"/>
  <c r="DC95" i="31"/>
  <c r="DC158" i="31" s="1"/>
  <c r="DC84" i="31"/>
  <c r="DC117" i="31" s="1"/>
  <c r="BZ123" i="31"/>
  <c r="BZ100" i="31"/>
  <c r="DC126" i="31"/>
  <c r="DC103" i="31"/>
  <c r="DC92" i="31"/>
  <c r="DC156" i="31" s="1"/>
  <c r="BZ76" i="31"/>
  <c r="BZ110" i="31" s="1"/>
  <c r="DC78" i="31"/>
  <c r="DC112" i="31" s="1"/>
  <c r="AT169" i="31"/>
  <c r="AT134" i="31"/>
  <c r="AT176" i="31"/>
  <c r="AT141" i="31"/>
  <c r="DC123" i="31"/>
  <c r="DC100" i="31"/>
  <c r="DC89" i="31"/>
  <c r="DC153" i="31" s="1"/>
  <c r="BZ128" i="31"/>
  <c r="BZ94" i="31"/>
  <c r="BZ157" i="31" s="1"/>
  <c r="BZ105" i="31"/>
  <c r="DC87" i="31"/>
  <c r="DC151" i="31" s="1"/>
  <c r="BZ102" i="31"/>
  <c r="BZ125" i="31"/>
  <c r="DC94" i="31"/>
  <c r="DC157" i="31" s="1"/>
  <c r="DC105" i="31"/>
  <c r="DC128" i="31"/>
  <c r="BZ75" i="31"/>
  <c r="BZ109" i="31" s="1"/>
  <c r="BZ77" i="31"/>
  <c r="BZ111" i="31" s="1"/>
  <c r="BZ79" i="31"/>
  <c r="BZ113" i="31" s="1"/>
  <c r="DC80" i="31"/>
  <c r="DC114" i="31" s="1"/>
  <c r="BZ82" i="31"/>
  <c r="BZ116" i="31" s="1"/>
  <c r="BZ122" i="31"/>
  <c r="BZ99" i="31"/>
  <c r="DC125" i="31"/>
  <c r="DC102" i="31"/>
  <c r="DC91" i="31"/>
  <c r="DC155" i="31" s="1"/>
  <c r="BZ107" i="31"/>
  <c r="BZ96" i="31"/>
  <c r="BZ159" i="31" s="1"/>
  <c r="BZ130" i="31"/>
  <c r="DC81" i="31"/>
  <c r="DC115" i="31" s="1"/>
  <c r="BZ87" i="31"/>
  <c r="BZ151" i="31" s="1"/>
  <c r="I138" i="31"/>
  <c r="I134" i="31"/>
  <c r="I129" i="31"/>
  <c r="Q138" i="31"/>
  <c r="Q134" i="31"/>
  <c r="Q129" i="31"/>
  <c r="Y138" i="31"/>
  <c r="Y134" i="31"/>
  <c r="Y129" i="31"/>
  <c r="BQ94" i="31"/>
  <c r="BI94" i="31"/>
  <c r="BA94" i="31"/>
  <c r="BP94" i="31"/>
  <c r="BH94" i="31"/>
  <c r="AZ94" i="31"/>
  <c r="BO94" i="31"/>
  <c r="BG94" i="31"/>
  <c r="AY94" i="31"/>
  <c r="BN94" i="31"/>
  <c r="BF94" i="31"/>
  <c r="AX94" i="31"/>
  <c r="BL94" i="31"/>
  <c r="BD94" i="31"/>
  <c r="AV94" i="31"/>
  <c r="BM94" i="31"/>
  <c r="BK94" i="31"/>
  <c r="CI94" i="31"/>
  <c r="BJ94" i="31"/>
  <c r="BE94" i="31"/>
  <c r="BC94" i="31"/>
  <c r="BB94" i="31"/>
  <c r="BS94" i="31"/>
  <c r="AW94" i="31"/>
  <c r="AW87" i="31"/>
  <c r="BE87" i="31"/>
  <c r="BM87" i="31"/>
  <c r="CI87" i="31"/>
  <c r="CQ87" i="31"/>
  <c r="CY87" i="31"/>
  <c r="DJ87" i="31"/>
  <c r="DR87" i="31"/>
  <c r="DZ87" i="31"/>
  <c r="AW88" i="31"/>
  <c r="BE88" i="31"/>
  <c r="BM88" i="31"/>
  <c r="CI88" i="31"/>
  <c r="CQ88" i="31"/>
  <c r="CY88" i="31"/>
  <c r="DJ88" i="31"/>
  <c r="DR88" i="31"/>
  <c r="DZ88" i="31"/>
  <c r="AW89" i="31"/>
  <c r="BE89" i="31"/>
  <c r="BM89" i="31"/>
  <c r="CI89" i="31"/>
  <c r="CQ89" i="31"/>
  <c r="CY89" i="31"/>
  <c r="DJ89" i="31"/>
  <c r="DR89" i="31"/>
  <c r="DZ89" i="31"/>
  <c r="AW90" i="31"/>
  <c r="BE90" i="31"/>
  <c r="BM90" i="31"/>
  <c r="CI90" i="31"/>
  <c r="CQ90" i="31"/>
  <c r="CY90" i="31"/>
  <c r="DJ90" i="31"/>
  <c r="DR90" i="31"/>
  <c r="DZ90" i="31"/>
  <c r="AW91" i="31"/>
  <c r="BE91" i="31"/>
  <c r="BM91" i="31"/>
  <c r="CI91" i="31"/>
  <c r="CQ91" i="31"/>
  <c r="CY91" i="31"/>
  <c r="DJ91" i="31"/>
  <c r="DR91" i="31"/>
  <c r="DZ91" i="31"/>
  <c r="AW92" i="31"/>
  <c r="BE92" i="31"/>
  <c r="BM92" i="31"/>
  <c r="CI92" i="31"/>
  <c r="CQ92" i="31"/>
  <c r="CY92" i="31"/>
  <c r="DJ92" i="31"/>
  <c r="DR92" i="31"/>
  <c r="DZ92" i="31"/>
  <c r="AZ93" i="31"/>
  <c r="BK93" i="31"/>
  <c r="CU93" i="31"/>
  <c r="CM93" i="31"/>
  <c r="CE93" i="31"/>
  <c r="CS93" i="31"/>
  <c r="CK93" i="31"/>
  <c r="CC93" i="31"/>
  <c r="CY93" i="31"/>
  <c r="CQ93" i="31"/>
  <c r="CI93" i="31"/>
  <c r="CN93" i="31"/>
  <c r="BK96" i="31"/>
  <c r="AT167" i="31"/>
  <c r="AT132" i="31"/>
  <c r="AT172" i="31"/>
  <c r="AT137" i="31"/>
  <c r="AT175" i="31"/>
  <c r="AT140" i="31"/>
  <c r="BB93" i="31"/>
  <c r="BL93" i="31"/>
  <c r="CB93" i="31"/>
  <c r="CO93" i="31"/>
  <c r="K138" i="31"/>
  <c r="K134" i="31"/>
  <c r="K129" i="31"/>
  <c r="S138" i="31"/>
  <c r="S134" i="31"/>
  <c r="S129" i="31"/>
  <c r="AA138" i="31"/>
  <c r="AA134" i="31"/>
  <c r="AA129" i="31"/>
  <c r="CU94" i="31"/>
  <c r="CM94" i="31"/>
  <c r="CE94" i="31"/>
  <c r="CT94" i="31"/>
  <c r="CL94" i="31"/>
  <c r="CD94" i="31"/>
  <c r="CS94" i="31"/>
  <c r="CK94" i="31"/>
  <c r="CC94" i="31"/>
  <c r="CR94" i="31"/>
  <c r="CJ94" i="31"/>
  <c r="CB94" i="31"/>
  <c r="CX94" i="31"/>
  <c r="CP94" i="31"/>
  <c r="CH94" i="31"/>
  <c r="CW94" i="31"/>
  <c r="AT170" i="31"/>
  <c r="AT135" i="31"/>
  <c r="AY87" i="31"/>
  <c r="BG87" i="31"/>
  <c r="BO87" i="31"/>
  <c r="CC87" i="31"/>
  <c r="CK87" i="31"/>
  <c r="CS87" i="31"/>
  <c r="DL87" i="31"/>
  <c r="DT87" i="31"/>
  <c r="EB87" i="31"/>
  <c r="AY88" i="31"/>
  <c r="BG88" i="31"/>
  <c r="BO88" i="31"/>
  <c r="CC88" i="31"/>
  <c r="CK88" i="31"/>
  <c r="CS88" i="31"/>
  <c r="DL88" i="31"/>
  <c r="DT88" i="31"/>
  <c r="EB88" i="31"/>
  <c r="AY89" i="31"/>
  <c r="BG89" i="31"/>
  <c r="BO89" i="31"/>
  <c r="CC89" i="31"/>
  <c r="CK89" i="31"/>
  <c r="CS89" i="31"/>
  <c r="DL89" i="31"/>
  <c r="DT89" i="31"/>
  <c r="EB89" i="31"/>
  <c r="AY90" i="31"/>
  <c r="BG90" i="31"/>
  <c r="BO90" i="31"/>
  <c r="CC90" i="31"/>
  <c r="CK90" i="31"/>
  <c r="CS90" i="31"/>
  <c r="DL90" i="31"/>
  <c r="DT90" i="31"/>
  <c r="EB90" i="31"/>
  <c r="AY91" i="31"/>
  <c r="BG91" i="31"/>
  <c r="BO91" i="31"/>
  <c r="CC91" i="31"/>
  <c r="CK91" i="31"/>
  <c r="CS91" i="31"/>
  <c r="DL91" i="31"/>
  <c r="DT91" i="31"/>
  <c r="EB91" i="31"/>
  <c r="AY92" i="31"/>
  <c r="BG92" i="31"/>
  <c r="BO92" i="31"/>
  <c r="CC92" i="31"/>
  <c r="CK92" i="31"/>
  <c r="CS92" i="31"/>
  <c r="DL92" i="31"/>
  <c r="DT92" i="31"/>
  <c r="BC93" i="31"/>
  <c r="BM93" i="31"/>
  <c r="CD93" i="31"/>
  <c r="CP93" i="31"/>
  <c r="CF94" i="31"/>
  <c r="CY94" i="31"/>
  <c r="BO96" i="31"/>
  <c r="BG96" i="31"/>
  <c r="AY96" i="31"/>
  <c r="BN96" i="31"/>
  <c r="BF96" i="31"/>
  <c r="AX96" i="31"/>
  <c r="BM96" i="31"/>
  <c r="BE96" i="31"/>
  <c r="AW96" i="31"/>
  <c r="BL96" i="31"/>
  <c r="BD96" i="31"/>
  <c r="AV96" i="31"/>
  <c r="BR96" i="31"/>
  <c r="BJ96" i="31"/>
  <c r="BB96" i="31"/>
  <c r="BQ96" i="31"/>
  <c r="CO96" i="31"/>
  <c r="AT173" i="31"/>
  <c r="AT138" i="31"/>
  <c r="L140" i="31"/>
  <c r="L136" i="31"/>
  <c r="L131" i="31"/>
  <c r="C115" i="31"/>
  <c r="D115" i="31" s="1"/>
  <c r="C112" i="31"/>
  <c r="T140" i="31"/>
  <c r="T136" i="31"/>
  <c r="T131" i="31"/>
  <c r="AB140" i="31"/>
  <c r="AB136" i="31"/>
  <c r="AB131" i="31"/>
  <c r="AZ87" i="31"/>
  <c r="BH87" i="31"/>
  <c r="BP87" i="31"/>
  <c r="CD87" i="31"/>
  <c r="CL87" i="31"/>
  <c r="DE87" i="31"/>
  <c r="DM87" i="31"/>
  <c r="AZ88" i="31"/>
  <c r="BH88" i="31"/>
  <c r="BP88" i="31"/>
  <c r="CD88" i="31"/>
  <c r="CL88" i="31"/>
  <c r="DE88" i="31"/>
  <c r="DM88" i="31"/>
  <c r="AZ89" i="31"/>
  <c r="BH89" i="31"/>
  <c r="BP89" i="31"/>
  <c r="CD89" i="31"/>
  <c r="CL89" i="31"/>
  <c r="DE89" i="31"/>
  <c r="DM89" i="31"/>
  <c r="AZ90" i="31"/>
  <c r="BH90" i="31"/>
  <c r="BP90" i="31"/>
  <c r="CD90" i="31"/>
  <c r="CL90" i="31"/>
  <c r="DE90" i="31"/>
  <c r="DM90" i="31"/>
  <c r="AZ91" i="31"/>
  <c r="BH91" i="31"/>
  <c r="BP91" i="31"/>
  <c r="CD91" i="31"/>
  <c r="CL91" i="31"/>
  <c r="DE91" i="31"/>
  <c r="DM91" i="31"/>
  <c r="AZ92" i="31"/>
  <c r="BH92" i="31"/>
  <c r="BP92" i="31"/>
  <c r="CD92" i="31"/>
  <c r="CL92" i="31"/>
  <c r="DE92" i="31"/>
  <c r="DM92" i="31"/>
  <c r="DU92" i="31"/>
  <c r="BD93" i="31"/>
  <c r="CF93" i="31"/>
  <c r="CR93" i="31"/>
  <c r="CG94" i="31"/>
  <c r="AZ96" i="31"/>
  <c r="BS96" i="31"/>
  <c r="CT96" i="31"/>
  <c r="BQ93" i="31"/>
  <c r="BI93" i="31"/>
  <c r="BA93" i="31"/>
  <c r="BO93" i="31"/>
  <c r="BG93" i="31"/>
  <c r="AY93" i="31"/>
  <c r="BE93" i="31"/>
  <c r="BP93" i="31"/>
  <c r="CG93" i="31"/>
  <c r="CT93" i="31"/>
  <c r="N129" i="31"/>
  <c r="N132" i="31" s="1"/>
  <c r="V129" i="31"/>
  <c r="AD129" i="31"/>
  <c r="AT168" i="31"/>
  <c r="AT133" i="31"/>
  <c r="AT171" i="31"/>
  <c r="AT136" i="31"/>
  <c r="AT174" i="31"/>
  <c r="AT139" i="31"/>
  <c r="AV93" i="31"/>
  <c r="BF93" i="31"/>
  <c r="BR93" i="31"/>
  <c r="CH93" i="31"/>
  <c r="CV93" i="31"/>
  <c r="CN94" i="31"/>
  <c r="BC96" i="31"/>
  <c r="CD96" i="31"/>
  <c r="CW96" i="31"/>
  <c r="I139" i="31"/>
  <c r="I135" i="31"/>
  <c r="I130" i="31"/>
  <c r="Q139" i="31"/>
  <c r="Q135" i="31"/>
  <c r="Q130" i="31"/>
  <c r="Y139" i="31"/>
  <c r="Y135" i="31"/>
  <c r="Y130" i="31"/>
  <c r="BC87" i="31"/>
  <c r="BK87" i="31"/>
  <c r="BS87" i="31"/>
  <c r="CG87" i="31"/>
  <c r="CO87" i="31"/>
  <c r="BC88" i="31"/>
  <c r="BK88" i="31"/>
  <c r="BS88" i="31"/>
  <c r="CG88" i="31"/>
  <c r="CO88" i="31"/>
  <c r="BC89" i="31"/>
  <c r="BK89" i="31"/>
  <c r="BS89" i="31"/>
  <c r="CG89" i="31"/>
  <c r="CO89" i="31"/>
  <c r="BC90" i="31"/>
  <c r="BK90" i="31"/>
  <c r="BS90" i="31"/>
  <c r="CG90" i="31"/>
  <c r="CO90" i="31"/>
  <c r="BC91" i="31"/>
  <c r="BK91" i="31"/>
  <c r="BS91" i="31"/>
  <c r="CG91" i="31"/>
  <c r="CO91" i="31"/>
  <c r="BC92" i="31"/>
  <c r="BK92" i="31"/>
  <c r="BS92" i="31"/>
  <c r="CG92" i="31"/>
  <c r="CO92" i="31"/>
  <c r="AW93" i="31"/>
  <c r="BH93" i="31"/>
  <c r="BS93" i="31"/>
  <c r="CJ93" i="31"/>
  <c r="CW93" i="31"/>
  <c r="H138" i="31"/>
  <c r="C110" i="31"/>
  <c r="H129" i="31"/>
  <c r="C119" i="31"/>
  <c r="D119" i="31" s="1"/>
  <c r="C122" i="31"/>
  <c r="D122" i="31" s="1"/>
  <c r="H134" i="31"/>
  <c r="C116" i="31"/>
  <c r="D116" i="31" s="1"/>
  <c r="P138" i="31"/>
  <c r="P141" i="31" s="1"/>
  <c r="P129" i="31"/>
  <c r="P134" i="31"/>
  <c r="X138" i="31"/>
  <c r="X134" i="31"/>
  <c r="X129" i="31"/>
  <c r="CO94" i="31"/>
  <c r="BH96" i="31"/>
  <c r="CE96" i="31"/>
  <c r="J139" i="31"/>
  <c r="J135" i="31"/>
  <c r="J130" i="31"/>
  <c r="R139" i="31"/>
  <c r="R135" i="31"/>
  <c r="R130" i="31"/>
  <c r="Z139" i="31"/>
  <c r="Z135" i="31"/>
  <c r="Z130" i="31"/>
  <c r="M140" i="31"/>
  <c r="M136" i="31"/>
  <c r="M131" i="31"/>
  <c r="U140" i="31"/>
  <c r="U136" i="31"/>
  <c r="U131" i="31"/>
  <c r="AC140" i="31"/>
  <c r="AC136" i="31"/>
  <c r="AC131" i="31"/>
  <c r="J138" i="31"/>
  <c r="J134" i="31"/>
  <c r="R138" i="31"/>
  <c r="R134" i="31"/>
  <c r="R137" i="31" s="1"/>
  <c r="Z138" i="31"/>
  <c r="Z134" i="31"/>
  <c r="Z137" i="31" s="1"/>
  <c r="DI94" i="31"/>
  <c r="DQ94" i="31"/>
  <c r="DY94" i="31"/>
  <c r="BC95" i="31"/>
  <c r="BK95" i="31"/>
  <c r="BS95" i="31"/>
  <c r="CG95" i="31"/>
  <c r="CO95" i="31"/>
  <c r="CW95" i="31"/>
  <c r="CF96" i="31"/>
  <c r="CN96" i="31"/>
  <c r="CV96" i="31"/>
  <c r="DG96" i="31"/>
  <c r="DO96" i="31"/>
  <c r="DW96" i="31"/>
  <c r="CD160" i="31"/>
  <c r="CD161" i="31" s="1"/>
  <c r="CD162" i="31" s="1"/>
  <c r="CL160" i="31"/>
  <c r="CL161" i="31" s="1"/>
  <c r="CL162" i="31" s="1"/>
  <c r="CT160" i="31"/>
  <c r="CT161" i="31" s="1"/>
  <c r="CT162" i="31" s="1"/>
  <c r="DF160" i="31"/>
  <c r="DF161" i="31" s="1"/>
  <c r="DF162" i="31" s="1"/>
  <c r="DN160" i="31"/>
  <c r="DN161" i="31" s="1"/>
  <c r="DN162" i="31" s="1"/>
  <c r="DV160" i="31"/>
  <c r="DV161" i="31" s="1"/>
  <c r="DV162" i="31" s="1"/>
  <c r="S139" i="31"/>
  <c r="AA139" i="31"/>
  <c r="N140" i="31"/>
  <c r="N131" i="31"/>
  <c r="V140" i="31"/>
  <c r="V131" i="31"/>
  <c r="AD140" i="31"/>
  <c r="AD131" i="31"/>
  <c r="CE160" i="31"/>
  <c r="CE161" i="31" s="1"/>
  <c r="CE162" i="31" s="1"/>
  <c r="CM160" i="31"/>
  <c r="CM161" i="31" s="1"/>
  <c r="CM162" i="31" s="1"/>
  <c r="CU160" i="31"/>
  <c r="CU161" i="31" s="1"/>
  <c r="CU162" i="31" s="1"/>
  <c r="DG160" i="31"/>
  <c r="DG161" i="31" s="1"/>
  <c r="DG162" i="31" s="1"/>
  <c r="DO160" i="31"/>
  <c r="DO161" i="31" s="1"/>
  <c r="DO162" i="31" s="1"/>
  <c r="DW160" i="31"/>
  <c r="DW161" i="31" s="1"/>
  <c r="DW162" i="31" s="1"/>
  <c r="L139" i="31"/>
  <c r="L135" i="31"/>
  <c r="T139" i="31"/>
  <c r="T135" i="31"/>
  <c r="AB139" i="31"/>
  <c r="AB135" i="31"/>
  <c r="O140" i="31"/>
  <c r="O131" i="31"/>
  <c r="O136" i="31"/>
  <c r="W140" i="31"/>
  <c r="W131" i="31"/>
  <c r="W136" i="31"/>
  <c r="AE140" i="31"/>
  <c r="AE131" i="31"/>
  <c r="AE136" i="31"/>
  <c r="K130" i="31"/>
  <c r="S130" i="31"/>
  <c r="AA130" i="31"/>
  <c r="N136" i="31"/>
  <c r="DL93" i="31"/>
  <c r="DT93" i="31"/>
  <c r="EB93" i="31"/>
  <c r="L138" i="31"/>
  <c r="L134" i="31"/>
  <c r="T138" i="31"/>
  <c r="T134" i="31"/>
  <c r="T137" i="31" s="1"/>
  <c r="AB138" i="31"/>
  <c r="AB141" i="31" s="1"/>
  <c r="AB134" i="31"/>
  <c r="DK94" i="31"/>
  <c r="DS94" i="31"/>
  <c r="EA94" i="31"/>
  <c r="AW95" i="31"/>
  <c r="BE95" i="31"/>
  <c r="BM95" i="31"/>
  <c r="CI95" i="31"/>
  <c r="CQ95" i="31"/>
  <c r="CY95" i="31"/>
  <c r="DJ95" i="31"/>
  <c r="DR95" i="31"/>
  <c r="DZ95" i="31"/>
  <c r="CH96" i="31"/>
  <c r="CP96" i="31"/>
  <c r="CX96" i="31"/>
  <c r="DI96" i="31"/>
  <c r="DQ96" i="31"/>
  <c r="DY96" i="31"/>
  <c r="M139" i="31"/>
  <c r="M135" i="31"/>
  <c r="U139" i="31"/>
  <c r="U135" i="31"/>
  <c r="AC139" i="31"/>
  <c r="AC135" i="31"/>
  <c r="C111" i="31"/>
  <c r="H140" i="31"/>
  <c r="H136" i="31"/>
  <c r="P140" i="31"/>
  <c r="P131" i="31"/>
  <c r="P136" i="31"/>
  <c r="X140" i="31"/>
  <c r="X131" i="31"/>
  <c r="X136" i="31"/>
  <c r="C121" i="31"/>
  <c r="D121" i="31" s="1"/>
  <c r="L130" i="31"/>
  <c r="T130" i="31"/>
  <c r="AB130" i="31"/>
  <c r="V136" i="31"/>
  <c r="M138" i="31"/>
  <c r="M134" i="31"/>
  <c r="M137" i="31" s="1"/>
  <c r="U138" i="31"/>
  <c r="U134" i="31"/>
  <c r="AC138" i="31"/>
  <c r="AC141" i="31" s="1"/>
  <c r="AC134" i="31"/>
  <c r="DL94" i="31"/>
  <c r="DT94" i="31"/>
  <c r="EB94" i="31"/>
  <c r="AX95" i="31"/>
  <c r="BF95" i="31"/>
  <c r="BN95" i="31"/>
  <c r="CB95" i="31"/>
  <c r="CJ95" i="31"/>
  <c r="CR95" i="31"/>
  <c r="CI96" i="31"/>
  <c r="CQ96" i="31"/>
  <c r="CY96" i="31"/>
  <c r="N139" i="31"/>
  <c r="N135" i="31"/>
  <c r="V139" i="31"/>
  <c r="V135" i="31"/>
  <c r="AD139" i="31"/>
  <c r="AD135" i="31"/>
  <c r="I140" i="31"/>
  <c r="I136" i="31"/>
  <c r="Q140" i="31"/>
  <c r="Q136" i="31"/>
  <c r="Y140" i="31"/>
  <c r="Y131" i="31"/>
  <c r="Y136" i="31"/>
  <c r="C118" i="31"/>
  <c r="D118" i="31" s="1"/>
  <c r="J129" i="31"/>
  <c r="R129" i="31"/>
  <c r="R132" i="31" s="1"/>
  <c r="Z129" i="31"/>
  <c r="M130" i="31"/>
  <c r="M132" i="31" s="1"/>
  <c r="U130" i="31"/>
  <c r="U132" i="31" s="1"/>
  <c r="AC130" i="31"/>
  <c r="AC132" i="31" s="1"/>
  <c r="H131" i="31"/>
  <c r="AD136" i="31"/>
  <c r="DF93" i="31"/>
  <c r="DN93" i="31"/>
  <c r="N138" i="31"/>
  <c r="N141" i="31" s="1"/>
  <c r="N134" i="31"/>
  <c r="N137" i="31" s="1"/>
  <c r="V138" i="31"/>
  <c r="V134" i="31"/>
  <c r="AD138" i="31"/>
  <c r="AD141" i="31" s="1"/>
  <c r="AD134" i="31"/>
  <c r="AD137" i="31" s="1"/>
  <c r="DE94" i="31"/>
  <c r="DM94" i="31"/>
  <c r="DU94" i="31"/>
  <c r="AY95" i="31"/>
  <c r="BG95" i="31"/>
  <c r="BO95" i="31"/>
  <c r="CC95" i="31"/>
  <c r="CK95" i="31"/>
  <c r="DL95" i="31"/>
  <c r="DT95" i="31"/>
  <c r="EB95" i="31"/>
  <c r="CB96" i="31"/>
  <c r="CJ96" i="31"/>
  <c r="CR96" i="31"/>
  <c r="DK96" i="31"/>
  <c r="DS96" i="31"/>
  <c r="EA96" i="31"/>
  <c r="O139" i="31"/>
  <c r="O135" i="31"/>
  <c r="W139" i="31"/>
  <c r="W135" i="31"/>
  <c r="AE139" i="31"/>
  <c r="AE135" i="31"/>
  <c r="C114" i="31"/>
  <c r="D114" i="31" s="1"/>
  <c r="J140" i="31"/>
  <c r="J131" i="31"/>
  <c r="J136" i="31"/>
  <c r="R140" i="31"/>
  <c r="R131" i="31"/>
  <c r="R136" i="31"/>
  <c r="Z140" i="31"/>
  <c r="Z131" i="31"/>
  <c r="Z136" i="31"/>
  <c r="C124" i="31"/>
  <c r="D124" i="31" s="1"/>
  <c r="N130" i="31"/>
  <c r="V130" i="31"/>
  <c r="AD130" i="31"/>
  <c r="I131" i="31"/>
  <c r="K135" i="31"/>
  <c r="O138" i="31"/>
  <c r="O134" i="31"/>
  <c r="O137" i="31" s="1"/>
  <c r="W138" i="31"/>
  <c r="W134" i="31"/>
  <c r="AE138" i="31"/>
  <c r="AE134" i="31"/>
  <c r="DF94" i="31"/>
  <c r="DN94" i="31"/>
  <c r="AZ95" i="31"/>
  <c r="BH95" i="31"/>
  <c r="BP95" i="31"/>
  <c r="CD95" i="31"/>
  <c r="CL95" i="31"/>
  <c r="CC96" i="31"/>
  <c r="CK96" i="31"/>
  <c r="DL96" i="31"/>
  <c r="DT96" i="31"/>
  <c r="CI160" i="31"/>
  <c r="CI161" i="31" s="1"/>
  <c r="CI162" i="31" s="1"/>
  <c r="CQ160" i="31"/>
  <c r="CQ161" i="31" s="1"/>
  <c r="CQ162" i="31" s="1"/>
  <c r="CY160" i="31"/>
  <c r="CY161" i="31" s="1"/>
  <c r="CY162" i="31" s="1"/>
  <c r="DK160" i="31"/>
  <c r="DK161" i="31" s="1"/>
  <c r="DK162" i="31" s="1"/>
  <c r="DS160" i="31"/>
  <c r="DS161" i="31" s="1"/>
  <c r="DS162" i="31" s="1"/>
  <c r="EA160" i="31"/>
  <c r="EA161" i="31" s="1"/>
  <c r="EA162" i="31" s="1"/>
  <c r="H139" i="31"/>
  <c r="H135" i="31"/>
  <c r="P139" i="31"/>
  <c r="P135" i="31"/>
  <c r="X139" i="31"/>
  <c r="X135" i="31"/>
  <c r="K140" i="31"/>
  <c r="K131" i="31"/>
  <c r="K136" i="31"/>
  <c r="S140" i="31"/>
  <c r="S131" i="31"/>
  <c r="S136" i="31"/>
  <c r="AA140" i="31"/>
  <c r="AA131" i="31"/>
  <c r="AA136" i="31"/>
  <c r="C117" i="31"/>
  <c r="D117" i="31" s="1"/>
  <c r="L129" i="31"/>
  <c r="T129" i="31"/>
  <c r="AB129" i="31"/>
  <c r="O130" i="31"/>
  <c r="O132" i="31" s="1"/>
  <c r="W130" i="31"/>
  <c r="W132" i="31" s="1"/>
  <c r="AE130" i="31"/>
  <c r="AE132" i="31" s="1"/>
  <c r="S135" i="31"/>
  <c r="AF170" i="27"/>
  <c r="W170" i="27"/>
  <c r="AA33" i="27"/>
  <c r="X33" i="27"/>
  <c r="Z33" i="27"/>
  <c r="Y33" i="27"/>
  <c r="W33" i="27"/>
  <c r="AC33" i="27"/>
  <c r="V166" i="27"/>
  <c r="U166" i="27"/>
  <c r="AJ166" i="27"/>
  <c r="AI166" i="27"/>
  <c r="W166" i="27"/>
  <c r="AG166" i="27"/>
  <c r="AF166" i="27"/>
  <c r="X25" i="27"/>
  <c r="W25" i="27"/>
  <c r="AC25" i="27"/>
  <c r="AB25" i="27"/>
  <c r="AA25" i="27"/>
  <c r="Y25" i="27"/>
  <c r="AB27" i="27"/>
  <c r="Y27" i="27"/>
  <c r="AA27" i="27"/>
  <c r="Z27" i="27"/>
  <c r="X27" i="27"/>
  <c r="W27" i="27"/>
  <c r="AA29" i="27"/>
  <c r="X29" i="27"/>
  <c r="AC29" i="27"/>
  <c r="AB29" i="27"/>
  <c r="Z29" i="27"/>
  <c r="Y29" i="27"/>
  <c r="AB33" i="27"/>
  <c r="Z25" i="27"/>
  <c r="V168" i="27"/>
  <c r="U168" i="27"/>
  <c r="W168" i="27"/>
  <c r="AJ168" i="27"/>
  <c r="AG168" i="27"/>
  <c r="AA183" i="27"/>
  <c r="AA26" i="27"/>
  <c r="AC26" i="27"/>
  <c r="AB26" i="27"/>
  <c r="Z26" i="27"/>
  <c r="Y26" i="27"/>
  <c r="AA30" i="27"/>
  <c r="Z30" i="27"/>
  <c r="X30" i="27"/>
  <c r="Y30" i="27"/>
  <c r="AC30" i="27"/>
  <c r="W30" i="27"/>
  <c r="X32" i="27"/>
  <c r="AC32" i="27"/>
  <c r="AA32" i="27"/>
  <c r="AB32" i="27"/>
  <c r="Z32" i="27"/>
  <c r="Y32" i="27"/>
  <c r="Z24" i="27"/>
  <c r="Y24" i="27"/>
  <c r="X24" i="27"/>
  <c r="W24" i="27"/>
  <c r="AC24" i="27"/>
  <c r="AA24" i="27"/>
  <c r="W26" i="27"/>
  <c r="AC176" i="27"/>
  <c r="AE176" i="27" s="1"/>
  <c r="V184" i="27"/>
  <c r="U184" i="27"/>
  <c r="AI184" i="27"/>
  <c r="AG184" i="27"/>
  <c r="AB192" i="27"/>
  <c r="AC192" i="27"/>
  <c r="U202" i="27"/>
  <c r="AI202" i="27"/>
  <c r="AG202" i="27"/>
  <c r="AJ202" i="27"/>
  <c r="W202" i="27"/>
  <c r="AB206" i="27"/>
  <c r="AC206" i="27"/>
  <c r="V176" i="27"/>
  <c r="AI176" i="27"/>
  <c r="AG176" i="27"/>
  <c r="AC183" i="27"/>
  <c r="W184" i="27"/>
  <c r="AI185" i="27"/>
  <c r="AF185" i="27"/>
  <c r="AE185" i="27"/>
  <c r="W185" i="27"/>
  <c r="V185" i="27"/>
  <c r="AA186" i="27"/>
  <c r="AB187" i="27"/>
  <c r="AB200" i="27"/>
  <c r="AC200" i="27"/>
  <c r="V202" i="27"/>
  <c r="AJ205" i="27"/>
  <c r="AF205" i="27"/>
  <c r="AG205" i="27"/>
  <c r="U205" i="27"/>
  <c r="AA173" i="27"/>
  <c r="AF203" i="27"/>
  <c r="V203" i="27"/>
  <c r="AJ203" i="27"/>
  <c r="W203" i="27"/>
  <c r="AI203" i="27"/>
  <c r="U203" i="27"/>
  <c r="AB28" i="27"/>
  <c r="AB31" i="27"/>
  <c r="AC28" i="27"/>
  <c r="AC31" i="27"/>
  <c r="U176" i="27"/>
  <c r="AF176" i="27"/>
  <c r="AC180" i="27"/>
  <c r="AE180" i="27" s="1"/>
  <c r="U185" i="27"/>
  <c r="AB190" i="27"/>
  <c r="AB191" i="27"/>
  <c r="AA191" i="27"/>
  <c r="AA192" i="27"/>
  <c r="AA206" i="27"/>
  <c r="AB197" i="27"/>
  <c r="AB178" i="27"/>
  <c r="AB186" i="27"/>
  <c r="AE188" i="27"/>
  <c r="W188" i="27"/>
  <c r="V188" i="27"/>
  <c r="U188" i="27"/>
  <c r="AG190" i="27"/>
  <c r="W190" i="27"/>
  <c r="U190" i="27"/>
  <c r="AJ190" i="27"/>
  <c r="V190" i="27"/>
  <c r="AB194" i="27"/>
  <c r="AC194" i="27"/>
  <c r="AF195" i="27"/>
  <c r="V195" i="27"/>
  <c r="AJ195" i="27"/>
  <c r="W195" i="27"/>
  <c r="AE196" i="27"/>
  <c r="W196" i="27"/>
  <c r="U196" i="27"/>
  <c r="AI196" i="27"/>
  <c r="AJ196" i="27"/>
  <c r="V196" i="27"/>
  <c r="AF196" i="27"/>
  <c r="V199" i="27"/>
  <c r="AJ199" i="27"/>
  <c r="AI199" i="27"/>
  <c r="W199" i="27"/>
  <c r="AG199" i="27"/>
  <c r="U199" i="27"/>
  <c r="AF199" i="27"/>
  <c r="AG203" i="27"/>
  <c r="W28" i="27"/>
  <c r="W31" i="27"/>
  <c r="AB175" i="27"/>
  <c r="AG180" i="27"/>
  <c r="W180" i="27"/>
  <c r="V180" i="27"/>
  <c r="U180" i="27"/>
  <c r="AE184" i="27"/>
  <c r="AC186" i="27"/>
  <c r="U195" i="27"/>
  <c r="AF202" i="27"/>
  <c r="AC204" i="27"/>
  <c r="AA204" i="27"/>
  <c r="W205" i="27"/>
  <c r="X28" i="27"/>
  <c r="X31" i="27"/>
  <c r="S228" i="27"/>
  <c r="AA169" i="27"/>
  <c r="AA177" i="27"/>
  <c r="AD177" i="27" s="1"/>
  <c r="AA181" i="27"/>
  <c r="AD181" i="27" s="1"/>
  <c r="AH181" i="27" s="1"/>
  <c r="AF184" i="27"/>
  <c r="AA187" i="27"/>
  <c r="AC193" i="27"/>
  <c r="AB198" i="27"/>
  <c r="AA198" i="27"/>
  <c r="AD198" i="27" s="1"/>
  <c r="AH198" i="27" s="1"/>
  <c r="AB164" i="27"/>
  <c r="AA176" i="27"/>
  <c r="AE181" i="27"/>
  <c r="AB182" i="27"/>
  <c r="AJ184" i="27"/>
  <c r="AG185" i="27"/>
  <c r="AA188" i="27"/>
  <c r="AA190" i="27"/>
  <c r="AA193" i="27"/>
  <c r="AG196" i="27"/>
  <c r="AB204" i="27"/>
  <c r="AB176" i="27"/>
  <c r="AA180" i="27"/>
  <c r="AB183" i="27"/>
  <c r="AJ197" i="27"/>
  <c r="AF197" i="27"/>
  <c r="W197" i="27"/>
  <c r="AI197" i="27"/>
  <c r="V197" i="27"/>
  <c r="AG197" i="27"/>
  <c r="U197" i="27"/>
  <c r="AA178" i="27"/>
  <c r="AD178" i="27" s="1"/>
  <c r="AA179" i="27"/>
  <c r="AF179" i="27"/>
  <c r="AB184" i="27"/>
  <c r="AA194" i="27"/>
  <c r="AB199" i="27"/>
  <c r="AA201" i="27"/>
  <c r="AB179" i="27"/>
  <c r="AG179" i="27"/>
  <c r="AI181" i="27"/>
  <c r="AB201" i="27"/>
  <c r="AJ181" i="27"/>
  <c r="AA184" i="27"/>
  <c r="AD184" i="27" s="1"/>
  <c r="AH184" i="27" s="1"/>
  <c r="AA185" i="27"/>
  <c r="AD185" i="27" s="1"/>
  <c r="AH185" i="27" s="1"/>
  <c r="AC190" i="27"/>
  <c r="V191" i="27"/>
  <c r="AJ191" i="27"/>
  <c r="AA196" i="27"/>
  <c r="AD196" i="27" s="1"/>
  <c r="AH196" i="27" s="1"/>
  <c r="AC202" i="27"/>
  <c r="AJ179" i="27"/>
  <c r="AA182" i="27"/>
  <c r="AD182" i="27" s="1"/>
  <c r="AB193" i="27"/>
  <c r="AG198" i="27"/>
  <c r="AE198" i="27"/>
  <c r="W198" i="27"/>
  <c r="U198" i="27"/>
  <c r="AA200" i="27"/>
  <c r="AB205" i="27"/>
  <c r="V207" i="27"/>
  <c r="AJ207" i="27"/>
  <c r="W181" i="27"/>
  <c r="W191" i="27"/>
  <c r="AI191" i="27"/>
  <c r="V198" i="27"/>
  <c r="AI198" i="27"/>
  <c r="AA199" i="27"/>
  <c r="AC201" i="27"/>
  <c r="AA202" i="27"/>
  <c r="AB207" i="27"/>
  <c r="AF207" i="27"/>
  <c r="AC191" i="27"/>
  <c r="AA197" i="27"/>
  <c r="AC199" i="27"/>
  <c r="AE199" i="27" s="1"/>
  <c r="AA205" i="27"/>
  <c r="AC207" i="27"/>
  <c r="AE207" i="27" s="1"/>
  <c r="AA195" i="27"/>
  <c r="AC197" i="27"/>
  <c r="AA203" i="27"/>
  <c r="AC205" i="27"/>
  <c r="AD195" i="27" l="1"/>
  <c r="AH195" i="27" s="1"/>
  <c r="AF164" i="30"/>
  <c r="U172" i="27"/>
  <c r="AE168" i="27"/>
  <c r="AE208" i="30"/>
  <c r="AE189" i="30"/>
  <c r="W164" i="30"/>
  <c r="AD167" i="27"/>
  <c r="AH167" i="27" s="1"/>
  <c r="AF189" i="30"/>
  <c r="AE164" i="30"/>
  <c r="AI164" i="30"/>
  <c r="V189" i="30"/>
  <c r="U164" i="30"/>
  <c r="W189" i="30"/>
  <c r="AG164" i="30"/>
  <c r="AG189" i="30"/>
  <c r="AD165" i="27"/>
  <c r="AI165" i="27" s="1"/>
  <c r="AG169" i="30"/>
  <c r="AD172" i="27"/>
  <c r="AH172" i="27" s="1"/>
  <c r="AJ171" i="27"/>
  <c r="W171" i="27"/>
  <c r="AE172" i="27"/>
  <c r="AF174" i="30"/>
  <c r="V169" i="30"/>
  <c r="V172" i="27"/>
  <c r="U174" i="30"/>
  <c r="AI169" i="30"/>
  <c r="AF171" i="27"/>
  <c r="U171" i="27"/>
  <c r="AG171" i="27"/>
  <c r="AG186" i="30"/>
  <c r="AG172" i="27"/>
  <c r="AI172" i="27"/>
  <c r="AF169" i="30"/>
  <c r="V174" i="30"/>
  <c r="W174" i="30"/>
  <c r="AF172" i="27"/>
  <c r="AG188" i="27"/>
  <c r="AD174" i="27"/>
  <c r="AD189" i="30"/>
  <c r="AH189" i="30" s="1"/>
  <c r="U186" i="30"/>
  <c r="V186" i="30"/>
  <c r="W186" i="30"/>
  <c r="AF186" i="30"/>
  <c r="AI186" i="30"/>
  <c r="C8" i="28"/>
  <c r="J8" i="28"/>
  <c r="Q72" i="29"/>
  <c r="M8" i="28"/>
  <c r="M201" i="28" s="1"/>
  <c r="M212" i="28" s="1"/>
  <c r="G72" i="29"/>
  <c r="G8" i="28"/>
  <c r="G201" i="28" s="1"/>
  <c r="G212" i="28" s="1"/>
  <c r="K72" i="29"/>
  <c r="X8" i="28"/>
  <c r="X201" i="28" s="1"/>
  <c r="X212" i="28" s="1"/>
  <c r="AB72" i="29"/>
  <c r="I72" i="29"/>
  <c r="E8" i="28"/>
  <c r="E201" i="28" s="1"/>
  <c r="E212" i="28" s="1"/>
  <c r="N72" i="29"/>
  <c r="Z8" i="28"/>
  <c r="W8" i="28"/>
  <c r="W201" i="28" s="1"/>
  <c r="W212" i="28" s="1"/>
  <c r="AA72" i="29"/>
  <c r="L9" i="28"/>
  <c r="L201" i="28" s="1"/>
  <c r="L212" i="28" s="1"/>
  <c r="T72" i="29"/>
  <c r="P8" i="28"/>
  <c r="P201" i="28" s="1"/>
  <c r="P212" i="28" s="1"/>
  <c r="O17" i="28"/>
  <c r="P72" i="29"/>
  <c r="N8" i="28"/>
  <c r="N201" i="28" s="1"/>
  <c r="N212" i="28" s="1"/>
  <c r="AD72" i="29"/>
  <c r="L72" i="29"/>
  <c r="H8" i="28"/>
  <c r="H201" i="28" s="1"/>
  <c r="H212" i="28" s="1"/>
  <c r="T201" i="28"/>
  <c r="T212" i="28" s="1"/>
  <c r="H72" i="29"/>
  <c r="R8" i="28"/>
  <c r="R201" i="28" s="1"/>
  <c r="R212" i="28" s="1"/>
  <c r="C6" i="28"/>
  <c r="C10" i="28" s="1"/>
  <c r="Y8" i="28"/>
  <c r="Y201" i="28" s="1"/>
  <c r="Y212" i="28" s="1"/>
  <c r="AC72" i="29"/>
  <c r="M72" i="29"/>
  <c r="I8" i="28"/>
  <c r="I201" i="28" s="1"/>
  <c r="I212" i="28" s="1"/>
  <c r="W72" i="29"/>
  <c r="D8" i="28"/>
  <c r="D201" i="28" s="1"/>
  <c r="D212" i="28" s="1"/>
  <c r="V72" i="29"/>
  <c r="Y72" i="29"/>
  <c r="U8" i="28"/>
  <c r="U201" i="28" s="1"/>
  <c r="U212" i="28" s="1"/>
  <c r="F8" i="28"/>
  <c r="F201" i="28" s="1"/>
  <c r="F212" i="28" s="1"/>
  <c r="O72" i="29"/>
  <c r="V8" i="28"/>
  <c r="V201" i="28" s="1"/>
  <c r="V212" i="28" s="1"/>
  <c r="X72" i="29"/>
  <c r="J72" i="29"/>
  <c r="U72" i="29"/>
  <c r="W166" i="30"/>
  <c r="W169" i="30"/>
  <c r="AE170" i="27"/>
  <c r="AI170" i="27"/>
  <c r="U170" i="27"/>
  <c r="AD171" i="30"/>
  <c r="AH171" i="30" s="1"/>
  <c r="AD179" i="27"/>
  <c r="AH179" i="27" s="1"/>
  <c r="AD173" i="27"/>
  <c r="AH173" i="27" s="1"/>
  <c r="AA240" i="30"/>
  <c r="C310" i="31"/>
  <c r="AD169" i="27"/>
  <c r="AH169" i="27" s="1"/>
  <c r="AE169" i="30"/>
  <c r="AD168" i="30"/>
  <c r="V166" i="30"/>
  <c r="W164" i="27"/>
  <c r="V164" i="27"/>
  <c r="AF164" i="27"/>
  <c r="AE168" i="30"/>
  <c r="AG164" i="27"/>
  <c r="AI166" i="30"/>
  <c r="AI164" i="27"/>
  <c r="U165" i="30"/>
  <c r="AJ166" i="30"/>
  <c r="AD188" i="30"/>
  <c r="AH188" i="30" s="1"/>
  <c r="AD188" i="27"/>
  <c r="AI188" i="27" s="1"/>
  <c r="AD174" i="30"/>
  <c r="AH174" i="30" s="1"/>
  <c r="AJ174" i="30"/>
  <c r="AD203" i="27"/>
  <c r="AH203" i="27" s="1"/>
  <c r="AI147" i="30"/>
  <c r="W126" i="30" s="1"/>
  <c r="AG174" i="30"/>
  <c r="AF188" i="30"/>
  <c r="O201" i="28"/>
  <c r="O212" i="28" s="1"/>
  <c r="AD201" i="27"/>
  <c r="AH201" i="27" s="1"/>
  <c r="AJ172" i="27"/>
  <c r="AG187" i="27"/>
  <c r="AI188" i="30"/>
  <c r="W188" i="30"/>
  <c r="AD187" i="27"/>
  <c r="AJ187" i="27" s="1"/>
  <c r="AF187" i="27"/>
  <c r="BG3" i="28"/>
  <c r="AD193" i="27"/>
  <c r="AH193" i="27" s="1"/>
  <c r="BH3" i="28"/>
  <c r="AD187" i="30"/>
  <c r="AJ187" i="30" s="1"/>
  <c r="BI3" i="28"/>
  <c r="S201" i="28"/>
  <c r="S212" i="28" s="1"/>
  <c r="K201" i="28"/>
  <c r="K212" i="28" s="1"/>
  <c r="Q201" i="28"/>
  <c r="Q212" i="28" s="1"/>
  <c r="Y17" i="28"/>
  <c r="K19" i="28"/>
  <c r="T2" i="28"/>
  <c r="AD170" i="30"/>
  <c r="AJ170" i="30" s="1"/>
  <c r="K17" i="28"/>
  <c r="AI101" i="30"/>
  <c r="BZ96" i="30" s="1"/>
  <c r="BH101" i="30"/>
  <c r="BP101" i="30"/>
  <c r="AP29" i="30"/>
  <c r="J35" i="30" s="1"/>
  <c r="C202" i="31" s="1"/>
  <c r="AV71" i="29"/>
  <c r="S15" i="28"/>
  <c r="O19" i="28"/>
  <c r="U17" i="28"/>
  <c r="Y16" i="28"/>
  <c r="I17" i="28"/>
  <c r="U16" i="28"/>
  <c r="U19" i="28"/>
  <c r="Q19" i="28"/>
  <c r="AF168" i="27"/>
  <c r="AD208" i="30"/>
  <c r="AH208" i="30" s="1"/>
  <c r="AD167" i="30"/>
  <c r="AI167" i="30" s="1"/>
  <c r="BG80" i="29"/>
  <c r="BC60" i="29"/>
  <c r="BE60" i="29"/>
  <c r="AD206" i="30"/>
  <c r="AH206" i="30" s="1"/>
  <c r="BN71" i="29"/>
  <c r="C34" i="28"/>
  <c r="AD192" i="30"/>
  <c r="AH192" i="30" s="1"/>
  <c r="AW63" i="29"/>
  <c r="AW109" i="29" s="1"/>
  <c r="AE174" i="30"/>
  <c r="BG71" i="29"/>
  <c r="AW69" i="29"/>
  <c r="BL3" i="28"/>
  <c r="CJ79" i="30"/>
  <c r="AV63" i="29"/>
  <c r="AV109" i="29" s="1"/>
  <c r="AV80" i="29"/>
  <c r="AB101" i="30"/>
  <c r="BZ89" i="30" s="1"/>
  <c r="BC61" i="29"/>
  <c r="BC107" i="29" s="1"/>
  <c r="AO94" i="30"/>
  <c r="BY102" i="30" s="1"/>
  <c r="D34" i="28"/>
  <c r="AH188" i="27"/>
  <c r="AG170" i="27"/>
  <c r="S141" i="31"/>
  <c r="AU94" i="30"/>
  <c r="BY108" i="30" s="1"/>
  <c r="DZ83" i="29"/>
  <c r="BC74" i="29"/>
  <c r="DF117" i="29"/>
  <c r="H7" i="29" s="1"/>
  <c r="BA71" i="29"/>
  <c r="BA82" i="29" s="1"/>
  <c r="CT117" i="29"/>
  <c r="Y6" i="29" s="1"/>
  <c r="K38" i="28"/>
  <c r="T7" i="28"/>
  <c r="T12" i="28" s="1"/>
  <c r="T21" i="28"/>
  <c r="Z21" i="28"/>
  <c r="Z7" i="28" s="1"/>
  <c r="Z12" i="28" s="1"/>
  <c r="BL60" i="29"/>
  <c r="S21" i="28"/>
  <c r="S7" i="28" s="1"/>
  <c r="S12" i="28" s="1"/>
  <c r="AY63" i="29"/>
  <c r="AY109" i="29" s="1"/>
  <c r="AW62" i="29"/>
  <c r="AW108" i="29" s="1"/>
  <c r="H21" i="28"/>
  <c r="H7" i="28" s="1"/>
  <c r="H12" i="28" s="1"/>
  <c r="AZ71" i="29"/>
  <c r="AZ83" i="29" s="1"/>
  <c r="BG63" i="29"/>
  <c r="BG109" i="29" s="1"/>
  <c r="CN117" i="29"/>
  <c r="S6" i="29" s="1"/>
  <c r="U141" i="31"/>
  <c r="AK108" i="30"/>
  <c r="CA98" i="30" s="1"/>
  <c r="Q16" i="28"/>
  <c r="AY71" i="29"/>
  <c r="AY81" i="29" s="1"/>
  <c r="AX74" i="29"/>
  <c r="AX83" i="29" s="1"/>
  <c r="CT83" i="29"/>
  <c r="L21" i="28"/>
  <c r="L7" i="28" s="1"/>
  <c r="L12" i="28" s="1"/>
  <c r="N2" i="28"/>
  <c r="K21" i="28"/>
  <c r="K7" i="28" s="1"/>
  <c r="K12" i="28" s="1"/>
  <c r="I15" i="28"/>
  <c r="S19" i="28"/>
  <c r="J201" i="28"/>
  <c r="J212" i="28" s="1"/>
  <c r="Z201" i="28"/>
  <c r="Z212" i="28" s="1"/>
  <c r="V45" i="30"/>
  <c r="BC73" i="29"/>
  <c r="BC84" i="29" s="1"/>
  <c r="AE190" i="27"/>
  <c r="AF190" i="27"/>
  <c r="AD191" i="27"/>
  <c r="AH191" i="27" s="1"/>
  <c r="AD180" i="27"/>
  <c r="AH180" i="27" s="1"/>
  <c r="AE141" i="31"/>
  <c r="L141" i="31"/>
  <c r="Y137" i="31"/>
  <c r="BS94" i="30"/>
  <c r="BH79" i="30"/>
  <c r="C63" i="28"/>
  <c r="C49" i="28" s="1"/>
  <c r="BI61" i="29"/>
  <c r="BI107" i="29" s="1"/>
  <c r="BF60" i="29"/>
  <c r="R21" i="28"/>
  <c r="R7" i="28" s="1"/>
  <c r="R12" i="28" s="1"/>
  <c r="D21" i="28"/>
  <c r="D7" i="28" s="1"/>
  <c r="D12" i="28" s="1"/>
  <c r="DZ82" i="29"/>
  <c r="BL69" i="29"/>
  <c r="BD60" i="29"/>
  <c r="C21" i="28"/>
  <c r="C7" i="28" s="1"/>
  <c r="C12" i="28" s="1"/>
  <c r="BC69" i="29"/>
  <c r="CX117" i="29"/>
  <c r="AC6" i="29" s="1"/>
  <c r="BK60" i="29"/>
  <c r="BQ80" i="29"/>
  <c r="BQ83" i="29" s="1"/>
  <c r="AX69" i="29"/>
  <c r="BP80" i="29"/>
  <c r="BJ3" i="28"/>
  <c r="AW108" i="30"/>
  <c r="CA110" i="30" s="1"/>
  <c r="AV101" i="30"/>
  <c r="BZ109" i="30" s="1"/>
  <c r="AQ108" i="30"/>
  <c r="CA104" i="30" s="1"/>
  <c r="R57" i="28"/>
  <c r="BQ61" i="29"/>
  <c r="BQ107" i="29" s="1"/>
  <c r="BS63" i="29"/>
  <c r="BS109" i="29" s="1"/>
  <c r="D39" i="28"/>
  <c r="D43" i="28" s="1"/>
  <c r="BF74" i="29"/>
  <c r="BF83" i="29" s="1"/>
  <c r="BM69" i="29"/>
  <c r="K63" i="28"/>
  <c r="K49" i="28" s="1"/>
  <c r="BB69" i="29"/>
  <c r="S28" i="28"/>
  <c r="S34" i="28" s="1"/>
  <c r="S42" i="28"/>
  <c r="E21" i="28"/>
  <c r="E7" i="28" s="1"/>
  <c r="E12" i="28" s="1"/>
  <c r="I32" i="28"/>
  <c r="AX101" i="30"/>
  <c r="BZ111" i="30" s="1"/>
  <c r="AD169" i="30"/>
  <c r="AN94" i="30"/>
  <c r="BY101" i="30" s="1"/>
  <c r="DL79" i="30"/>
  <c r="L32" i="28"/>
  <c r="L34" i="28" s="1"/>
  <c r="BF69" i="29"/>
  <c r="BN69" i="29"/>
  <c r="BD69" i="29"/>
  <c r="J21" i="28"/>
  <c r="J7" i="28" s="1"/>
  <c r="J12" i="28" s="1"/>
  <c r="BK72" i="29"/>
  <c r="BE74" i="29"/>
  <c r="BE82" i="29" s="1"/>
  <c r="BI71" i="29"/>
  <c r="BP71" i="29"/>
  <c r="C41" i="31"/>
  <c r="D41" i="31" s="1"/>
  <c r="S17" i="28"/>
  <c r="J113" i="30"/>
  <c r="I19" i="28"/>
  <c r="BO71" i="29"/>
  <c r="BE62" i="29"/>
  <c r="BE108" i="29" s="1"/>
  <c r="S49" i="28"/>
  <c r="S55" i="28" s="1"/>
  <c r="S63" i="28"/>
  <c r="DX117" i="29"/>
  <c r="Z7" i="29" s="1"/>
  <c r="U21" i="28"/>
  <c r="U7" i="28" s="1"/>
  <c r="U12" i="28" s="1"/>
  <c r="S16" i="28"/>
  <c r="BE69" i="29"/>
  <c r="BM60" i="29"/>
  <c r="P32" i="28"/>
  <c r="T32" i="28"/>
  <c r="AD171" i="27"/>
  <c r="P21" i="28"/>
  <c r="P7" i="28" s="1"/>
  <c r="P12" i="28" s="1"/>
  <c r="BH60" i="29"/>
  <c r="K41" i="28"/>
  <c r="K36" i="28"/>
  <c r="AD183" i="27"/>
  <c r="AH183" i="27" s="1"/>
  <c r="S132" i="31"/>
  <c r="AD217" i="30"/>
  <c r="AH217" i="30" s="1"/>
  <c r="AI189" i="30"/>
  <c r="AD165" i="30"/>
  <c r="AI165" i="30" s="1"/>
  <c r="AG165" i="30"/>
  <c r="BT101" i="30"/>
  <c r="BU101" i="30"/>
  <c r="AL101" i="30"/>
  <c r="BZ99" i="30" s="1"/>
  <c r="BC101" i="30"/>
  <c r="Q42" i="28"/>
  <c r="Q28" i="28" s="1"/>
  <c r="M21" i="28"/>
  <c r="M7" i="28" s="1"/>
  <c r="M12" i="28" s="1"/>
  <c r="K40" i="28"/>
  <c r="K27" i="28" s="1"/>
  <c r="AD19" i="28"/>
  <c r="AF19" i="28" s="1"/>
  <c r="AK20" i="28" s="1"/>
  <c r="BD74" i="29"/>
  <c r="X21" i="28"/>
  <c r="X7" i="28" s="1"/>
  <c r="X12" i="28" s="1"/>
  <c r="T42" i="28"/>
  <c r="T28" i="28" s="1"/>
  <c r="AD202" i="27"/>
  <c r="AH202" i="27" s="1"/>
  <c r="AD189" i="27"/>
  <c r="AH189" i="27" s="1"/>
  <c r="AE171" i="27"/>
  <c r="AA34" i="27"/>
  <c r="K38" i="27" s="1"/>
  <c r="AD222" i="30"/>
  <c r="AD219" i="30"/>
  <c r="AH219" i="30" s="1"/>
  <c r="AD203" i="30"/>
  <c r="AH203" i="30" s="1"/>
  <c r="AF101" i="30"/>
  <c r="BZ93" i="30" s="1"/>
  <c r="BS101" i="30"/>
  <c r="BG108" i="30"/>
  <c r="BQ108" i="30"/>
  <c r="AM108" i="30"/>
  <c r="CA100" i="30" s="1"/>
  <c r="BU94" i="30"/>
  <c r="BA94" i="30"/>
  <c r="BR94" i="30"/>
  <c r="AD190" i="27"/>
  <c r="AC34" i="27"/>
  <c r="K39" i="27" s="1"/>
  <c r="C96" i="31" s="1"/>
  <c r="AD218" i="30"/>
  <c r="AH218" i="30" s="1"/>
  <c r="AD209" i="30"/>
  <c r="AH209" i="30" s="1"/>
  <c r="AE165" i="30"/>
  <c r="AD195" i="30"/>
  <c r="AH195" i="30" s="1"/>
  <c r="BU108" i="30"/>
  <c r="AK101" i="30"/>
  <c r="BZ98" i="30" s="1"/>
  <c r="BB101" i="30"/>
  <c r="BT108" i="30"/>
  <c r="AD176" i="27"/>
  <c r="AH176" i="27" s="1"/>
  <c r="AD166" i="30"/>
  <c r="AH166" i="30" s="1"/>
  <c r="AG101" i="30"/>
  <c r="BZ94" i="30" s="1"/>
  <c r="BP108" i="30"/>
  <c r="AL108" i="30"/>
  <c r="CA99" i="30" s="1"/>
  <c r="BC108" i="30"/>
  <c r="AD214" i="30"/>
  <c r="AH214" i="30" s="1"/>
  <c r="AR101" i="30"/>
  <c r="BZ105" i="30" s="1"/>
  <c r="AF108" i="30"/>
  <c r="CA93" i="30" s="1"/>
  <c r="AY101" i="30"/>
  <c r="BZ112" i="30" s="1"/>
  <c r="AH101" i="30"/>
  <c r="BZ95" i="30" s="1"/>
  <c r="AB34" i="27"/>
  <c r="K32" i="27" s="1"/>
  <c r="AO166" i="30"/>
  <c r="C76" i="31" s="1"/>
  <c r="AK94" i="30"/>
  <c r="BY98" i="30" s="1"/>
  <c r="BB94" i="30"/>
  <c r="AB228" i="30"/>
  <c r="R34" i="30" s="1"/>
  <c r="B39" i="30" s="1"/>
  <c r="C127" i="31"/>
  <c r="D127" i="31" s="1"/>
  <c r="DC176" i="31"/>
  <c r="DC141" i="31"/>
  <c r="DC168" i="31"/>
  <c r="DC133" i="31"/>
  <c r="BZ108" i="29"/>
  <c r="BZ73" i="29"/>
  <c r="T16" i="28"/>
  <c r="T15" i="28"/>
  <c r="T19" i="28"/>
  <c r="T17" i="28"/>
  <c r="BZ114" i="29"/>
  <c r="BZ79" i="29"/>
  <c r="DC107" i="29"/>
  <c r="DC72" i="29"/>
  <c r="W16" i="28"/>
  <c r="W17" i="28"/>
  <c r="W15" i="28"/>
  <c r="DC111" i="29"/>
  <c r="DC76" i="29"/>
  <c r="N15" i="28"/>
  <c r="N19" i="28"/>
  <c r="N17" i="28"/>
  <c r="N16" i="28"/>
  <c r="DY82" i="29"/>
  <c r="DY81" i="29"/>
  <c r="DY84" i="29"/>
  <c r="DY83" i="29"/>
  <c r="CO82" i="29"/>
  <c r="CO81" i="29"/>
  <c r="CO84" i="29"/>
  <c r="CO83" i="29"/>
  <c r="BB84" i="29"/>
  <c r="BB83" i="29"/>
  <c r="BB82" i="29"/>
  <c r="BB81" i="29"/>
  <c r="BG82" i="29"/>
  <c r="BG81" i="29"/>
  <c r="BG84" i="29"/>
  <c r="BG83" i="29"/>
  <c r="DU84" i="29"/>
  <c r="DU83" i="29"/>
  <c r="DU82" i="29"/>
  <c r="DU81" i="29"/>
  <c r="CK83" i="29"/>
  <c r="CK82" i="29"/>
  <c r="CK81" i="29"/>
  <c r="CK84" i="29"/>
  <c r="DL117" i="29"/>
  <c r="N7" i="29" s="1"/>
  <c r="M41" i="28"/>
  <c r="M40" i="28"/>
  <c r="M27" i="28" s="1"/>
  <c r="M38" i="28"/>
  <c r="M37" i="28"/>
  <c r="M36" i="28"/>
  <c r="M39" i="28" s="1"/>
  <c r="DP82" i="29"/>
  <c r="DP81" i="29"/>
  <c r="DP84" i="29"/>
  <c r="DP83" i="29"/>
  <c r="DS117" i="29"/>
  <c r="U7" i="29" s="1"/>
  <c r="CI117" i="29"/>
  <c r="N6" i="29" s="1"/>
  <c r="U62" i="28"/>
  <c r="U61" i="28"/>
  <c r="U48" i="28" s="1"/>
  <c r="U53" i="28" s="1"/>
  <c r="U59" i="28"/>
  <c r="U58" i="28"/>
  <c r="U57" i="28"/>
  <c r="P62" i="28"/>
  <c r="P61" i="28"/>
  <c r="P48" i="28" s="1"/>
  <c r="P59" i="28"/>
  <c r="P58" i="28"/>
  <c r="P57" i="28"/>
  <c r="Z36" i="28"/>
  <c r="X41" i="28"/>
  <c r="DJ117" i="29"/>
  <c r="L7" i="29" s="1"/>
  <c r="U2" i="28"/>
  <c r="BI82" i="29"/>
  <c r="BI81" i="29"/>
  <c r="BI84" i="29"/>
  <c r="BI83" i="29"/>
  <c r="DG83" i="29"/>
  <c r="DG82" i="29"/>
  <c r="DG81" i="29"/>
  <c r="DG84" i="29"/>
  <c r="BP81" i="29"/>
  <c r="X40" i="28"/>
  <c r="X27" i="28" s="1"/>
  <c r="J132" i="31"/>
  <c r="U137" i="31"/>
  <c r="C131" i="31"/>
  <c r="D131" i="31" s="1"/>
  <c r="T141" i="31"/>
  <c r="Z141" i="31"/>
  <c r="C103" i="31"/>
  <c r="D103" i="31" s="1"/>
  <c r="C99" i="31"/>
  <c r="D99" i="31" s="1"/>
  <c r="C107" i="31"/>
  <c r="D107" i="31" s="1"/>
  <c r="AD132" i="31"/>
  <c r="K132" i="31"/>
  <c r="Y132" i="31"/>
  <c r="I141" i="31"/>
  <c r="DC171" i="31"/>
  <c r="DC136" i="31"/>
  <c r="DC174" i="31"/>
  <c r="DC139" i="31"/>
  <c r="DC172" i="31"/>
  <c r="DC137" i="31"/>
  <c r="AD194" i="30"/>
  <c r="AH194" i="30" s="1"/>
  <c r="AD193" i="30"/>
  <c r="AH193" i="30" s="1"/>
  <c r="AE193" i="30"/>
  <c r="AG170" i="30"/>
  <c r="AF170" i="30"/>
  <c r="AE170" i="30"/>
  <c r="W170" i="30"/>
  <c r="AI170" i="30"/>
  <c r="V170" i="30"/>
  <c r="U170" i="30"/>
  <c r="AG219" i="30"/>
  <c r="AF219" i="30"/>
  <c r="AE219" i="30"/>
  <c r="W219" i="30"/>
  <c r="V219" i="30"/>
  <c r="U219" i="30"/>
  <c r="AJ219" i="30"/>
  <c r="AI219" i="30"/>
  <c r="AE194" i="30"/>
  <c r="M110" i="30"/>
  <c r="AE217" i="30"/>
  <c r="M111" i="30"/>
  <c r="J111" i="30" s="1"/>
  <c r="AG195" i="30"/>
  <c r="AF195" i="30"/>
  <c r="AE195" i="30"/>
  <c r="W195" i="30"/>
  <c r="V195" i="30"/>
  <c r="U195" i="30"/>
  <c r="AJ195" i="30"/>
  <c r="AI195" i="30"/>
  <c r="AD225" i="30"/>
  <c r="AH225" i="30" s="1"/>
  <c r="AE166" i="30"/>
  <c r="AO108" i="30"/>
  <c r="CA102" i="30" s="1"/>
  <c r="BD101" i="30"/>
  <c r="AC101" i="30"/>
  <c r="BZ90" i="30" s="1"/>
  <c r="AT101" i="30"/>
  <c r="BZ107" i="30" s="1"/>
  <c r="AC228" i="30"/>
  <c r="C73" i="31" s="1"/>
  <c r="AC108" i="30"/>
  <c r="CA90" i="30" s="1"/>
  <c r="AT108" i="30"/>
  <c r="CA107" i="30" s="1"/>
  <c r="BF94" i="30"/>
  <c r="AB94" i="30"/>
  <c r="BY89" i="30" s="1"/>
  <c r="AS94" i="30"/>
  <c r="BY106" i="30" s="1"/>
  <c r="BJ94" i="30"/>
  <c r="AF94" i="30"/>
  <c r="BY93" i="30" s="1"/>
  <c r="AW94" i="30"/>
  <c r="BY110" i="30" s="1"/>
  <c r="DC73" i="29"/>
  <c r="DC108" i="29"/>
  <c r="L16" i="28"/>
  <c r="L15" i="28"/>
  <c r="L17" i="28"/>
  <c r="L19" i="28"/>
  <c r="F17" i="28"/>
  <c r="F19" i="28"/>
  <c r="F15" i="28"/>
  <c r="F16" i="28"/>
  <c r="DY117" i="29"/>
  <c r="AA7" i="29" s="1"/>
  <c r="CO117" i="29"/>
  <c r="T6" i="29" s="1"/>
  <c r="P37" i="28"/>
  <c r="P39" i="28" s="1"/>
  <c r="CN82" i="29"/>
  <c r="CN81" i="29"/>
  <c r="CN84" i="29"/>
  <c r="CN83" i="29"/>
  <c r="DM117" i="29"/>
  <c r="O7" i="29" s="1"/>
  <c r="CC117" i="29"/>
  <c r="H6" i="29" s="1"/>
  <c r="G2" i="28"/>
  <c r="DL84" i="29"/>
  <c r="DL83" i="29"/>
  <c r="DL82" i="29"/>
  <c r="DL81" i="29"/>
  <c r="BM83" i="29"/>
  <c r="BM82" i="29"/>
  <c r="BM81" i="29"/>
  <c r="BM84" i="29"/>
  <c r="U41" i="28"/>
  <c r="U40" i="28"/>
  <c r="U27" i="28" s="1"/>
  <c r="U38" i="28"/>
  <c r="U37" i="28"/>
  <c r="U36" i="28"/>
  <c r="U39" i="28" s="1"/>
  <c r="Q17" i="28"/>
  <c r="I2" i="28"/>
  <c r="DP117" i="29"/>
  <c r="R7" i="29" s="1"/>
  <c r="BZ80" i="29"/>
  <c r="BZ115" i="29"/>
  <c r="DS84" i="29"/>
  <c r="DS83" i="29"/>
  <c r="DS82" i="29"/>
  <c r="DS81" i="29"/>
  <c r="CI84" i="29"/>
  <c r="CI83" i="29"/>
  <c r="CI82" i="29"/>
  <c r="CI81" i="29"/>
  <c r="F62" i="28"/>
  <c r="F61" i="28"/>
  <c r="F48" i="28" s="1"/>
  <c r="F59" i="28"/>
  <c r="F58" i="28"/>
  <c r="F57" i="28"/>
  <c r="X62" i="28"/>
  <c r="X61" i="28"/>
  <c r="X48" i="28" s="1"/>
  <c r="X59" i="28"/>
  <c r="X58" i="28"/>
  <c r="X57" i="28"/>
  <c r="X60" i="28" s="1"/>
  <c r="R58" i="28"/>
  <c r="R60" i="28" s="1"/>
  <c r="I16" i="28"/>
  <c r="I36" i="28"/>
  <c r="H40" i="28"/>
  <c r="H27" i="28" s="1"/>
  <c r="DJ82" i="29"/>
  <c r="DJ81" i="29"/>
  <c r="DJ84" i="29"/>
  <c r="DJ83" i="29"/>
  <c r="BS84" i="29"/>
  <c r="BS83" i="29"/>
  <c r="BS82" i="29"/>
  <c r="BS81" i="29"/>
  <c r="H41" i="28"/>
  <c r="M2" i="28"/>
  <c r="DG117" i="29"/>
  <c r="I7" i="29" s="1"/>
  <c r="K58" i="28"/>
  <c r="K60" i="28" s="1"/>
  <c r="K64" i="28" s="1"/>
  <c r="P41" i="28"/>
  <c r="AA228" i="30"/>
  <c r="AO167" i="30"/>
  <c r="AD164" i="30"/>
  <c r="AJ164" i="30" s="1"/>
  <c r="AX94" i="30"/>
  <c r="BY111" i="30" s="1"/>
  <c r="AE137" i="31"/>
  <c r="AD210" i="30"/>
  <c r="AH210" i="30" s="1"/>
  <c r="BV108" i="30"/>
  <c r="AJ94" i="30"/>
  <c r="BY97" i="30" s="1"/>
  <c r="D279" i="31"/>
  <c r="D292" i="31" s="1"/>
  <c r="BZ173" i="31"/>
  <c r="BZ138" i="31"/>
  <c r="AF198" i="30"/>
  <c r="AE198" i="30"/>
  <c r="W198" i="30"/>
  <c r="V198" i="30"/>
  <c r="U198" i="30"/>
  <c r="AJ198" i="30"/>
  <c r="AI198" i="30"/>
  <c r="AG198" i="30"/>
  <c r="L137" i="31"/>
  <c r="V132" i="31"/>
  <c r="K137" i="31"/>
  <c r="AN101" i="30"/>
  <c r="BZ101" i="30" s="1"/>
  <c r="AF28" i="30"/>
  <c r="AG28" i="30" s="1"/>
  <c r="AF27" i="30"/>
  <c r="AG27" i="30" s="1"/>
  <c r="CU82" i="29"/>
  <c r="CU81" i="29"/>
  <c r="CU84" i="29"/>
  <c r="CU83" i="29"/>
  <c r="AA132" i="31"/>
  <c r="K141" i="31"/>
  <c r="Y141" i="31"/>
  <c r="BZ168" i="31"/>
  <c r="BZ133" i="31"/>
  <c r="BZ169" i="31"/>
  <c r="BZ134" i="31"/>
  <c r="AF206" i="30"/>
  <c r="AE206" i="30"/>
  <c r="W206" i="30"/>
  <c r="V206" i="30"/>
  <c r="U206" i="30"/>
  <c r="AJ206" i="30"/>
  <c r="AI206" i="30"/>
  <c r="AG206" i="30"/>
  <c r="AG175" i="30"/>
  <c r="V175" i="30"/>
  <c r="U175" i="30"/>
  <c r="AJ175" i="30"/>
  <c r="AI175" i="30"/>
  <c r="AH175" i="30"/>
  <c r="AF175" i="30"/>
  <c r="AE175" i="30"/>
  <c r="W175" i="30"/>
  <c r="AS101" i="30"/>
  <c r="BZ106" i="30" s="1"/>
  <c r="BJ101" i="30"/>
  <c r="AB108" i="30"/>
  <c r="CA89" i="30" s="1"/>
  <c r="AS108" i="30"/>
  <c r="CA106" i="30" s="1"/>
  <c r="BJ108" i="30"/>
  <c r="BV94" i="30"/>
  <c r="AR94" i="30"/>
  <c r="BY105" i="30" s="1"/>
  <c r="BI94" i="30"/>
  <c r="AE94" i="30"/>
  <c r="BY92" i="30" s="1"/>
  <c r="AV94" i="30"/>
  <c r="BY109" i="30" s="1"/>
  <c r="V19" i="28"/>
  <c r="V17" i="28"/>
  <c r="V16" i="28"/>
  <c r="V15" i="28"/>
  <c r="J17" i="28"/>
  <c r="J19" i="28"/>
  <c r="J16" i="28"/>
  <c r="J15" i="28"/>
  <c r="P15" i="28"/>
  <c r="P19" i="28"/>
  <c r="P16" i="28"/>
  <c r="P17" i="28"/>
  <c r="DQ117" i="29"/>
  <c r="S7" i="29" s="1"/>
  <c r="CG117" i="29"/>
  <c r="L6" i="29" s="1"/>
  <c r="DV83" i="29"/>
  <c r="DV82" i="29"/>
  <c r="DV81" i="29"/>
  <c r="DV84" i="29"/>
  <c r="CL117" i="29"/>
  <c r="Q6" i="29" s="1"/>
  <c r="DE117" i="29"/>
  <c r="G7" i="29" s="1"/>
  <c r="C59" i="28"/>
  <c r="C58" i="28"/>
  <c r="C57" i="28"/>
  <c r="C60" i="28" s="1"/>
  <c r="C64" i="28" s="1"/>
  <c r="Y15" i="28"/>
  <c r="CR84" i="29"/>
  <c r="CR83" i="29"/>
  <c r="CR82" i="29"/>
  <c r="CR81" i="29"/>
  <c r="BE83" i="29"/>
  <c r="N40" i="28"/>
  <c r="N27" i="28" s="1"/>
  <c r="N37" i="28"/>
  <c r="N41" i="28"/>
  <c r="N38" i="28"/>
  <c r="N36" i="28"/>
  <c r="S53" i="28"/>
  <c r="CF117" i="29"/>
  <c r="K6" i="29" s="1"/>
  <c r="DK84" i="29"/>
  <c r="DK83" i="29"/>
  <c r="DK82" i="29"/>
  <c r="DK81" i="29"/>
  <c r="BL84" i="29"/>
  <c r="BL83" i="29"/>
  <c r="BL82" i="29"/>
  <c r="BL81" i="29"/>
  <c r="D62" i="28"/>
  <c r="D61" i="28"/>
  <c r="D48" i="28" s="1"/>
  <c r="D59" i="28"/>
  <c r="D58" i="28"/>
  <c r="D57" i="28"/>
  <c r="V62" i="28"/>
  <c r="V61" i="28"/>
  <c r="V48" i="28" s="1"/>
  <c r="V59" i="28"/>
  <c r="V58" i="28"/>
  <c r="V57" i="28"/>
  <c r="Q61" i="28"/>
  <c r="Q48" i="28" s="1"/>
  <c r="Q57" i="28"/>
  <c r="Q62" i="28"/>
  <c r="Q58" i="28"/>
  <c r="Q59" i="28"/>
  <c r="R53" i="28"/>
  <c r="H36" i="28"/>
  <c r="DZ84" i="29"/>
  <c r="CX84" i="29"/>
  <c r="CX83" i="29"/>
  <c r="CX82" i="29"/>
  <c r="CX81" i="29"/>
  <c r="BK84" i="29"/>
  <c r="BK83" i="29"/>
  <c r="BK82" i="29"/>
  <c r="BK81" i="29"/>
  <c r="X36" i="28"/>
  <c r="O15" i="28"/>
  <c r="CU117" i="29"/>
  <c r="Z6" i="29" s="1"/>
  <c r="K61" i="28"/>
  <c r="K48" i="28" s="1"/>
  <c r="K53" i="28" s="1"/>
  <c r="Z41" i="28"/>
  <c r="K15" i="28"/>
  <c r="Y19" i="28"/>
  <c r="W19" i="28"/>
  <c r="I137" i="31"/>
  <c r="H137" i="31"/>
  <c r="C125" i="31"/>
  <c r="D125" i="31" s="1"/>
  <c r="BZ174" i="31"/>
  <c r="BZ139" i="31"/>
  <c r="AD226" i="30"/>
  <c r="AH226" i="30" s="1"/>
  <c r="AG172" i="30"/>
  <c r="AF172" i="30"/>
  <c r="W172" i="30"/>
  <c r="AI172" i="30"/>
  <c r="V172" i="30"/>
  <c r="U172" i="30"/>
  <c r="AE172" i="30"/>
  <c r="BB108" i="30"/>
  <c r="D16" i="28"/>
  <c r="D15" i="28"/>
  <c r="D19" i="28"/>
  <c r="D17" i="28"/>
  <c r="X19" i="28"/>
  <c r="X15" i="28"/>
  <c r="X17" i="28"/>
  <c r="X16" i="28"/>
  <c r="DM84" i="29"/>
  <c r="DM83" i="29"/>
  <c r="DM82" i="29"/>
  <c r="DM81" i="29"/>
  <c r="N62" i="28"/>
  <c r="N61" i="28"/>
  <c r="N48" i="28" s="1"/>
  <c r="N59" i="28"/>
  <c r="N58" i="28"/>
  <c r="N57" i="28"/>
  <c r="I59" i="28"/>
  <c r="I61" i="28"/>
  <c r="I48" i="28" s="1"/>
  <c r="I53" i="28" s="1"/>
  <c r="I57" i="28"/>
  <c r="I62" i="28"/>
  <c r="I58" i="28"/>
  <c r="E2" i="28"/>
  <c r="BH82" i="29"/>
  <c r="BH81" i="29"/>
  <c r="BH84" i="29"/>
  <c r="BH83" i="29"/>
  <c r="H38" i="28"/>
  <c r="T132" i="31"/>
  <c r="C126" i="31"/>
  <c r="D126" i="31" s="1"/>
  <c r="W137" i="31"/>
  <c r="V137" i="31"/>
  <c r="M141" i="31"/>
  <c r="J137" i="31"/>
  <c r="X137" i="31"/>
  <c r="AA137" i="31"/>
  <c r="Q132" i="31"/>
  <c r="BZ176" i="31"/>
  <c r="BZ141" i="31"/>
  <c r="BZ171" i="31"/>
  <c r="BZ136" i="31"/>
  <c r="DC170" i="31"/>
  <c r="DC135" i="31"/>
  <c r="DC173" i="31"/>
  <c r="DC138" i="31"/>
  <c r="AO169" i="30"/>
  <c r="C77" i="31" s="1"/>
  <c r="AD186" i="30"/>
  <c r="AJ186" i="30" s="1"/>
  <c r="AD185" i="30"/>
  <c r="AH185" i="30" s="1"/>
  <c r="AE209" i="30"/>
  <c r="AD173" i="30"/>
  <c r="AH173" i="30" s="1"/>
  <c r="AO101" i="30"/>
  <c r="BZ102" i="30" s="1"/>
  <c r="BA101" i="30"/>
  <c r="BR101" i="30"/>
  <c r="BE108" i="30"/>
  <c r="AY108" i="30"/>
  <c r="CA112" i="30" s="1"/>
  <c r="AJ108" i="30"/>
  <c r="CA97" i="30" s="1"/>
  <c r="BA108" i="30"/>
  <c r="BR108" i="30"/>
  <c r="AN108" i="30"/>
  <c r="CA101" i="30" s="1"/>
  <c r="AI94" i="30"/>
  <c r="BY96" i="30" s="1"/>
  <c r="AZ94" i="30"/>
  <c r="BY113" i="30" s="1"/>
  <c r="BQ94" i="30"/>
  <c r="AM94" i="30"/>
  <c r="BY100" i="30" s="1"/>
  <c r="BD94" i="30"/>
  <c r="DC71" i="29"/>
  <c r="DC106" i="29"/>
  <c r="DC112" i="29"/>
  <c r="DC77" i="29"/>
  <c r="BZ107" i="29"/>
  <c r="BZ72" i="29"/>
  <c r="H19" i="28"/>
  <c r="H17" i="28"/>
  <c r="H16" i="28"/>
  <c r="H15" i="28"/>
  <c r="B98" i="29"/>
  <c r="DI82" i="29"/>
  <c r="DI81" i="29"/>
  <c r="DI84" i="29"/>
  <c r="DI83" i="29"/>
  <c r="BR84" i="29"/>
  <c r="BR83" i="29"/>
  <c r="BR82" i="29"/>
  <c r="BR81" i="29"/>
  <c r="DV117" i="29"/>
  <c r="X7" i="29" s="1"/>
  <c r="CD83" i="29"/>
  <c r="CD82" i="29"/>
  <c r="CD81" i="29"/>
  <c r="CD84" i="29"/>
  <c r="S59" i="28"/>
  <c r="DE84" i="29"/>
  <c r="DE83" i="29"/>
  <c r="DE82" i="29"/>
  <c r="DE81" i="29"/>
  <c r="BN83" i="29"/>
  <c r="BN82" i="29"/>
  <c r="BN81" i="29"/>
  <c r="BN84" i="29"/>
  <c r="EB117" i="29"/>
  <c r="AD7" i="29" s="1"/>
  <c r="CJ117" i="29"/>
  <c r="O6" i="29" s="1"/>
  <c r="V36" i="28"/>
  <c r="V40" i="28"/>
  <c r="V27" i="28" s="1"/>
  <c r="V37" i="28"/>
  <c r="V41" i="28"/>
  <c r="V38" i="28"/>
  <c r="O16" i="28"/>
  <c r="CY117" i="29"/>
  <c r="AD6" i="29" s="1"/>
  <c r="L62" i="28"/>
  <c r="L61" i="28"/>
  <c r="L48" i="28" s="1"/>
  <c r="L59" i="28"/>
  <c r="L58" i="28"/>
  <c r="L57" i="28"/>
  <c r="G62" i="28"/>
  <c r="G61" i="28"/>
  <c r="G48" i="28" s="1"/>
  <c r="G59" i="28"/>
  <c r="G58" i="28"/>
  <c r="G57" i="28"/>
  <c r="G60" i="28" s="1"/>
  <c r="Y61" i="28"/>
  <c r="Y48" i="28" s="1"/>
  <c r="Y57" i="28"/>
  <c r="Y62" i="28"/>
  <c r="Y58" i="28"/>
  <c r="Y59" i="28"/>
  <c r="Q15" i="28"/>
  <c r="DZ81" i="29"/>
  <c r="CP117" i="29"/>
  <c r="U6" i="29" s="1"/>
  <c r="I41" i="28"/>
  <c r="CT84" i="29"/>
  <c r="DW83" i="29"/>
  <c r="DW82" i="29"/>
  <c r="DW81" i="29"/>
  <c r="DW84" i="29"/>
  <c r="CM82" i="29"/>
  <c r="CM81" i="29"/>
  <c r="CM84" i="29"/>
  <c r="CM83" i="29"/>
  <c r="AZ84" i="29"/>
  <c r="Q36" i="28"/>
  <c r="Q39" i="28" s="1"/>
  <c r="K16" i="28"/>
  <c r="C134" i="31"/>
  <c r="D134" i="31" s="1"/>
  <c r="D111" i="31"/>
  <c r="BZ109" i="29"/>
  <c r="BZ74" i="29"/>
  <c r="DQ82" i="29"/>
  <c r="DQ81" i="29"/>
  <c r="DQ84" i="29"/>
  <c r="DQ83" i="29"/>
  <c r="S60" i="28"/>
  <c r="S64" i="28" s="1"/>
  <c r="L39" i="28"/>
  <c r="L43" i="28" s="1"/>
  <c r="CR117" i="29"/>
  <c r="W6" i="29" s="1"/>
  <c r="CF82" i="29"/>
  <c r="CF81" i="29"/>
  <c r="CF84" i="29"/>
  <c r="CF83" i="29"/>
  <c r="X37" i="28"/>
  <c r="AB132" i="31"/>
  <c r="C104" i="31"/>
  <c r="D104" i="31" s="1"/>
  <c r="C100" i="31"/>
  <c r="D100" i="31" s="1"/>
  <c r="C108" i="31"/>
  <c r="D108" i="31" s="1"/>
  <c r="R141" i="31"/>
  <c r="X132" i="31"/>
  <c r="L132" i="31"/>
  <c r="C130" i="31"/>
  <c r="D130" i="31" s="1"/>
  <c r="W141" i="31"/>
  <c r="V141" i="31"/>
  <c r="J141" i="31"/>
  <c r="X141" i="31"/>
  <c r="H132" i="31"/>
  <c r="C102" i="31"/>
  <c r="D102" i="31" s="1"/>
  <c r="C106" i="31"/>
  <c r="D106" i="31" s="1"/>
  <c r="C98" i="31"/>
  <c r="D98" i="31" s="1"/>
  <c r="C135" i="31"/>
  <c r="D135" i="31" s="1"/>
  <c r="D112" i="31"/>
  <c r="AA141" i="31"/>
  <c r="Q137" i="31"/>
  <c r="DC167" i="31"/>
  <c r="DC132" i="31"/>
  <c r="BZ167" i="31"/>
  <c r="BZ132" i="31"/>
  <c r="AF214" i="30"/>
  <c r="AE214" i="30"/>
  <c r="W214" i="30"/>
  <c r="V214" i="30"/>
  <c r="U214" i="30"/>
  <c r="AJ214" i="30"/>
  <c r="AI214" i="30"/>
  <c r="AG214" i="30"/>
  <c r="AD201" i="30"/>
  <c r="AH201" i="30" s="1"/>
  <c r="AG203" i="30"/>
  <c r="AF203" i="30"/>
  <c r="AE203" i="30"/>
  <c r="W203" i="30"/>
  <c r="V203" i="30"/>
  <c r="U203" i="30"/>
  <c r="AJ203" i="30"/>
  <c r="AI203" i="30"/>
  <c r="AG173" i="30"/>
  <c r="V173" i="30"/>
  <c r="U173" i="30"/>
  <c r="AI173" i="30"/>
  <c r="W173" i="30"/>
  <c r="AF173" i="30"/>
  <c r="AE173" i="30"/>
  <c r="AJ173" i="30"/>
  <c r="AD198" i="30"/>
  <c r="AH198" i="30" s="1"/>
  <c r="AE201" i="30"/>
  <c r="AD180" i="30"/>
  <c r="AH180" i="30" s="1"/>
  <c r="AF171" i="30"/>
  <c r="U171" i="30"/>
  <c r="AJ171" i="30"/>
  <c r="AI171" i="30"/>
  <c r="W171" i="30"/>
  <c r="V171" i="30"/>
  <c r="AG171" i="30"/>
  <c r="AE171" i="30"/>
  <c r="L110" i="30"/>
  <c r="AE218" i="30"/>
  <c r="AG167" i="30"/>
  <c r="V167" i="30"/>
  <c r="AJ167" i="30"/>
  <c r="W167" i="30"/>
  <c r="AF167" i="30"/>
  <c r="U167" i="30"/>
  <c r="AE167" i="30"/>
  <c r="BV101" i="30"/>
  <c r="AW101" i="30"/>
  <c r="BZ110" i="30" s="1"/>
  <c r="BI101" i="30"/>
  <c r="AE101" i="30"/>
  <c r="BZ92" i="30" s="1"/>
  <c r="AH108" i="30"/>
  <c r="CA95" i="30" s="1"/>
  <c r="AR108" i="30"/>
  <c r="CA105" i="30" s="1"/>
  <c r="BI108" i="30"/>
  <c r="AE108" i="30"/>
  <c r="CA92" i="30" s="1"/>
  <c r="AV108" i="30"/>
  <c r="CA109" i="30" s="1"/>
  <c r="AQ94" i="30"/>
  <c r="BY104" i="30" s="1"/>
  <c r="BH94" i="30"/>
  <c r="AD94" i="30"/>
  <c r="BY91" i="30" s="1"/>
  <c r="BE94" i="30"/>
  <c r="AH33" i="30"/>
  <c r="AI33" i="30" s="1"/>
  <c r="AI36" i="30" s="1"/>
  <c r="D272" i="31"/>
  <c r="D288" i="31" s="1"/>
  <c r="C288" i="31"/>
  <c r="M15" i="28"/>
  <c r="M16" i="28"/>
  <c r="M19" i="28"/>
  <c r="M17" i="28"/>
  <c r="Z61" i="28"/>
  <c r="Z48" i="28" s="1"/>
  <c r="Z57" i="28"/>
  <c r="Z17" i="28"/>
  <c r="Z16" i="28"/>
  <c r="Z15" i="28"/>
  <c r="Z19" i="28"/>
  <c r="DI117" i="29"/>
  <c r="K7" i="29" s="1"/>
  <c r="BZ78" i="29"/>
  <c r="BZ113" i="29"/>
  <c r="DN83" i="29"/>
  <c r="DN82" i="29"/>
  <c r="DN81" i="29"/>
  <c r="DN84" i="29"/>
  <c r="CD117" i="29"/>
  <c r="I6" i="29" s="1"/>
  <c r="DZ117" i="29"/>
  <c r="AB7" i="29" s="1"/>
  <c r="CS117" i="29"/>
  <c r="X6" i="29" s="1"/>
  <c r="EB84" i="29"/>
  <c r="EB83" i="29"/>
  <c r="EB82" i="29"/>
  <c r="EB81" i="29"/>
  <c r="CJ84" i="29"/>
  <c r="CJ83" i="29"/>
  <c r="CJ82" i="29"/>
  <c r="CJ81" i="29"/>
  <c r="AW83" i="29"/>
  <c r="AW82" i="29"/>
  <c r="AW81" i="29"/>
  <c r="AW84" i="29"/>
  <c r="G41" i="28"/>
  <c r="G40" i="28"/>
  <c r="G27" i="28" s="1"/>
  <c r="G38" i="28"/>
  <c r="G37" i="28"/>
  <c r="G36" i="28"/>
  <c r="Y41" i="28"/>
  <c r="Y40" i="28"/>
  <c r="Y27" i="28" s="1"/>
  <c r="Y38" i="28"/>
  <c r="Y37" i="28"/>
  <c r="Y36" i="28"/>
  <c r="C53" i="28"/>
  <c r="S39" i="28"/>
  <c r="S43" i="28" s="1"/>
  <c r="CY84" i="29"/>
  <c r="CY83" i="29"/>
  <c r="CY82" i="29"/>
  <c r="CY81" i="29"/>
  <c r="BD84" i="29"/>
  <c r="BD83" i="29"/>
  <c r="BD82" i="29"/>
  <c r="BD81" i="29"/>
  <c r="T62" i="28"/>
  <c r="T61" i="28"/>
  <c r="T48" i="28" s="1"/>
  <c r="T59" i="28"/>
  <c r="T58" i="28"/>
  <c r="T57" i="28"/>
  <c r="O62" i="28"/>
  <c r="O61" i="28"/>
  <c r="O48" i="28" s="1"/>
  <c r="O59" i="28"/>
  <c r="O58" i="28"/>
  <c r="O57" i="28"/>
  <c r="Z40" i="28"/>
  <c r="Z27" i="28" s="1"/>
  <c r="X2" i="28"/>
  <c r="CP84" i="29"/>
  <c r="CP83" i="29"/>
  <c r="CP81" i="29"/>
  <c r="CP82" i="29"/>
  <c r="Q40" i="28"/>
  <c r="Q27" i="28" s="1"/>
  <c r="CT81" i="29"/>
  <c r="DW117" i="29"/>
  <c r="Y7" i="29" s="1"/>
  <c r="CM117" i="29"/>
  <c r="R6" i="29" s="1"/>
  <c r="I37" i="28"/>
  <c r="BF108" i="30"/>
  <c r="BS108" i="30"/>
  <c r="R19" i="28"/>
  <c r="R17" i="28"/>
  <c r="R16" i="28"/>
  <c r="R15" i="28"/>
  <c r="CL83" i="29"/>
  <c r="CL82" i="29"/>
  <c r="CL81" i="29"/>
  <c r="CL84" i="29"/>
  <c r="CC83" i="29"/>
  <c r="CC82" i="29"/>
  <c r="CC81" i="29"/>
  <c r="CC84" i="29"/>
  <c r="F40" i="28"/>
  <c r="F27" i="28" s="1"/>
  <c r="F37" i="28"/>
  <c r="F41" i="28"/>
  <c r="F38" i="28"/>
  <c r="F36" i="28"/>
  <c r="AB137" i="31"/>
  <c r="P137" i="31"/>
  <c r="DC169" i="31"/>
  <c r="DC134" i="31"/>
  <c r="BZ170" i="31"/>
  <c r="BZ135" i="31"/>
  <c r="AG211" i="30"/>
  <c r="AF211" i="30"/>
  <c r="AE211" i="30"/>
  <c r="W211" i="30"/>
  <c r="V211" i="30"/>
  <c r="U211" i="30"/>
  <c r="AJ211" i="30"/>
  <c r="AI211" i="30"/>
  <c r="AH211" i="30"/>
  <c r="M114" i="30"/>
  <c r="J114" i="30" s="1"/>
  <c r="AG227" i="30"/>
  <c r="AF227" i="30"/>
  <c r="AE227" i="30"/>
  <c r="W227" i="30"/>
  <c r="V227" i="30"/>
  <c r="U227" i="30"/>
  <c r="AJ227" i="30"/>
  <c r="AI227" i="30"/>
  <c r="AH227" i="30"/>
  <c r="BG101" i="30"/>
  <c r="BF101" i="30"/>
  <c r="BE101" i="30"/>
  <c r="BQ101" i="30"/>
  <c r="AM101" i="30"/>
  <c r="BZ100" i="30" s="1"/>
  <c r="AZ101" i="30"/>
  <c r="BZ113" i="30" s="1"/>
  <c r="AP108" i="30"/>
  <c r="CA103" i="30" s="1"/>
  <c r="AZ108" i="30"/>
  <c r="CA113" i="30" s="1"/>
  <c r="BD108" i="30"/>
  <c r="AH94" i="30"/>
  <c r="BY95" i="30" s="1"/>
  <c r="AY94" i="30"/>
  <c r="BY112" i="30" s="1"/>
  <c r="BP94" i="30"/>
  <c r="AL94" i="30"/>
  <c r="BY99" i="30" s="1"/>
  <c r="BC94" i="30"/>
  <c r="BT94" i="30"/>
  <c r="AB28" i="30"/>
  <c r="AC28" i="30" s="1"/>
  <c r="AB27" i="30"/>
  <c r="AC27" i="30" s="1"/>
  <c r="AB29" i="30"/>
  <c r="AC29" i="30" s="1"/>
  <c r="E15" i="28"/>
  <c r="E19" i="28"/>
  <c r="E16" i="28"/>
  <c r="E17" i="28"/>
  <c r="DC114" i="29"/>
  <c r="DC79" i="29"/>
  <c r="DC109" i="29"/>
  <c r="DC74" i="29"/>
  <c r="DC113" i="29"/>
  <c r="DC78" i="29"/>
  <c r="R59" i="28"/>
  <c r="CW82" i="29"/>
  <c r="CW81" i="29"/>
  <c r="CW84" i="29"/>
  <c r="CW83" i="29"/>
  <c r="BJ84" i="29"/>
  <c r="BJ83" i="29"/>
  <c r="BJ82" i="29"/>
  <c r="BJ81" i="29"/>
  <c r="DN117" i="29"/>
  <c r="P7" i="29" s="1"/>
  <c r="BO82" i="29"/>
  <c r="BO81" i="29"/>
  <c r="BO84" i="29"/>
  <c r="BO83" i="29"/>
  <c r="CS83" i="29"/>
  <c r="CS82" i="29"/>
  <c r="CS81" i="29"/>
  <c r="CS84" i="29"/>
  <c r="AK224" i="31"/>
  <c r="AO224" i="31" s="1"/>
  <c r="AN215" i="31"/>
  <c r="DH82" i="29"/>
  <c r="DH81" i="29"/>
  <c r="DH84" i="29"/>
  <c r="DH83" i="29"/>
  <c r="DT117" i="29"/>
  <c r="V7" i="29" s="1"/>
  <c r="CB117" i="29"/>
  <c r="G6" i="29" s="1"/>
  <c r="O41" i="28"/>
  <c r="O40" i="28"/>
  <c r="O27" i="28" s="1"/>
  <c r="O38" i="28"/>
  <c r="O37" i="28"/>
  <c r="O36" i="28"/>
  <c r="J41" i="28"/>
  <c r="J40" i="28"/>
  <c r="J27" i="28" s="1"/>
  <c r="J38" i="28"/>
  <c r="J37" i="28"/>
  <c r="J36" i="28"/>
  <c r="W2" i="28"/>
  <c r="EA117" i="29"/>
  <c r="AC7" i="29" s="1"/>
  <c r="CQ117" i="29"/>
  <c r="V6" i="29" s="1"/>
  <c r="E62" i="28"/>
  <c r="E61" i="28"/>
  <c r="E48" i="28" s="1"/>
  <c r="E59" i="28"/>
  <c r="E58" i="28"/>
  <c r="E57" i="28"/>
  <c r="W62" i="28"/>
  <c r="W61" i="28"/>
  <c r="W48" i="28" s="1"/>
  <c r="W59" i="28"/>
  <c r="W58" i="28"/>
  <c r="W57" i="28"/>
  <c r="C17" i="28"/>
  <c r="C16" i="28"/>
  <c r="C15" i="28"/>
  <c r="Z38" i="28"/>
  <c r="P2" i="28"/>
  <c r="DR117" i="29"/>
  <c r="T7" i="29" s="1"/>
  <c r="CH117" i="29"/>
  <c r="M6" i="29" s="1"/>
  <c r="CT82" i="29"/>
  <c r="CV82" i="29"/>
  <c r="CV81" i="29"/>
  <c r="CV84" i="29"/>
  <c r="CV83" i="29"/>
  <c r="DO83" i="29"/>
  <c r="DO82" i="29"/>
  <c r="DO81" i="29"/>
  <c r="DO84" i="29"/>
  <c r="CE82" i="29"/>
  <c r="CE81" i="29"/>
  <c r="CE84" i="29"/>
  <c r="CE83" i="29"/>
  <c r="Z62" i="28"/>
  <c r="O2" i="28"/>
  <c r="T39" i="28"/>
  <c r="BZ175" i="31"/>
  <c r="BZ140" i="31"/>
  <c r="BZ172" i="31"/>
  <c r="BZ137" i="31"/>
  <c r="AO170" i="30"/>
  <c r="G19" i="28"/>
  <c r="G17" i="28"/>
  <c r="G16" i="28"/>
  <c r="G15" i="28"/>
  <c r="CG82" i="29"/>
  <c r="CG81" i="29"/>
  <c r="CG84" i="29"/>
  <c r="CG83" i="29"/>
  <c r="L53" i="28"/>
  <c r="DK117" i="29"/>
  <c r="M7" i="29" s="1"/>
  <c r="C133" i="31"/>
  <c r="D133" i="31" s="1"/>
  <c r="D110" i="31"/>
  <c r="C136" i="31"/>
  <c r="D136" i="31" s="1"/>
  <c r="Q141" i="31"/>
  <c r="DC175" i="31"/>
  <c r="DC140" i="31"/>
  <c r="AD202" i="30"/>
  <c r="AH202" i="30" s="1"/>
  <c r="O141" i="31"/>
  <c r="Z132" i="31"/>
  <c r="AC137" i="31"/>
  <c r="P132" i="31"/>
  <c r="H141" i="31"/>
  <c r="C129" i="31"/>
  <c r="D129" i="31" s="1"/>
  <c r="S137" i="31"/>
  <c r="I132" i="31"/>
  <c r="AT231" i="31"/>
  <c r="AW231" i="31" s="1"/>
  <c r="AF222" i="30"/>
  <c r="AE222" i="30"/>
  <c r="W222" i="30"/>
  <c r="V222" i="30"/>
  <c r="U222" i="30"/>
  <c r="AJ222" i="30"/>
  <c r="AI222" i="30"/>
  <c r="AH222" i="30"/>
  <c r="AG222" i="30"/>
  <c r="AG187" i="30"/>
  <c r="AF187" i="30"/>
  <c r="AE187" i="30"/>
  <c r="W187" i="30"/>
  <c r="V187" i="30"/>
  <c r="U187" i="30"/>
  <c r="AI187" i="30"/>
  <c r="AH187" i="30"/>
  <c r="AF190" i="30"/>
  <c r="AE190" i="30"/>
  <c r="W190" i="30"/>
  <c r="V190" i="30"/>
  <c r="U190" i="30"/>
  <c r="AJ190" i="30"/>
  <c r="AI190" i="30"/>
  <c r="AH190" i="30"/>
  <c r="AG190" i="30"/>
  <c r="AF182" i="30"/>
  <c r="AE182" i="30"/>
  <c r="W182" i="30"/>
  <c r="U182" i="30"/>
  <c r="AJ182" i="30"/>
  <c r="AI182" i="30"/>
  <c r="V182" i="30"/>
  <c r="AH182" i="30"/>
  <c r="AG182" i="30"/>
  <c r="AQ101" i="30"/>
  <c r="BZ104" i="30" s="1"/>
  <c r="AI108" i="30"/>
  <c r="CA96" i="30" s="1"/>
  <c r="AP101" i="30"/>
  <c r="BZ103" i="30" s="1"/>
  <c r="AG108" i="30"/>
  <c r="CA94" i="30" s="1"/>
  <c r="AD101" i="30"/>
  <c r="BZ91" i="30" s="1"/>
  <c r="AU101" i="30"/>
  <c r="BZ108" i="30" s="1"/>
  <c r="AD172" i="30"/>
  <c r="AH172" i="30" s="1"/>
  <c r="AJ101" i="30"/>
  <c r="BZ97" i="30" s="1"/>
  <c r="AX108" i="30"/>
  <c r="CA111" i="30" s="1"/>
  <c r="BH108" i="30"/>
  <c r="AD108" i="30"/>
  <c r="CA91" i="30" s="1"/>
  <c r="AU108" i="30"/>
  <c r="CA108" i="30" s="1"/>
  <c r="AG94" i="30"/>
  <c r="BY94" i="30" s="1"/>
  <c r="AP94" i="30"/>
  <c r="BY103" i="30" s="1"/>
  <c r="BG94" i="30"/>
  <c r="AC94" i="30"/>
  <c r="BY90" i="30" s="1"/>
  <c r="AT94" i="30"/>
  <c r="BY107" i="30" s="1"/>
  <c r="AE186" i="30"/>
  <c r="DC110" i="29"/>
  <c r="DC75" i="29"/>
  <c r="CW117" i="29"/>
  <c r="AB6" i="29" s="1"/>
  <c r="BZ111" i="29"/>
  <c r="BZ76" i="29"/>
  <c r="DF83" i="29"/>
  <c r="DF82" i="29"/>
  <c r="DF81" i="29"/>
  <c r="DF84" i="29"/>
  <c r="J58" i="28"/>
  <c r="J61" i="28"/>
  <c r="J48" i="28" s="1"/>
  <c r="J57" i="28"/>
  <c r="J62" i="28"/>
  <c r="J59" i="28"/>
  <c r="DX82" i="29"/>
  <c r="DX81" i="29"/>
  <c r="DX84" i="29"/>
  <c r="DX83" i="29"/>
  <c r="DU117" i="29"/>
  <c r="W7" i="29" s="1"/>
  <c r="CK117" i="29"/>
  <c r="P6" i="29" s="1"/>
  <c r="Z58" i="28"/>
  <c r="DH117" i="29"/>
  <c r="J7" i="29" s="1"/>
  <c r="DT84" i="29"/>
  <c r="DT83" i="29"/>
  <c r="DT82" i="29"/>
  <c r="DT81" i="29"/>
  <c r="CB84" i="29"/>
  <c r="CB83" i="29"/>
  <c r="CB82" i="29"/>
  <c r="CB81" i="29"/>
  <c r="E41" i="28"/>
  <c r="E40" i="28"/>
  <c r="E27" i="28" s="1"/>
  <c r="E38" i="28"/>
  <c r="E37" i="28"/>
  <c r="E36" i="28"/>
  <c r="W41" i="28"/>
  <c r="W40" i="28"/>
  <c r="W27" i="28" s="1"/>
  <c r="W38" i="28"/>
  <c r="W37" i="28"/>
  <c r="W36" i="28"/>
  <c r="R41" i="28"/>
  <c r="R40" i="28"/>
  <c r="R27" i="28" s="1"/>
  <c r="R38" i="28"/>
  <c r="R37" i="28"/>
  <c r="R36" i="28"/>
  <c r="EA84" i="29"/>
  <c r="EA83" i="29"/>
  <c r="EA82" i="29"/>
  <c r="EA81" i="29"/>
  <c r="CQ84" i="29"/>
  <c r="CQ83" i="29"/>
  <c r="CQ82" i="29"/>
  <c r="CQ81" i="29"/>
  <c r="AV84" i="29"/>
  <c r="AV83" i="29"/>
  <c r="AV82" i="29"/>
  <c r="AV81" i="29"/>
  <c r="M62" i="28"/>
  <c r="M61" i="28"/>
  <c r="M48" i="28" s="1"/>
  <c r="M59" i="28"/>
  <c r="M58" i="28"/>
  <c r="M57" i="28"/>
  <c r="H62" i="28"/>
  <c r="H61" i="28"/>
  <c r="H48" i="28" s="1"/>
  <c r="H59" i="28"/>
  <c r="H58" i="28"/>
  <c r="H57" i="28"/>
  <c r="R62" i="28"/>
  <c r="H2" i="28"/>
  <c r="DR82" i="29"/>
  <c r="DR81" i="29"/>
  <c r="DR84" i="29"/>
  <c r="DR83" i="29"/>
  <c r="CH84" i="29"/>
  <c r="CH83" i="29"/>
  <c r="CH82" i="29"/>
  <c r="CH81" i="29"/>
  <c r="CV117" i="29"/>
  <c r="AA6" i="29" s="1"/>
  <c r="DO117" i="29"/>
  <c r="Q7" i="29" s="1"/>
  <c r="CE117" i="29"/>
  <c r="J6" i="29" s="1"/>
  <c r="U15" i="28"/>
  <c r="AD197" i="27"/>
  <c r="AH197" i="27" s="1"/>
  <c r="AE191" i="27"/>
  <c r="AF189" i="27"/>
  <c r="AI189" i="27"/>
  <c r="W189" i="27"/>
  <c r="AE189" i="27"/>
  <c r="U189" i="27"/>
  <c r="V189" i="27"/>
  <c r="AG189" i="27"/>
  <c r="AF178" i="27"/>
  <c r="U178" i="27"/>
  <c r="AJ178" i="27"/>
  <c r="AI178" i="27"/>
  <c r="AG178" i="27"/>
  <c r="AE178" i="27"/>
  <c r="W178" i="27"/>
  <c r="AH178" i="27"/>
  <c r="V178" i="27"/>
  <c r="AO170" i="27"/>
  <c r="AE202" i="27"/>
  <c r="W34" i="27"/>
  <c r="K34" i="27" s="1"/>
  <c r="AD186" i="27"/>
  <c r="AH186" i="27" s="1"/>
  <c r="AO169" i="27"/>
  <c r="AF186" i="27"/>
  <c r="AE186" i="27"/>
  <c r="W186" i="27"/>
  <c r="U186" i="27"/>
  <c r="AI186" i="27"/>
  <c r="AG186" i="27"/>
  <c r="V186" i="27"/>
  <c r="AD207" i="27"/>
  <c r="AH207" i="27" s="1"/>
  <c r="AA228" i="27"/>
  <c r="K42" i="27" s="1"/>
  <c r="AO167" i="27"/>
  <c r="AG175" i="27"/>
  <c r="U175" i="27"/>
  <c r="AJ175" i="27"/>
  <c r="AI175" i="27"/>
  <c r="W175" i="27"/>
  <c r="AH175" i="27"/>
  <c r="V175" i="27"/>
  <c r="AF175" i="27"/>
  <c r="AE175" i="27"/>
  <c r="AH165" i="27"/>
  <c r="AG165" i="27"/>
  <c r="AF165" i="27"/>
  <c r="AE165" i="27"/>
  <c r="W165" i="27"/>
  <c r="V165" i="27"/>
  <c r="U165" i="27"/>
  <c r="AJ165" i="27"/>
  <c r="X34" i="27"/>
  <c r="K35" i="27" s="1"/>
  <c r="AD200" i="27"/>
  <c r="AH200" i="27" s="1"/>
  <c r="Y34" i="27"/>
  <c r="K36" i="27" s="1"/>
  <c r="C92" i="31" s="1"/>
  <c r="AD205" i="27"/>
  <c r="AH205" i="27" s="1"/>
  <c r="AG183" i="27"/>
  <c r="AF183" i="27"/>
  <c r="V183" i="27"/>
  <c r="U183" i="27"/>
  <c r="AJ183" i="27"/>
  <c r="AI183" i="27"/>
  <c r="AE183" i="27"/>
  <c r="W183" i="27"/>
  <c r="AB228" i="27"/>
  <c r="U194" i="27"/>
  <c r="AI194" i="27"/>
  <c r="AG194" i="27"/>
  <c r="V194" i="27"/>
  <c r="AF194" i="27"/>
  <c r="AE194" i="27"/>
  <c r="W194" i="27"/>
  <c r="AJ194" i="27"/>
  <c r="AD170" i="27"/>
  <c r="AI200" i="27"/>
  <c r="AG200" i="27"/>
  <c r="AE200" i="27"/>
  <c r="W200" i="27"/>
  <c r="AF200" i="27"/>
  <c r="AJ200" i="27"/>
  <c r="V200" i="27"/>
  <c r="U200" i="27"/>
  <c r="AG169" i="27"/>
  <c r="AF169" i="27"/>
  <c r="AI169" i="27"/>
  <c r="AE169" i="27"/>
  <c r="W169" i="27"/>
  <c r="V169" i="27"/>
  <c r="U169" i="27"/>
  <c r="AJ169" i="27"/>
  <c r="AG206" i="27"/>
  <c r="AE206" i="27"/>
  <c r="W206" i="27"/>
  <c r="U206" i="27"/>
  <c r="AI206" i="27"/>
  <c r="V206" i="27"/>
  <c r="AF206" i="27"/>
  <c r="AJ206" i="27"/>
  <c r="Z34" i="27"/>
  <c r="K37" i="27" s="1"/>
  <c r="C93" i="31" s="1"/>
  <c r="AE204" i="27"/>
  <c r="W204" i="27"/>
  <c r="U204" i="27"/>
  <c r="AI204" i="27"/>
  <c r="AJ204" i="27"/>
  <c r="V204" i="27"/>
  <c r="AG204" i="27"/>
  <c r="AF204" i="27"/>
  <c r="AF193" i="27"/>
  <c r="V193" i="27"/>
  <c r="AJ193" i="27"/>
  <c r="U193" i="27"/>
  <c r="AG193" i="27"/>
  <c r="W193" i="27"/>
  <c r="AI193" i="27"/>
  <c r="AE193" i="27"/>
  <c r="AD204" i="27"/>
  <c r="AH204" i="27" s="1"/>
  <c r="AD168" i="27"/>
  <c r="AD206" i="27"/>
  <c r="AH206" i="27" s="1"/>
  <c r="AI192" i="27"/>
  <c r="AG192" i="27"/>
  <c r="AE192" i="27"/>
  <c r="W192" i="27"/>
  <c r="AJ192" i="27"/>
  <c r="V192" i="27"/>
  <c r="U192" i="27"/>
  <c r="AF192" i="27"/>
  <c r="AE197" i="27"/>
  <c r="AJ182" i="27"/>
  <c r="AI182" i="27"/>
  <c r="AG182" i="27"/>
  <c r="AF182" i="27"/>
  <c r="AE182" i="27"/>
  <c r="W182" i="27"/>
  <c r="AH182" i="27"/>
  <c r="U182" i="27"/>
  <c r="V182" i="27"/>
  <c r="AF201" i="27"/>
  <c r="V201" i="27"/>
  <c r="AJ201" i="27"/>
  <c r="U201" i="27"/>
  <c r="AG201" i="27"/>
  <c r="AE201" i="27"/>
  <c r="AI201" i="27"/>
  <c r="W201" i="27"/>
  <c r="AI177" i="27"/>
  <c r="AF177" i="27"/>
  <c r="AE177" i="27"/>
  <c r="W177" i="27"/>
  <c r="V177" i="27"/>
  <c r="U177" i="27"/>
  <c r="AJ177" i="27"/>
  <c r="AH177" i="27"/>
  <c r="AG177" i="27"/>
  <c r="AE205" i="27"/>
  <c r="AD199" i="27"/>
  <c r="AH199" i="27" s="1"/>
  <c r="AJ174" i="27"/>
  <c r="AF174" i="27"/>
  <c r="AE174" i="27"/>
  <c r="AI174" i="27"/>
  <c r="W174" i="27"/>
  <c r="AG174" i="27"/>
  <c r="U174" i="27"/>
  <c r="AH174" i="27"/>
  <c r="V174" i="27"/>
  <c r="AD194" i="27"/>
  <c r="AH194" i="27" s="1"/>
  <c r="AD192" i="27"/>
  <c r="AH192" i="27" s="1"/>
  <c r="AC228" i="27"/>
  <c r="K40" i="27" s="1"/>
  <c r="B52" i="29" s="1"/>
  <c r="C52" i="29" s="1"/>
  <c r="AO166" i="27"/>
  <c r="AD164" i="27"/>
  <c r="AJ164" i="27" s="1"/>
  <c r="AD166" i="27"/>
  <c r="AH166" i="27" s="1"/>
  <c r="AE173" i="27"/>
  <c r="W173" i="27"/>
  <c r="AI173" i="27"/>
  <c r="AJ173" i="27"/>
  <c r="AG173" i="27"/>
  <c r="V173" i="27"/>
  <c r="AF173" i="27"/>
  <c r="U173" i="27"/>
  <c r="AG167" i="27"/>
  <c r="AF167" i="27"/>
  <c r="AE167" i="27"/>
  <c r="W167" i="27"/>
  <c r="V167" i="27"/>
  <c r="U167" i="27"/>
  <c r="AJ167" i="27"/>
  <c r="AI167" i="27"/>
  <c r="AE164" i="27"/>
  <c r="AH170" i="30" l="1"/>
  <c r="J110" i="30"/>
  <c r="AJ189" i="30"/>
  <c r="AJ188" i="30"/>
  <c r="AJ186" i="27"/>
  <c r="AJ188" i="27"/>
  <c r="C11" i="28"/>
  <c r="C13" i="28" s="1"/>
  <c r="C181" i="28"/>
  <c r="C196" i="28" s="1"/>
  <c r="G76" i="29" s="1"/>
  <c r="F72" i="29"/>
  <c r="U18" i="28"/>
  <c r="J6" i="28"/>
  <c r="J10" i="28" s="1"/>
  <c r="J181" i="28"/>
  <c r="J196" i="28" s="1"/>
  <c r="F6" i="28"/>
  <c r="F10" i="28" s="1"/>
  <c r="F11" i="28" s="1"/>
  <c r="F13" i="28" s="1"/>
  <c r="F181" i="28"/>
  <c r="F196" i="28" s="1"/>
  <c r="J76" i="29" s="1"/>
  <c r="G6" i="28"/>
  <c r="G181" i="28"/>
  <c r="G196" i="28" s="1"/>
  <c r="I6" i="28"/>
  <c r="I10" i="28" s="1"/>
  <c r="I11" i="28" s="1"/>
  <c r="I13" i="28" s="1"/>
  <c r="I181" i="28"/>
  <c r="I196" i="28" s="1"/>
  <c r="M76" i="29" s="1"/>
  <c r="H6" i="28"/>
  <c r="H10" i="28" s="1"/>
  <c r="H11" i="28" s="1"/>
  <c r="H13" i="28" s="1"/>
  <c r="H181" i="28"/>
  <c r="H196" i="28" s="1"/>
  <c r="L76" i="29" s="1"/>
  <c r="E6" i="28"/>
  <c r="E181" i="28"/>
  <c r="E196" i="28" s="1"/>
  <c r="I76" i="29" s="1"/>
  <c r="D6" i="28"/>
  <c r="D10" i="28" s="1"/>
  <c r="D202" i="28" s="1"/>
  <c r="D213" i="28" s="1"/>
  <c r="D214" i="28" s="1"/>
  <c r="D181" i="28"/>
  <c r="D196" i="28" s="1"/>
  <c r="H76" i="29" s="1"/>
  <c r="AJ189" i="27"/>
  <c r="AB240" i="30"/>
  <c r="AC240" i="30" s="1"/>
  <c r="AF240" i="30" s="1"/>
  <c r="BK31" i="28"/>
  <c r="AQ6" i="28" s="1"/>
  <c r="AH167" i="30"/>
  <c r="AI168" i="30"/>
  <c r="AI228" i="30" s="1"/>
  <c r="C133" i="30" s="1"/>
  <c r="J133" i="30" s="1"/>
  <c r="AH168" i="30"/>
  <c r="BS117" i="29"/>
  <c r="AD5" i="29" s="1"/>
  <c r="BE117" i="29"/>
  <c r="P5" i="29" s="1"/>
  <c r="U22" i="28"/>
  <c r="U180" i="28"/>
  <c r="U195" i="28" s="1"/>
  <c r="Y75" i="29" s="1"/>
  <c r="S6" i="28"/>
  <c r="S10" i="28" s="1"/>
  <c r="S11" i="28" s="1"/>
  <c r="S13" i="28" s="1"/>
  <c r="S181" i="28"/>
  <c r="S196" i="28" s="1"/>
  <c r="W76" i="29" s="1"/>
  <c r="U6" i="28"/>
  <c r="U10" i="28" s="1"/>
  <c r="U202" i="28" s="1"/>
  <c r="U213" i="28" s="1"/>
  <c r="U214" i="28" s="1"/>
  <c r="U181" i="28"/>
  <c r="U196" i="28" s="1"/>
  <c r="Y76" i="29" s="1"/>
  <c r="T6" i="28"/>
  <c r="T10" i="28" s="1"/>
  <c r="T181" i="28"/>
  <c r="T196" i="28" s="1"/>
  <c r="X76" i="29" s="1"/>
  <c r="V6" i="28"/>
  <c r="V181" i="28"/>
  <c r="V196" i="28" s="1"/>
  <c r="Z76" i="29" s="1"/>
  <c r="Q6" i="28"/>
  <c r="Q181" i="28"/>
  <c r="Q196" i="28" s="1"/>
  <c r="U76" i="29" s="1"/>
  <c r="AX117" i="29"/>
  <c r="I5" i="29" s="1"/>
  <c r="BI117" i="29"/>
  <c r="T5" i="29" s="1"/>
  <c r="AV117" i="29"/>
  <c r="G5" i="29" s="1"/>
  <c r="BO117" i="29"/>
  <c r="Z5" i="29" s="1"/>
  <c r="BA117" i="29"/>
  <c r="L5" i="29" s="1"/>
  <c r="BG31" i="28"/>
  <c r="AP3" i="28" s="1"/>
  <c r="BJ31" i="28"/>
  <c r="BQ117" i="29"/>
  <c r="AB5" i="29" s="1"/>
  <c r="BJ117" i="29"/>
  <c r="U5" i="29" s="1"/>
  <c r="AW117" i="29"/>
  <c r="H5" i="29" s="1"/>
  <c r="AY117" i="29"/>
  <c r="J5" i="29" s="1"/>
  <c r="BP117" i="29"/>
  <c r="AA5" i="29" s="1"/>
  <c r="AJ172" i="30"/>
  <c r="N6" i="28"/>
  <c r="N181" i="28"/>
  <c r="N196" i="28" s="1"/>
  <c r="R76" i="29" s="1"/>
  <c r="O6" i="28"/>
  <c r="O181" i="28"/>
  <c r="O196" i="28" s="1"/>
  <c r="S76" i="29" s="1"/>
  <c r="M6" i="28"/>
  <c r="M10" i="28" s="1"/>
  <c r="M11" i="28" s="1"/>
  <c r="M13" i="28" s="1"/>
  <c r="M181" i="28"/>
  <c r="M196" i="28" s="1"/>
  <c r="Q76" i="29" s="1"/>
  <c r="P6" i="28"/>
  <c r="P181" i="28"/>
  <c r="P196" i="28" s="1"/>
  <c r="T76" i="29" s="1"/>
  <c r="L6" i="28"/>
  <c r="L10" i="28" s="1"/>
  <c r="L181" i="28"/>
  <c r="L196" i="28" s="1"/>
  <c r="P76" i="29" s="1"/>
  <c r="BD117" i="29"/>
  <c r="O5" i="29" s="1"/>
  <c r="K6" i="28"/>
  <c r="K181" i="28"/>
  <c r="K196" i="28" s="1"/>
  <c r="O76" i="29" s="1"/>
  <c r="AH171" i="27"/>
  <c r="AI171" i="27"/>
  <c r="Y6" i="28"/>
  <c r="Y10" i="28" s="1"/>
  <c r="Y181" i="28"/>
  <c r="Y196" i="28" s="1"/>
  <c r="AC76" i="29" s="1"/>
  <c r="Z6" i="28"/>
  <c r="Z181" i="28"/>
  <c r="Z196" i="28" s="1"/>
  <c r="AD76" i="29" s="1"/>
  <c r="X6" i="28"/>
  <c r="X181" i="28"/>
  <c r="X196" i="28" s="1"/>
  <c r="AB76" i="29" s="1"/>
  <c r="W6" i="28"/>
  <c r="W10" i="28" s="1"/>
  <c r="W181" i="28"/>
  <c r="W196" i="28" s="1"/>
  <c r="AA76" i="29" s="1"/>
  <c r="AH187" i="27"/>
  <c r="AI187" i="27"/>
  <c r="R6" i="28"/>
  <c r="R181" i="28"/>
  <c r="R196" i="28" s="1"/>
  <c r="V76" i="29" s="1"/>
  <c r="BH117" i="29"/>
  <c r="S5" i="29" s="1"/>
  <c r="BG117" i="29"/>
  <c r="R5" i="29" s="1"/>
  <c r="BC117" i="29"/>
  <c r="N5" i="29" s="1"/>
  <c r="BN117" i="29"/>
  <c r="Y5" i="29" s="1"/>
  <c r="BL117" i="29"/>
  <c r="W5" i="29" s="1"/>
  <c r="BB117" i="29"/>
  <c r="M5" i="29" s="1"/>
  <c r="AZ117" i="29"/>
  <c r="K5" i="29" s="1"/>
  <c r="BM117" i="29"/>
  <c r="X5" i="29" s="1"/>
  <c r="BR117" i="29"/>
  <c r="AC5" i="29" s="1"/>
  <c r="BL31" i="28"/>
  <c r="BF117" i="29"/>
  <c r="Q5" i="29" s="1"/>
  <c r="C201" i="28"/>
  <c r="C212" i="28" s="1"/>
  <c r="C202" i="28"/>
  <c r="C213" i="28" s="1"/>
  <c r="S202" i="28"/>
  <c r="S213" i="28" s="1"/>
  <c r="S214" i="28" s="1"/>
  <c r="Y18" i="28"/>
  <c r="Y180" i="28" s="1"/>
  <c r="Y195" i="28" s="1"/>
  <c r="AC75" i="29" s="1"/>
  <c r="AZ81" i="29"/>
  <c r="AZ82" i="29"/>
  <c r="BA83" i="29"/>
  <c r="AY82" i="29"/>
  <c r="BA84" i="29"/>
  <c r="AG29" i="30"/>
  <c r="J37" i="30" s="1"/>
  <c r="C203" i="31" s="1"/>
  <c r="BE84" i="29"/>
  <c r="BA81" i="29"/>
  <c r="BE81" i="29"/>
  <c r="BE85" i="29" s="1"/>
  <c r="I18" i="28"/>
  <c r="I180" i="28" s="1"/>
  <c r="I195" i="28" s="1"/>
  <c r="BP82" i="29"/>
  <c r="H18" i="28"/>
  <c r="D18" i="28"/>
  <c r="D180" i="28" s="1"/>
  <c r="D195" i="28" s="1"/>
  <c r="H75" i="29" s="1"/>
  <c r="BP83" i="29"/>
  <c r="BP84" i="29"/>
  <c r="S18" i="28"/>
  <c r="BC82" i="29"/>
  <c r="BJ85" i="29"/>
  <c r="K55" i="28"/>
  <c r="AC30" i="30"/>
  <c r="J34" i="30" s="1"/>
  <c r="C201" i="31" s="1"/>
  <c r="T34" i="28"/>
  <c r="M63" i="28"/>
  <c r="M49" i="28" s="1"/>
  <c r="J53" i="28"/>
  <c r="CS85" i="29"/>
  <c r="Y32" i="28"/>
  <c r="X42" i="28"/>
  <c r="X28" i="28" s="1"/>
  <c r="AH168" i="27"/>
  <c r="AI168" i="27"/>
  <c r="AV85" i="29"/>
  <c r="EA85" i="29"/>
  <c r="R28" i="28"/>
  <c r="R42" i="28"/>
  <c r="BC83" i="29"/>
  <c r="J39" i="28"/>
  <c r="O32" i="28"/>
  <c r="CC85" i="29"/>
  <c r="T53" i="28"/>
  <c r="Y42" i="28"/>
  <c r="Y28" i="28" s="1"/>
  <c r="BQ84" i="29"/>
  <c r="Q49" i="28"/>
  <c r="Q63" i="28"/>
  <c r="V18" i="28"/>
  <c r="F63" i="28"/>
  <c r="F49" i="28" s="1"/>
  <c r="F55" i="28" s="1"/>
  <c r="BI85" i="29"/>
  <c r="BK117" i="29"/>
  <c r="V5" i="29" s="1"/>
  <c r="C91" i="31"/>
  <c r="B50" i="29"/>
  <c r="C50" i="29" s="1"/>
  <c r="W39" i="28"/>
  <c r="E32" i="28"/>
  <c r="CG85" i="29"/>
  <c r="E53" i="28"/>
  <c r="O42" i="28"/>
  <c r="O28" i="28" s="1"/>
  <c r="T63" i="28"/>
  <c r="T49" i="28" s="1"/>
  <c r="I42" i="28"/>
  <c r="I28" i="28" s="1"/>
  <c r="BQ81" i="29"/>
  <c r="Y53" i="28"/>
  <c r="AX84" i="29"/>
  <c r="K32" i="28"/>
  <c r="M53" i="28"/>
  <c r="F32" i="28"/>
  <c r="M42" i="28"/>
  <c r="M28" i="28" s="1"/>
  <c r="Y63" i="28"/>
  <c r="Y49" i="28" s="1"/>
  <c r="Y55" i="28" s="1"/>
  <c r="BG85" i="29"/>
  <c r="BF84" i="29"/>
  <c r="BC81" i="29"/>
  <c r="BQ82" i="29"/>
  <c r="V42" i="28"/>
  <c r="V28" i="28" s="1"/>
  <c r="I63" i="28"/>
  <c r="I49" i="28" s="1"/>
  <c r="I55" i="28" s="1"/>
  <c r="N63" i="28"/>
  <c r="N49" i="28" s="1"/>
  <c r="N55" i="28" s="1"/>
  <c r="Q55" i="28"/>
  <c r="H42" i="28"/>
  <c r="H28" i="28" s="1"/>
  <c r="U32" i="28"/>
  <c r="U63" i="28"/>
  <c r="U49" i="28" s="1"/>
  <c r="AX81" i="29"/>
  <c r="C94" i="31"/>
  <c r="B40" i="30"/>
  <c r="J40" i="30" s="1"/>
  <c r="C205" i="31" s="1"/>
  <c r="V63" i="28"/>
  <c r="V49" i="28" s="1"/>
  <c r="V55" i="28" s="1"/>
  <c r="W228" i="27"/>
  <c r="M30" i="27" s="1"/>
  <c r="B57" i="29" s="1"/>
  <c r="C57" i="29" s="1"/>
  <c r="E63" i="28"/>
  <c r="E49" i="28" s="1"/>
  <c r="AH170" i="27"/>
  <c r="AJ170" i="27"/>
  <c r="AY83" i="29"/>
  <c r="J32" i="28"/>
  <c r="BF81" i="29"/>
  <c r="E18" i="28"/>
  <c r="O53" i="28"/>
  <c r="C55" i="28"/>
  <c r="Q18" i="28"/>
  <c r="L63" i="28"/>
  <c r="L49" i="28" s="1"/>
  <c r="L55" i="28" s="1"/>
  <c r="I60" i="28"/>
  <c r="N28" i="28"/>
  <c r="N42" i="28"/>
  <c r="P28" i="28"/>
  <c r="P42" i="28"/>
  <c r="H32" i="28"/>
  <c r="X49" i="28"/>
  <c r="X55" i="28" s="1"/>
  <c r="X63" i="28"/>
  <c r="U28" i="28"/>
  <c r="U42" i="28"/>
  <c r="U43" i="28" s="1"/>
  <c r="F18" i="28"/>
  <c r="AX82" i="29"/>
  <c r="C89" i="31"/>
  <c r="B59" i="29"/>
  <c r="F59" i="29" s="1"/>
  <c r="C271" i="31" s="1"/>
  <c r="K39" i="28"/>
  <c r="AH169" i="30"/>
  <c r="AJ169" i="30"/>
  <c r="G49" i="28"/>
  <c r="G63" i="28"/>
  <c r="R64" i="28"/>
  <c r="Z32" i="28"/>
  <c r="DP85" i="29"/>
  <c r="H63" i="28"/>
  <c r="H49" i="28" s="1"/>
  <c r="H55" i="28" s="1"/>
  <c r="E28" i="28"/>
  <c r="E42" i="28"/>
  <c r="C90" i="31"/>
  <c r="B51" i="29"/>
  <c r="C51" i="29" s="1"/>
  <c r="W32" i="28"/>
  <c r="AY84" i="29"/>
  <c r="T43" i="28"/>
  <c r="W53" i="28"/>
  <c r="J42" i="28"/>
  <c r="J28" i="28" s="1"/>
  <c r="BF82" i="29"/>
  <c r="BO85" i="29"/>
  <c r="F42" i="28"/>
  <c r="F28" i="28" s="1"/>
  <c r="Q32" i="28"/>
  <c r="Q34" i="28" s="1"/>
  <c r="O63" i="28"/>
  <c r="O49" i="28" s="1"/>
  <c r="G32" i="28"/>
  <c r="Z53" i="28"/>
  <c r="DZ85" i="29"/>
  <c r="V32" i="28"/>
  <c r="Z28" i="28"/>
  <c r="Z42" i="28"/>
  <c r="D63" i="28"/>
  <c r="D49" i="28" s="1"/>
  <c r="F60" i="28"/>
  <c r="F64" i="28" s="1"/>
  <c r="X32" i="28"/>
  <c r="K42" i="28"/>
  <c r="K28" i="28" s="1"/>
  <c r="R32" i="28"/>
  <c r="Z49" i="28"/>
  <c r="Z63" i="28"/>
  <c r="X64" i="28"/>
  <c r="CO85" i="29"/>
  <c r="F6" i="29"/>
  <c r="B53" i="29"/>
  <c r="C53" i="29" s="1"/>
  <c r="R49" i="28"/>
  <c r="R63" i="28"/>
  <c r="W42" i="28"/>
  <c r="W28" i="28" s="1"/>
  <c r="J49" i="28"/>
  <c r="J63" i="28"/>
  <c r="W63" i="28"/>
  <c r="W49" i="28" s="1"/>
  <c r="T60" i="28"/>
  <c r="T64" i="28" s="1"/>
  <c r="G28" i="28"/>
  <c r="G42" i="28"/>
  <c r="V39" i="28"/>
  <c r="V43" i="28" s="1"/>
  <c r="N32" i="28"/>
  <c r="P43" i="28"/>
  <c r="P49" i="28"/>
  <c r="P55" i="28" s="1"/>
  <c r="P63" i="28"/>
  <c r="M32" i="28"/>
  <c r="AH190" i="27"/>
  <c r="AI190" i="27"/>
  <c r="AH165" i="30"/>
  <c r="AJ165" i="30"/>
  <c r="AE228" i="30"/>
  <c r="C135" i="30" s="1"/>
  <c r="J135" i="30" s="1"/>
  <c r="AG228" i="27"/>
  <c r="W228" i="30"/>
  <c r="C87" i="31" s="1"/>
  <c r="AF228" i="27"/>
  <c r="V228" i="30"/>
  <c r="C86" i="31" s="1"/>
  <c r="AG228" i="30"/>
  <c r="C137" i="30" s="1"/>
  <c r="J137" i="30" s="1"/>
  <c r="AF228" i="30"/>
  <c r="C136" i="30" s="1"/>
  <c r="J136" i="30" s="1"/>
  <c r="V228" i="27"/>
  <c r="M29" i="27" s="1"/>
  <c r="B56" i="29" s="1"/>
  <c r="C56" i="29" s="1"/>
  <c r="U228" i="30"/>
  <c r="C85" i="31" s="1"/>
  <c r="U228" i="27"/>
  <c r="M28" i="27" s="1"/>
  <c r="G53" i="28"/>
  <c r="AO168" i="30"/>
  <c r="C79" i="31" s="1"/>
  <c r="AH186" i="30"/>
  <c r="F53" i="28"/>
  <c r="DR85" i="29"/>
  <c r="H53" i="28"/>
  <c r="W43" i="28"/>
  <c r="C132" i="31"/>
  <c r="D132" i="31" s="1"/>
  <c r="J43" i="28"/>
  <c r="CY85" i="29"/>
  <c r="EB85" i="29"/>
  <c r="CM85" i="29"/>
  <c r="DE85" i="29"/>
  <c r="DM85" i="29"/>
  <c r="X18" i="28"/>
  <c r="K18" i="28"/>
  <c r="D60" i="28"/>
  <c r="D64" i="28" s="1"/>
  <c r="F7" i="29"/>
  <c r="DL85" i="29"/>
  <c r="DY85" i="29"/>
  <c r="W18" i="28"/>
  <c r="DX85" i="29"/>
  <c r="G18" i="28"/>
  <c r="W60" i="28"/>
  <c r="W64" i="28" s="1"/>
  <c r="F39" i="28"/>
  <c r="CP85" i="29"/>
  <c r="AW85" i="29"/>
  <c r="C101" i="31"/>
  <c r="D101" i="31" s="1"/>
  <c r="C105" i="31"/>
  <c r="D105" i="31" s="1"/>
  <c r="C109" i="31"/>
  <c r="D109" i="31" s="1"/>
  <c r="Q43" i="28"/>
  <c r="L60" i="28"/>
  <c r="L64" i="28" s="1"/>
  <c r="CD85" i="29"/>
  <c r="X39" i="28"/>
  <c r="X43" i="28" s="1"/>
  <c r="Q60" i="28"/>
  <c r="Q64" i="28" s="1"/>
  <c r="DK85" i="29"/>
  <c r="CU85" i="29"/>
  <c r="Q53" i="28"/>
  <c r="DJ85" i="29"/>
  <c r="CI85" i="29"/>
  <c r="P53" i="28"/>
  <c r="T18" i="28"/>
  <c r="CH85" i="29"/>
  <c r="M60" i="28"/>
  <c r="M64" i="28" s="1"/>
  <c r="CB85" i="29"/>
  <c r="DF85" i="29"/>
  <c r="CE85" i="29"/>
  <c r="CV85" i="29"/>
  <c r="O60" i="28"/>
  <c r="O64" i="28" s="1"/>
  <c r="DN85" i="29"/>
  <c r="Y60" i="28"/>
  <c r="N60" i="28"/>
  <c r="N64" i="28" s="1"/>
  <c r="BK85" i="29"/>
  <c r="D53" i="28"/>
  <c r="DV85" i="29"/>
  <c r="P18" i="28"/>
  <c r="X53" i="28"/>
  <c r="CQ85" i="29"/>
  <c r="R39" i="28"/>
  <c r="R43" i="28" s="1"/>
  <c r="CL85" i="29"/>
  <c r="CT85" i="29"/>
  <c r="G39" i="28"/>
  <c r="G43" i="28" s="1"/>
  <c r="Z18" i="28"/>
  <c r="DW85" i="29"/>
  <c r="DI85" i="29"/>
  <c r="H39" i="28"/>
  <c r="V60" i="28"/>
  <c r="V64" i="28" s="1"/>
  <c r="N39" i="28"/>
  <c r="N43" i="28" s="1"/>
  <c r="J18" i="28"/>
  <c r="BS85" i="29"/>
  <c r="U60" i="28"/>
  <c r="U64" i="28" s="1"/>
  <c r="CK85" i="29"/>
  <c r="C95" i="31"/>
  <c r="J39" i="30"/>
  <c r="C204" i="31" s="1"/>
  <c r="BD85" i="29"/>
  <c r="CJ85" i="29"/>
  <c r="G64" i="28"/>
  <c r="C128" i="31"/>
  <c r="D128" i="31" s="1"/>
  <c r="CR85" i="29"/>
  <c r="AD228" i="30"/>
  <c r="AO165" i="30"/>
  <c r="C78" i="31" s="1"/>
  <c r="AH164" i="30"/>
  <c r="I39" i="28"/>
  <c r="I43" i="28" s="1"/>
  <c r="H60" i="28"/>
  <c r="H64" i="28" s="1"/>
  <c r="E39" i="28"/>
  <c r="E43" i="28" s="1"/>
  <c r="J60" i="28"/>
  <c r="J64" i="28" s="1"/>
  <c r="DO85" i="29"/>
  <c r="O39" i="28"/>
  <c r="CW85" i="29"/>
  <c r="M18" i="28"/>
  <c r="CF85" i="29"/>
  <c r="BN85" i="29"/>
  <c r="BR85" i="29"/>
  <c r="BH85" i="29"/>
  <c r="N53" i="28"/>
  <c r="BL85" i="29"/>
  <c r="DS85" i="29"/>
  <c r="BM85" i="29"/>
  <c r="L18" i="28"/>
  <c r="DG85" i="29"/>
  <c r="Z39" i="28"/>
  <c r="Z43" i="28" s="1"/>
  <c r="N18" i="28"/>
  <c r="DT85" i="29"/>
  <c r="C18" i="28"/>
  <c r="E60" i="28"/>
  <c r="E64" i="28" s="1"/>
  <c r="DH85" i="29"/>
  <c r="R18" i="28"/>
  <c r="Y39" i="28"/>
  <c r="Y43" i="28" s="1"/>
  <c r="Z60" i="28"/>
  <c r="Z64" i="28" s="1"/>
  <c r="DQ85" i="29"/>
  <c r="O18" i="28"/>
  <c r="CX85" i="29"/>
  <c r="V53" i="28"/>
  <c r="C72" i="31"/>
  <c r="C138" i="30"/>
  <c r="J138" i="30" s="1"/>
  <c r="T42" i="30"/>
  <c r="CN85" i="29"/>
  <c r="P60" i="28"/>
  <c r="P64" i="28" s="1"/>
  <c r="DU85" i="29"/>
  <c r="BB85" i="29"/>
  <c r="AO168" i="27"/>
  <c r="AE228" i="27"/>
  <c r="K33" i="27"/>
  <c r="AD228" i="27"/>
  <c r="K41" i="27" s="1"/>
  <c r="B54" i="29" s="1"/>
  <c r="C54" i="29" s="1"/>
  <c r="AO165" i="27"/>
  <c r="AH164" i="27"/>
  <c r="I202" i="28" l="1"/>
  <c r="I213" i="28" s="1"/>
  <c r="I214" i="28" s="1"/>
  <c r="M202" i="28"/>
  <c r="M213" i="28" s="1"/>
  <c r="M214" i="28" s="1"/>
  <c r="H77" i="29"/>
  <c r="AJ228" i="27"/>
  <c r="H202" i="28"/>
  <c r="H213" i="28" s="1"/>
  <c r="H214" i="28" s="1"/>
  <c r="F202" i="28"/>
  <c r="F213" i="28" s="1"/>
  <c r="F214" i="28" s="1"/>
  <c r="C304" i="31"/>
  <c r="AQ5" i="28"/>
  <c r="D22" i="28"/>
  <c r="D11" i="28"/>
  <c r="D13" i="28" s="1"/>
  <c r="U11" i="28"/>
  <c r="U13" i="28" s="1"/>
  <c r="C191" i="31"/>
  <c r="B109" i="29"/>
  <c r="B112" i="29" s="1"/>
  <c r="R10" i="28"/>
  <c r="R202" i="28" s="1"/>
  <c r="R213" i="28" s="1"/>
  <c r="R214" i="28" s="1"/>
  <c r="O10" i="28"/>
  <c r="O11" i="28" s="1"/>
  <c r="O13" i="28" s="1"/>
  <c r="Q10" i="28"/>
  <c r="Q202" i="28" s="1"/>
  <c r="Q213" i="28" s="1"/>
  <c r="Q214" i="28" s="1"/>
  <c r="P10" i="28"/>
  <c r="P11" i="28" s="1"/>
  <c r="P13" i="28" s="1"/>
  <c r="I22" i="28"/>
  <c r="V10" i="28"/>
  <c r="V11" i="28" s="1"/>
  <c r="V13" i="28" s="1"/>
  <c r="Z10" i="28"/>
  <c r="Z11" i="28" s="1"/>
  <c r="Z13" i="28" s="1"/>
  <c r="Y22" i="28"/>
  <c r="X10" i="28"/>
  <c r="X202" i="28" s="1"/>
  <c r="X213" i="28" s="1"/>
  <c r="X214" i="28" s="1"/>
  <c r="H22" i="28"/>
  <c r="H180" i="28"/>
  <c r="H195" i="28" s="1"/>
  <c r="L75" i="29" s="1"/>
  <c r="L77" i="29" s="1"/>
  <c r="K10" i="28"/>
  <c r="K11" i="28" s="1"/>
  <c r="K13" i="28" s="1"/>
  <c r="K76" i="29"/>
  <c r="BC85" i="29"/>
  <c r="BC87" i="29" s="1"/>
  <c r="M75" i="29"/>
  <c r="M77" i="29" s="1"/>
  <c r="G10" i="28"/>
  <c r="G11" i="28" s="1"/>
  <c r="G13" i="28" s="1"/>
  <c r="N10" i="28"/>
  <c r="N11" i="28" s="1"/>
  <c r="N13" i="28" s="1"/>
  <c r="E10" i="28"/>
  <c r="E11" i="28" s="1"/>
  <c r="E13" i="28" s="1"/>
  <c r="J22" i="28"/>
  <c r="J180" i="28"/>
  <c r="J195" i="28" s="1"/>
  <c r="N75" i="29" s="1"/>
  <c r="G22" i="28"/>
  <c r="G180" i="28"/>
  <c r="G195" i="28" s="1"/>
  <c r="K75" i="29" s="1"/>
  <c r="E22" i="28"/>
  <c r="E180" i="28"/>
  <c r="E195" i="28" s="1"/>
  <c r="I75" i="29" s="1"/>
  <c r="I77" i="29" s="1"/>
  <c r="N76" i="29"/>
  <c r="F22" i="28"/>
  <c r="F180" i="28"/>
  <c r="F195" i="28" s="1"/>
  <c r="J75" i="29" s="1"/>
  <c r="J77" i="29" s="1"/>
  <c r="C22" i="28"/>
  <c r="C180" i="28"/>
  <c r="C195" i="28" s="1"/>
  <c r="G75" i="29" s="1"/>
  <c r="BE86" i="29"/>
  <c r="BE87" i="29"/>
  <c r="BC86" i="29"/>
  <c r="BL86" i="29"/>
  <c r="BL87" i="29"/>
  <c r="BD86" i="29"/>
  <c r="BD87" i="29"/>
  <c r="AV86" i="29"/>
  <c r="AV87" i="29"/>
  <c r="BS87" i="29"/>
  <c r="BS86" i="29"/>
  <c r="BI87" i="29"/>
  <c r="BI86" i="29"/>
  <c r="BK87" i="29"/>
  <c r="BK86" i="29"/>
  <c r="BH86" i="29"/>
  <c r="BH87" i="29"/>
  <c r="BO86" i="29"/>
  <c r="BO87" i="29"/>
  <c r="BR87" i="29"/>
  <c r="BR86" i="29"/>
  <c r="BB87" i="29"/>
  <c r="BB86" i="29"/>
  <c r="BN86" i="29"/>
  <c r="BN87" i="29"/>
  <c r="AW86" i="29"/>
  <c r="AW87" i="29"/>
  <c r="BJ86" i="29"/>
  <c r="BJ102" i="29" s="1"/>
  <c r="U9" i="29" s="1"/>
  <c r="BJ87" i="29"/>
  <c r="BM86" i="29"/>
  <c r="BM87" i="29"/>
  <c r="BG86" i="29"/>
  <c r="BG87" i="29"/>
  <c r="K253" i="31"/>
  <c r="L253" i="31" s="1"/>
  <c r="C75" i="31"/>
  <c r="AQ3" i="28"/>
  <c r="C305" i="31"/>
  <c r="C71" i="31"/>
  <c r="K48" i="27"/>
  <c r="B154" i="30" s="1"/>
  <c r="B149" i="30" s="1"/>
  <c r="J149" i="30" s="1"/>
  <c r="C222" i="31" s="1"/>
  <c r="D55" i="28"/>
  <c r="F5" i="29"/>
  <c r="C245" i="31" s="1"/>
  <c r="Y77" i="29"/>
  <c r="T22" i="28"/>
  <c r="T180" i="28"/>
  <c r="T195" i="28" s="1"/>
  <c r="V22" i="28"/>
  <c r="V180" i="28"/>
  <c r="V195" i="28" s="1"/>
  <c r="S22" i="28"/>
  <c r="S180" i="28"/>
  <c r="S195" i="28" s="1"/>
  <c r="Q22" i="28"/>
  <c r="Q180" i="28"/>
  <c r="Q195" i="28" s="1"/>
  <c r="AQ4" i="28"/>
  <c r="G55" i="28"/>
  <c r="L22" i="28"/>
  <c r="L180" i="28"/>
  <c r="L195" i="28" s="1"/>
  <c r="P22" i="28"/>
  <c r="P180" i="28"/>
  <c r="P195" i="28" s="1"/>
  <c r="O22" i="28"/>
  <c r="O180" i="28"/>
  <c r="O195" i="28" s="1"/>
  <c r="M22" i="28"/>
  <c r="M180" i="28"/>
  <c r="M195" i="28" s="1"/>
  <c r="N22" i="28"/>
  <c r="N180" i="28"/>
  <c r="N195" i="28" s="1"/>
  <c r="AD30" i="28"/>
  <c r="K22" i="28"/>
  <c r="K180" i="28"/>
  <c r="K195" i="28" s="1"/>
  <c r="Z22" i="28"/>
  <c r="Z180" i="28"/>
  <c r="Z195" i="28" s="1"/>
  <c r="X22" i="28"/>
  <c r="X180" i="28"/>
  <c r="X195" i="28" s="1"/>
  <c r="AC77" i="29"/>
  <c r="W22" i="28"/>
  <c r="W180" i="28"/>
  <c r="W195" i="28" s="1"/>
  <c r="W202" i="28"/>
  <c r="W213" i="28" s="1"/>
  <c r="W214" i="28" s="1"/>
  <c r="W11" i="28"/>
  <c r="W13" i="28" s="1"/>
  <c r="R22" i="28"/>
  <c r="R180" i="28"/>
  <c r="R195" i="28" s="1"/>
  <c r="AJ228" i="30"/>
  <c r="C134" i="30" s="1"/>
  <c r="J134" i="30" s="1"/>
  <c r="R34" i="28"/>
  <c r="AI228" i="27"/>
  <c r="C214" i="28"/>
  <c r="H34" i="28"/>
  <c r="Y11" i="28"/>
  <c r="Y13" i="28" s="1"/>
  <c r="Y202" i="28"/>
  <c r="Y213" i="28" s="1"/>
  <c r="Y214" i="28" s="1"/>
  <c r="U34" i="28"/>
  <c r="L11" i="28"/>
  <c r="L13" i="28" s="1"/>
  <c r="L202" i="28"/>
  <c r="L213" i="28" s="1"/>
  <c r="L214" i="28" s="1"/>
  <c r="Z34" i="28"/>
  <c r="J11" i="28"/>
  <c r="J13" i="28" s="1"/>
  <c r="J202" i="28"/>
  <c r="J213" i="28" s="1"/>
  <c r="J214" i="28" s="1"/>
  <c r="V44" i="30"/>
  <c r="V46" i="30" s="1"/>
  <c r="T11" i="28"/>
  <c r="T13" i="28" s="1"/>
  <c r="T202" i="28"/>
  <c r="T213" i="28" s="1"/>
  <c r="T214" i="28" s="1"/>
  <c r="AZ85" i="29"/>
  <c r="BP85" i="29"/>
  <c r="BA85" i="29"/>
  <c r="W154" i="30"/>
  <c r="Y154" i="30" s="1"/>
  <c r="Z154" i="30" s="1"/>
  <c r="B159" i="30" s="1"/>
  <c r="J159" i="30" s="1"/>
  <c r="C231" i="31" s="1"/>
  <c r="AY85" i="29"/>
  <c r="BQ85" i="29"/>
  <c r="K34" i="28"/>
  <c r="BF85" i="29"/>
  <c r="O34" i="28"/>
  <c r="T55" i="28"/>
  <c r="M34" i="28"/>
  <c r="E34" i="28"/>
  <c r="I34" i="28"/>
  <c r="N34" i="28"/>
  <c r="F34" i="28"/>
  <c r="W34" i="28"/>
  <c r="Y34" i="28"/>
  <c r="J34" i="28"/>
  <c r="V34" i="28"/>
  <c r="U55" i="28"/>
  <c r="X34" i="28"/>
  <c r="F50" i="29"/>
  <c r="AH228" i="27"/>
  <c r="F43" i="28"/>
  <c r="W153" i="30"/>
  <c r="Y153" i="30" s="1"/>
  <c r="Y156" i="30" s="1"/>
  <c r="Z156" i="30" s="1"/>
  <c r="B161" i="30" s="1"/>
  <c r="J161" i="30" s="1"/>
  <c r="C233" i="31" s="1"/>
  <c r="K43" i="27"/>
  <c r="C88" i="31" s="1"/>
  <c r="B55" i="29"/>
  <c r="F52" i="29"/>
  <c r="C264" i="31" s="1"/>
  <c r="W55" i="28"/>
  <c r="O55" i="28"/>
  <c r="D262" i="31"/>
  <c r="G34" i="28"/>
  <c r="Z55" i="28"/>
  <c r="F56" i="29"/>
  <c r="C268" i="31" s="1"/>
  <c r="I64" i="28"/>
  <c r="M55" i="28"/>
  <c r="J55" i="28"/>
  <c r="F53" i="29"/>
  <c r="C265" i="31" s="1"/>
  <c r="O43" i="28"/>
  <c r="AX85" i="29"/>
  <c r="H43" i="28"/>
  <c r="F57" i="29"/>
  <c r="C269" i="31" s="1"/>
  <c r="M43" i="28"/>
  <c r="E55" i="28"/>
  <c r="R55" i="28"/>
  <c r="F51" i="29"/>
  <c r="C263" i="31" s="1"/>
  <c r="P34" i="28"/>
  <c r="F54" i="29"/>
  <c r="C266" i="31" s="1"/>
  <c r="Y64" i="28"/>
  <c r="K43" i="28"/>
  <c r="AH228" i="30"/>
  <c r="C132" i="30" s="1"/>
  <c r="J132" i="30" s="1"/>
  <c r="W155" i="30"/>
  <c r="C247" i="31"/>
  <c r="C246" i="31"/>
  <c r="Q11" i="28" l="1"/>
  <c r="Q13" i="28" s="1"/>
  <c r="R11" i="28"/>
  <c r="R13" i="28" s="1"/>
  <c r="K77" i="29"/>
  <c r="Z202" i="28"/>
  <c r="Z213" i="28" s="1"/>
  <c r="Z214" i="28" s="1"/>
  <c r="N77" i="29"/>
  <c r="K202" i="28"/>
  <c r="K213" i="28" s="1"/>
  <c r="K214" i="28" s="1"/>
  <c r="X11" i="28"/>
  <c r="X13" i="28" s="1"/>
  <c r="D191" i="31"/>
  <c r="C275" i="31"/>
  <c r="D275" i="31" s="1"/>
  <c r="E202" i="28"/>
  <c r="E213" i="28" s="1"/>
  <c r="E214" i="28" s="1"/>
  <c r="V75" i="29"/>
  <c r="V77" i="29" s="1"/>
  <c r="W75" i="29"/>
  <c r="W77" i="29" s="1"/>
  <c r="P202" i="28"/>
  <c r="P213" i="28" s="1"/>
  <c r="P214" i="28" s="1"/>
  <c r="N202" i="28"/>
  <c r="N213" i="28" s="1"/>
  <c r="N214" i="28" s="1"/>
  <c r="G202" i="28"/>
  <c r="G213" i="28" s="1"/>
  <c r="G214" i="28" s="1"/>
  <c r="S75" i="29"/>
  <c r="S77" i="29" s="1"/>
  <c r="Z75" i="29"/>
  <c r="Z77" i="29" s="1"/>
  <c r="AA75" i="29"/>
  <c r="AA77" i="29" s="1"/>
  <c r="T75" i="29"/>
  <c r="T77" i="29" s="1"/>
  <c r="U75" i="29"/>
  <c r="U77" i="29" s="1"/>
  <c r="X75" i="29"/>
  <c r="X77" i="29" s="1"/>
  <c r="F76" i="29"/>
  <c r="C278" i="31" s="1"/>
  <c r="C291" i="31" s="1"/>
  <c r="O202" i="28"/>
  <c r="O213" i="28" s="1"/>
  <c r="O214" i="28" s="1"/>
  <c r="V202" i="28"/>
  <c r="V213" i="28" s="1"/>
  <c r="V214" i="28" s="1"/>
  <c r="AD75" i="29"/>
  <c r="AD77" i="29" s="1"/>
  <c r="AB75" i="29"/>
  <c r="AB77" i="29" s="1"/>
  <c r="O75" i="29"/>
  <c r="O77" i="29" s="1"/>
  <c r="AD31" i="28"/>
  <c r="T236" i="30" s="1"/>
  <c r="T235" i="30"/>
  <c r="R75" i="29"/>
  <c r="R77" i="29" s="1"/>
  <c r="P75" i="29"/>
  <c r="P77" i="29" s="1"/>
  <c r="Q75" i="29"/>
  <c r="Q77" i="29" s="1"/>
  <c r="G77" i="29"/>
  <c r="BP86" i="29"/>
  <c r="BP87" i="29"/>
  <c r="AX86" i="29"/>
  <c r="AX87" i="29"/>
  <c r="BF86" i="29"/>
  <c r="BF87" i="29"/>
  <c r="AZ87" i="29"/>
  <c r="AZ86" i="29"/>
  <c r="BQ86" i="29"/>
  <c r="BQ87" i="29"/>
  <c r="BA87" i="29"/>
  <c r="BA86" i="29"/>
  <c r="AY87" i="29"/>
  <c r="AY86" i="29"/>
  <c r="C74" i="31"/>
  <c r="J154" i="30"/>
  <c r="C227" i="31" s="1"/>
  <c r="B155" i="30"/>
  <c r="I155" i="30" s="1"/>
  <c r="B58" i="29"/>
  <c r="C58" i="29" s="1"/>
  <c r="C55" i="29"/>
  <c r="F55" i="29" s="1"/>
  <c r="DY102" i="29"/>
  <c r="AA11" i="29" s="1"/>
  <c r="DW102" i="29"/>
  <c r="Y11" i="29" s="1"/>
  <c r="DH102" i="29"/>
  <c r="J11" i="29" s="1"/>
  <c r="CR102" i="29"/>
  <c r="W10" i="29" s="1"/>
  <c r="DF102" i="29"/>
  <c r="H11" i="29" s="1"/>
  <c r="CQ102" i="29"/>
  <c r="V10" i="29" s="1"/>
  <c r="CG102" i="29"/>
  <c r="L10" i="29" s="1"/>
  <c r="DV102" i="29"/>
  <c r="X11" i="29" s="1"/>
  <c r="AJ36" i="30"/>
  <c r="Z38" i="30"/>
  <c r="Z39" i="30" s="1"/>
  <c r="AB39" i="30" s="1"/>
  <c r="B42" i="30"/>
  <c r="J42" i="30" s="1"/>
  <c r="C206" i="31" s="1"/>
  <c r="DU102" i="29"/>
  <c r="W11" i="29" s="1"/>
  <c r="DE102" i="29"/>
  <c r="G11" i="29" s="1"/>
  <c r="CS102" i="29"/>
  <c r="X10" i="29" s="1"/>
  <c r="CC102" i="29"/>
  <c r="H10" i="29" s="1"/>
  <c r="BC102" i="29"/>
  <c r="N9" i="29" s="1"/>
  <c r="BO102" i="29"/>
  <c r="Z9" i="29" s="1"/>
  <c r="BD102" i="29"/>
  <c r="O9" i="29" s="1"/>
  <c r="DG102" i="29"/>
  <c r="I11" i="29" s="1"/>
  <c r="DI102" i="29"/>
  <c r="K11" i="29" s="1"/>
  <c r="DO102" i="29"/>
  <c r="Q11" i="29" s="1"/>
  <c r="DZ102" i="29"/>
  <c r="AB11" i="29" s="1"/>
  <c r="CI102" i="29"/>
  <c r="N10" i="29" s="1"/>
  <c r="BS102" i="29"/>
  <c r="AD9" i="29" s="1"/>
  <c r="BB102" i="29"/>
  <c r="M9" i="29" s="1"/>
  <c r="DJ102" i="29"/>
  <c r="L11" i="29" s="1"/>
  <c r="CO102" i="29"/>
  <c r="T10" i="29" s="1"/>
  <c r="CT102" i="29"/>
  <c r="Y10" i="29" s="1"/>
  <c r="BM102" i="29"/>
  <c r="X9" i="29" s="1"/>
  <c r="Z153" i="30"/>
  <c r="B158" i="30" s="1"/>
  <c r="J158" i="30" s="1"/>
  <c r="C230" i="31" s="1"/>
  <c r="CW102" i="29"/>
  <c r="AB10" i="29" s="1"/>
  <c r="BN102" i="29"/>
  <c r="Y9" i="29" s="1"/>
  <c r="BR102" i="29"/>
  <c r="AC9" i="29" s="1"/>
  <c r="DR102" i="29"/>
  <c r="T11" i="29" s="1"/>
  <c r="CL102" i="29"/>
  <c r="Q10" i="29" s="1"/>
  <c r="CN102" i="29"/>
  <c r="S10" i="29" s="1"/>
  <c r="DM102" i="29"/>
  <c r="O11" i="29" s="1"/>
  <c r="CK102" i="29"/>
  <c r="P10" i="29" s="1"/>
  <c r="BL102" i="29"/>
  <c r="W9" i="29" s="1"/>
  <c r="C262" i="31"/>
  <c r="O253" i="31"/>
  <c r="AV102" i="29"/>
  <c r="G9" i="29" s="1"/>
  <c r="Y155" i="30"/>
  <c r="Z155" i="30" s="1"/>
  <c r="B160" i="30" s="1"/>
  <c r="J160" i="30" s="1"/>
  <c r="DP102" i="29"/>
  <c r="R11" i="29" s="1"/>
  <c r="BI102" i="29"/>
  <c r="T9" i="29" s="1"/>
  <c r="BG102" i="29"/>
  <c r="R9" i="29" s="1"/>
  <c r="EA102" i="29"/>
  <c r="AC11" i="29" s="1"/>
  <c r="C97" i="31"/>
  <c r="EB102" i="29"/>
  <c r="AD11" i="29" s="1"/>
  <c r="BH102" i="29"/>
  <c r="S9" i="29" s="1"/>
  <c r="CE102" i="29"/>
  <c r="J10" i="29" s="1"/>
  <c r="CJ102" i="29"/>
  <c r="O10" i="29" s="1"/>
  <c r="CU102" i="29"/>
  <c r="Z10" i="29" s="1"/>
  <c r="BK102" i="29"/>
  <c r="V9" i="29" s="1"/>
  <c r="CX102" i="29"/>
  <c r="AC10" i="29" s="1"/>
  <c r="AW102" i="29"/>
  <c r="H9" i="29" s="1"/>
  <c r="DS102" i="29"/>
  <c r="U11" i="29" s="1"/>
  <c r="DX102" i="29"/>
  <c r="Z11" i="29" s="1"/>
  <c r="CF102" i="29"/>
  <c r="K10" i="29" s="1"/>
  <c r="D246" i="31"/>
  <c r="DL102" i="29"/>
  <c r="N11" i="29" s="1"/>
  <c r="CY102" i="29"/>
  <c r="AD10" i="29" s="1"/>
  <c r="CD102" i="29"/>
  <c r="I10" i="29" s="1"/>
  <c r="CM102" i="29"/>
  <c r="R10" i="29" s="1"/>
  <c r="D247" i="31"/>
  <c r="CV102" i="29"/>
  <c r="AA10" i="29" s="1"/>
  <c r="DQ102" i="29"/>
  <c r="S11" i="29" s="1"/>
  <c r="C81" i="31"/>
  <c r="CH102" i="29"/>
  <c r="M10" i="29" s="1"/>
  <c r="BE102" i="29"/>
  <c r="P9" i="29" s="1"/>
  <c r="DT102" i="29"/>
  <c r="V11" i="29" s="1"/>
  <c r="D245" i="31"/>
  <c r="CP102" i="29"/>
  <c r="U10" i="29" s="1"/>
  <c r="DN102" i="29"/>
  <c r="P11" i="29" s="1"/>
  <c r="DK102" i="29"/>
  <c r="M11" i="29" s="1"/>
  <c r="CB102" i="29"/>
  <c r="G10" i="29" s="1"/>
  <c r="AY102" i="29" l="1"/>
  <c r="J9" i="29" s="1"/>
  <c r="J13" i="29" s="1"/>
  <c r="BA102" i="29"/>
  <c r="L9" i="29" s="1"/>
  <c r="AZ102" i="29"/>
  <c r="K9" i="29" s="1"/>
  <c r="K13" i="29" s="1"/>
  <c r="AJ8" i="28"/>
  <c r="B113" i="29"/>
  <c r="B125" i="29" s="1"/>
  <c r="BP102" i="29"/>
  <c r="AA9" i="29" s="1"/>
  <c r="AA13" i="29" s="1"/>
  <c r="BQ102" i="29"/>
  <c r="AB9" i="29" s="1"/>
  <c r="AB13" i="29" s="1"/>
  <c r="BF102" i="29"/>
  <c r="Q9" i="29" s="1"/>
  <c r="Q13" i="29" s="1"/>
  <c r="F77" i="29"/>
  <c r="B129" i="29" s="1"/>
  <c r="T274" i="30"/>
  <c r="X274" i="30" s="1"/>
  <c r="C187" i="31"/>
  <c r="D187" i="31" s="1"/>
  <c r="X235" i="30"/>
  <c r="F75" i="29"/>
  <c r="C188" i="31"/>
  <c r="D188" i="31" s="1"/>
  <c r="T275" i="30"/>
  <c r="X275" i="30" s="1"/>
  <c r="X236" i="30"/>
  <c r="C309" i="31" s="1"/>
  <c r="X13" i="29"/>
  <c r="F58" i="29"/>
  <c r="C270" i="31" s="1"/>
  <c r="W13" i="29"/>
  <c r="AB40" i="30"/>
  <c r="AD40" i="30" s="1"/>
  <c r="U13" i="29"/>
  <c r="O13" i="29"/>
  <c r="B43" i="30"/>
  <c r="J43" i="30" s="1"/>
  <c r="C207" i="31" s="1"/>
  <c r="B44" i="30"/>
  <c r="J44" i="30" s="1"/>
  <c r="C208" i="31" s="1"/>
  <c r="R13" i="29"/>
  <c r="N13" i="29"/>
  <c r="AB38" i="30"/>
  <c r="Y13" i="29"/>
  <c r="M13" i="29"/>
  <c r="L13" i="29"/>
  <c r="AD13" i="29"/>
  <c r="AC13" i="29"/>
  <c r="T13" i="29"/>
  <c r="C232" i="31"/>
  <c r="C267" i="31"/>
  <c r="AX102" i="29"/>
  <c r="I9" i="29" s="1"/>
  <c r="F11" i="29"/>
  <c r="C250" i="31" s="1"/>
  <c r="Z13" i="29"/>
  <c r="S13" i="29"/>
  <c r="H13" i="29"/>
  <c r="P13" i="29"/>
  <c r="V13" i="29"/>
  <c r="F10" i="29"/>
  <c r="G13" i="29"/>
  <c r="C82" i="31"/>
  <c r="B81" i="29" l="1"/>
  <c r="F81" i="29" s="1"/>
  <c r="B114" i="29" s="1"/>
  <c r="T245" i="30"/>
  <c r="F9" i="29"/>
  <c r="B91" i="29" s="1"/>
  <c r="D91" i="29" s="1"/>
  <c r="B108" i="29"/>
  <c r="B123" i="29" s="1"/>
  <c r="AJ219" i="31"/>
  <c r="AN219" i="31" s="1"/>
  <c r="AK227" i="31"/>
  <c r="AO227" i="31" s="1"/>
  <c r="AJ218" i="31"/>
  <c r="AN218" i="31" s="1"/>
  <c r="AK226" i="31"/>
  <c r="AO226" i="31" s="1"/>
  <c r="C308" i="31"/>
  <c r="D81" i="31"/>
  <c r="J205" i="31" s="1"/>
  <c r="L205" i="31" s="1"/>
  <c r="C289" i="31"/>
  <c r="I13" i="29"/>
  <c r="F13" i="29" s="1"/>
  <c r="D97" i="31"/>
  <c r="B93" i="29"/>
  <c r="D93" i="29" s="1"/>
  <c r="D208" i="31"/>
  <c r="D228" i="31"/>
  <c r="D213" i="31"/>
  <c r="D196" i="31"/>
  <c r="D166" i="31"/>
  <c r="D229" i="31"/>
  <c r="D167" i="31"/>
  <c r="D150" i="31"/>
  <c r="D165" i="31"/>
  <c r="D143" i="31"/>
  <c r="D92" i="31"/>
  <c r="D91" i="31"/>
  <c r="D90" i="31"/>
  <c r="K254" i="31" s="1"/>
  <c r="L254" i="31" s="1"/>
  <c r="D89" i="31"/>
  <c r="K262" i="31" s="1"/>
  <c r="D88" i="31"/>
  <c r="K261" i="31" s="1"/>
  <c r="L261" i="31" s="1"/>
  <c r="D96" i="31"/>
  <c r="D66" i="31"/>
  <c r="G63" i="31"/>
  <c r="D63" i="31"/>
  <c r="D65" i="31"/>
  <c r="J193" i="31" s="1"/>
  <c r="J194" i="31" s="1"/>
  <c r="D64" i="31"/>
  <c r="Q193" i="31" s="1"/>
  <c r="Q194" i="31" s="1"/>
  <c r="D80" i="31"/>
  <c r="J206" i="31" s="1"/>
  <c r="L206" i="31" s="1"/>
  <c r="D147" i="31"/>
  <c r="D168" i="31"/>
  <c r="D200" i="31"/>
  <c r="D145" i="31"/>
  <c r="D214" i="31"/>
  <c r="J216" i="31"/>
  <c r="L223" i="31"/>
  <c r="AJ198" i="31" s="1"/>
  <c r="L225" i="31"/>
  <c r="D69" i="31"/>
  <c r="D146" i="31"/>
  <c r="D164" i="31"/>
  <c r="L224" i="31"/>
  <c r="J217" i="31"/>
  <c r="J218" i="31"/>
  <c r="D226" i="31"/>
  <c r="D71" i="31"/>
  <c r="D94" i="31"/>
  <c r="D141" i="31"/>
  <c r="D198" i="31"/>
  <c r="D144" i="31"/>
  <c r="D199" i="31"/>
  <c r="D205" i="31"/>
  <c r="D68" i="31"/>
  <c r="D93" i="31"/>
  <c r="D140" i="31"/>
  <c r="D227" i="31"/>
  <c r="D139" i="31"/>
  <c r="D163" i="31"/>
  <c r="D142" i="31"/>
  <c r="D215" i="31"/>
  <c r="D76" i="31"/>
  <c r="D77" i="31"/>
  <c r="D222" i="31"/>
  <c r="D73" i="31"/>
  <c r="K255" i="31" s="1"/>
  <c r="L255" i="31" s="1"/>
  <c r="D72" i="31"/>
  <c r="D232" i="31"/>
  <c r="D78" i="31"/>
  <c r="D87" i="31"/>
  <c r="K260" i="31" s="1"/>
  <c r="L260" i="31" s="1"/>
  <c r="D79" i="31"/>
  <c r="D95" i="31"/>
  <c r="D74" i="31"/>
  <c r="D231" i="31"/>
  <c r="D204" i="31"/>
  <c r="D85" i="31"/>
  <c r="D86" i="31"/>
  <c r="K259" i="31" s="1"/>
  <c r="L259" i="31" s="1"/>
  <c r="D75" i="31"/>
  <c r="D233" i="31"/>
  <c r="D206" i="31"/>
  <c r="D230" i="31"/>
  <c r="C249" i="31"/>
  <c r="B92" i="29"/>
  <c r="D92" i="29" s="1"/>
  <c r="C248" i="31"/>
  <c r="C193" i="31" l="1"/>
  <c r="D193" i="31" s="1"/>
  <c r="C277" i="31"/>
  <c r="D277" i="31" s="1"/>
  <c r="C189" i="31"/>
  <c r="D189" i="31" s="1"/>
  <c r="AK189" i="31" s="1"/>
  <c r="AO189" i="31" s="1"/>
  <c r="AO192" i="31" s="1"/>
  <c r="X245" i="30"/>
  <c r="L209" i="31"/>
  <c r="AJ203" i="31"/>
  <c r="AK203" i="31" s="1"/>
  <c r="AJ204" i="31"/>
  <c r="AK204" i="31" s="1"/>
  <c r="AJ200" i="31"/>
  <c r="AK200" i="31" s="1"/>
  <c r="AJ201" i="31"/>
  <c r="AK201" i="31" s="1"/>
  <c r="AJ202" i="31"/>
  <c r="AK202" i="31" s="1"/>
  <c r="W193" i="31"/>
  <c r="W194" i="31" s="1"/>
  <c r="V199" i="31" s="1"/>
  <c r="W199" i="31" s="1"/>
  <c r="AP198" i="31"/>
  <c r="K258" i="31"/>
  <c r="L258" i="31" s="1"/>
  <c r="J220" i="31"/>
  <c r="J221" i="31" s="1"/>
  <c r="L210" i="31" s="1"/>
  <c r="L211" i="31" s="1"/>
  <c r="L212" i="31" s="1"/>
  <c r="D207" i="31" s="1"/>
  <c r="DX73" i="31"/>
  <c r="DX85" i="31" s="1"/>
  <c r="DP73" i="31"/>
  <c r="DP85" i="31" s="1"/>
  <c r="DH73" i="31"/>
  <c r="DH85" i="31" s="1"/>
  <c r="DY72" i="31"/>
  <c r="DY84" i="31" s="1"/>
  <c r="DQ72" i="31"/>
  <c r="DQ84" i="31" s="1"/>
  <c r="DI72" i="31"/>
  <c r="DI84" i="31" s="1"/>
  <c r="DZ71" i="31"/>
  <c r="DZ82" i="31" s="1"/>
  <c r="DR71" i="31"/>
  <c r="DR82" i="31" s="1"/>
  <c r="DJ71" i="31"/>
  <c r="DJ82" i="31" s="1"/>
  <c r="EA70" i="31"/>
  <c r="EA81" i="31" s="1"/>
  <c r="DS70" i="31"/>
  <c r="DS81" i="31" s="1"/>
  <c r="DK70" i="31"/>
  <c r="DK81" i="31" s="1"/>
  <c r="EB69" i="31"/>
  <c r="EB80" i="31" s="1"/>
  <c r="DT69" i="31"/>
  <c r="DT80" i="31" s="1"/>
  <c r="DL69" i="31"/>
  <c r="DL80" i="31" s="1"/>
  <c r="DU68" i="31"/>
  <c r="DU79" i="31" s="1"/>
  <c r="DM68" i="31"/>
  <c r="DM79" i="31" s="1"/>
  <c r="DE68" i="31"/>
  <c r="DE79" i="31" s="1"/>
  <c r="DV67" i="31"/>
  <c r="DV78" i="31" s="1"/>
  <c r="DN67" i="31"/>
  <c r="DN78" i="31" s="1"/>
  <c r="DF67" i="31"/>
  <c r="DF78" i="31" s="1"/>
  <c r="DW66" i="31"/>
  <c r="DW77" i="31" s="1"/>
  <c r="DO66" i="31"/>
  <c r="DO77" i="31" s="1"/>
  <c r="DG66" i="31"/>
  <c r="DG77" i="31" s="1"/>
  <c r="DX65" i="31"/>
  <c r="DX76" i="31" s="1"/>
  <c r="DP65" i="31"/>
  <c r="DP76" i="31" s="1"/>
  <c r="DH65" i="31"/>
  <c r="DH76" i="31" s="1"/>
  <c r="DY64" i="31"/>
  <c r="DY75" i="31" s="1"/>
  <c r="DQ64" i="31"/>
  <c r="DQ75" i="31" s="1"/>
  <c r="DI64" i="31"/>
  <c r="DI75" i="31" s="1"/>
  <c r="DW73" i="31"/>
  <c r="DW85" i="31" s="1"/>
  <c r="DO73" i="31"/>
  <c r="DO85" i="31" s="1"/>
  <c r="DG73" i="31"/>
  <c r="DG85" i="31" s="1"/>
  <c r="DX72" i="31"/>
  <c r="DX84" i="31" s="1"/>
  <c r="DP72" i="31"/>
  <c r="DP84" i="31" s="1"/>
  <c r="DH72" i="31"/>
  <c r="DH84" i="31" s="1"/>
  <c r="DY71" i="31"/>
  <c r="DY82" i="31" s="1"/>
  <c r="DQ71" i="31"/>
  <c r="DQ82" i="31" s="1"/>
  <c r="DI71" i="31"/>
  <c r="DI82" i="31" s="1"/>
  <c r="DZ70" i="31"/>
  <c r="DZ81" i="31" s="1"/>
  <c r="DR70" i="31"/>
  <c r="DR81" i="31" s="1"/>
  <c r="DJ70" i="31"/>
  <c r="EA69" i="31"/>
  <c r="EA80" i="31" s="1"/>
  <c r="DS69" i="31"/>
  <c r="DS80" i="31" s="1"/>
  <c r="DK69" i="31"/>
  <c r="DK80" i="31" s="1"/>
  <c r="EB68" i="31"/>
  <c r="EB79" i="31" s="1"/>
  <c r="DT68" i="31"/>
  <c r="DT79" i="31" s="1"/>
  <c r="DL68" i="31"/>
  <c r="DL79" i="31" s="1"/>
  <c r="DU67" i="31"/>
  <c r="DU78" i="31" s="1"/>
  <c r="DM67" i="31"/>
  <c r="DM78" i="31" s="1"/>
  <c r="DE67" i="31"/>
  <c r="DE78" i="31" s="1"/>
  <c r="DV66" i="31"/>
  <c r="DV77" i="31" s="1"/>
  <c r="DN66" i="31"/>
  <c r="DN77" i="31" s="1"/>
  <c r="DF66" i="31"/>
  <c r="DF77" i="31" s="1"/>
  <c r="DW65" i="31"/>
  <c r="DW76" i="31" s="1"/>
  <c r="DO65" i="31"/>
  <c r="DO76" i="31" s="1"/>
  <c r="DG65" i="31"/>
  <c r="DG76" i="31" s="1"/>
  <c r="DX64" i="31"/>
  <c r="DX75" i="31" s="1"/>
  <c r="DP64" i="31"/>
  <c r="DP75" i="31" s="1"/>
  <c r="DH64" i="31"/>
  <c r="DH75" i="31" s="1"/>
  <c r="CV73" i="31"/>
  <c r="CV85" i="31" s="1"/>
  <c r="CN73" i="31"/>
  <c r="CN85" i="31" s="1"/>
  <c r="CF73" i="31"/>
  <c r="CF85" i="31" s="1"/>
  <c r="CW72" i="31"/>
  <c r="CW84" i="31" s="1"/>
  <c r="CO72" i="31"/>
  <c r="CO84" i="31" s="1"/>
  <c r="CG72" i="31"/>
  <c r="CG84" i="31" s="1"/>
  <c r="CX71" i="31"/>
  <c r="CX82" i="31" s="1"/>
  <c r="CP71" i="31"/>
  <c r="CP82" i="31" s="1"/>
  <c r="CH71" i="31"/>
  <c r="CH82" i="31" s="1"/>
  <c r="CY70" i="31"/>
  <c r="CY81" i="31" s="1"/>
  <c r="CQ70" i="31"/>
  <c r="CQ81" i="31" s="1"/>
  <c r="CI70" i="31"/>
  <c r="CI81" i="31" s="1"/>
  <c r="CR69" i="31"/>
  <c r="CR80" i="31" s="1"/>
  <c r="CJ69" i="31"/>
  <c r="CJ80" i="31" s="1"/>
  <c r="CB69" i="31"/>
  <c r="CB80" i="31" s="1"/>
  <c r="CS68" i="31"/>
  <c r="CS79" i="31" s="1"/>
  <c r="CK68" i="31"/>
  <c r="CK79" i="31" s="1"/>
  <c r="CC68" i="31"/>
  <c r="CC79" i="31" s="1"/>
  <c r="CT67" i="31"/>
  <c r="CT78" i="31" s="1"/>
  <c r="CL67" i="31"/>
  <c r="CL78" i="31" s="1"/>
  <c r="CD67" i="31"/>
  <c r="CD78" i="31" s="1"/>
  <c r="CU66" i="31"/>
  <c r="CU77" i="31" s="1"/>
  <c r="CM66" i="31"/>
  <c r="CM77" i="31" s="1"/>
  <c r="CE66" i="31"/>
  <c r="CE77" i="31" s="1"/>
  <c r="CV65" i="31"/>
  <c r="CV76" i="31" s="1"/>
  <c r="CN65" i="31"/>
  <c r="CN76" i="31" s="1"/>
  <c r="CF65" i="31"/>
  <c r="CF76" i="31" s="1"/>
  <c r="CW64" i="31"/>
  <c r="CW75" i="31" s="1"/>
  <c r="CO64" i="31"/>
  <c r="CO75" i="31" s="1"/>
  <c r="CG64" i="31"/>
  <c r="CG75" i="31" s="1"/>
  <c r="DV73" i="31"/>
  <c r="DV85" i="31" s="1"/>
  <c r="DN73" i="31"/>
  <c r="DN85" i="31" s="1"/>
  <c r="DF73" i="31"/>
  <c r="DF85" i="31" s="1"/>
  <c r="DW72" i="31"/>
  <c r="DW84" i="31" s="1"/>
  <c r="DO72" i="31"/>
  <c r="DO84" i="31" s="1"/>
  <c r="DG72" i="31"/>
  <c r="DG84" i="31" s="1"/>
  <c r="DX71" i="31"/>
  <c r="DX82" i="31" s="1"/>
  <c r="DP71" i="31"/>
  <c r="DP82" i="31" s="1"/>
  <c r="DH71" i="31"/>
  <c r="DH82" i="31" s="1"/>
  <c r="DY70" i="31"/>
  <c r="DY81" i="31" s="1"/>
  <c r="DQ70" i="31"/>
  <c r="DQ81" i="31" s="1"/>
  <c r="DI70" i="31"/>
  <c r="DI81" i="31" s="1"/>
  <c r="DZ69" i="31"/>
  <c r="DZ80" i="31" s="1"/>
  <c r="DR69" i="31"/>
  <c r="DR80" i="31" s="1"/>
  <c r="DJ69" i="31"/>
  <c r="DJ80" i="31" s="1"/>
  <c r="EA68" i="31"/>
  <c r="EA79" i="31" s="1"/>
  <c r="DS68" i="31"/>
  <c r="DS79" i="31" s="1"/>
  <c r="DK68" i="31"/>
  <c r="DK79" i="31" s="1"/>
  <c r="EB67" i="31"/>
  <c r="EB78" i="31" s="1"/>
  <c r="DT67" i="31"/>
  <c r="DT78" i="31" s="1"/>
  <c r="DL67" i="31"/>
  <c r="DL78" i="31" s="1"/>
  <c r="DU66" i="31"/>
  <c r="DU77" i="31" s="1"/>
  <c r="DM66" i="31"/>
  <c r="DM77" i="31" s="1"/>
  <c r="DE66" i="31"/>
  <c r="DE77" i="31" s="1"/>
  <c r="DV65" i="31"/>
  <c r="DV76" i="31" s="1"/>
  <c r="DN65" i="31"/>
  <c r="DN76" i="31" s="1"/>
  <c r="DF65" i="31"/>
  <c r="DF76" i="31" s="1"/>
  <c r="DW64" i="31"/>
  <c r="DW75" i="31" s="1"/>
  <c r="DO64" i="31"/>
  <c r="DO75" i="31" s="1"/>
  <c r="DG64" i="31"/>
  <c r="DG75" i="31" s="1"/>
  <c r="CU73" i="31"/>
  <c r="CU85" i="31" s="1"/>
  <c r="CM73" i="31"/>
  <c r="CM85" i="31" s="1"/>
  <c r="CE73" i="31"/>
  <c r="CE85" i="31" s="1"/>
  <c r="CV72" i="31"/>
  <c r="CV84" i="31" s="1"/>
  <c r="CN72" i="31"/>
  <c r="CN84" i="31" s="1"/>
  <c r="CF72" i="31"/>
  <c r="CF84" i="31" s="1"/>
  <c r="CW71" i="31"/>
  <c r="CW82" i="31" s="1"/>
  <c r="CO71" i="31"/>
  <c r="CO82" i="31" s="1"/>
  <c r="CG71" i="31"/>
  <c r="CG82" i="31" s="1"/>
  <c r="CX70" i="31"/>
  <c r="CX81" i="31" s="1"/>
  <c r="CP70" i="31"/>
  <c r="CP81" i="31" s="1"/>
  <c r="CH70" i="31"/>
  <c r="CH81" i="31" s="1"/>
  <c r="CY69" i="31"/>
  <c r="CY80" i="31" s="1"/>
  <c r="CQ69" i="31"/>
  <c r="CQ80" i="31" s="1"/>
  <c r="CI69" i="31"/>
  <c r="CI80" i="31" s="1"/>
  <c r="CR68" i="31"/>
  <c r="CR79" i="31" s="1"/>
  <c r="CJ68" i="31"/>
  <c r="CJ79" i="31" s="1"/>
  <c r="CB68" i="31"/>
  <c r="CB79" i="31" s="1"/>
  <c r="CS67" i="31"/>
  <c r="CS78" i="31" s="1"/>
  <c r="CK67" i="31"/>
  <c r="CK78" i="31" s="1"/>
  <c r="CC67" i="31"/>
  <c r="CC78" i="31" s="1"/>
  <c r="CT66" i="31"/>
  <c r="CT77" i="31" s="1"/>
  <c r="CL66" i="31"/>
  <c r="CL77" i="31" s="1"/>
  <c r="CD66" i="31"/>
  <c r="CD77" i="31" s="1"/>
  <c r="CU65" i="31"/>
  <c r="CU76" i="31" s="1"/>
  <c r="CM65" i="31"/>
  <c r="CM76" i="31" s="1"/>
  <c r="CE65" i="31"/>
  <c r="CE76" i="31" s="1"/>
  <c r="CV64" i="31"/>
  <c r="CV75" i="31" s="1"/>
  <c r="CN64" i="31"/>
  <c r="CN75" i="31" s="1"/>
  <c r="CF64" i="31"/>
  <c r="CF75" i="31" s="1"/>
  <c r="DU73" i="31"/>
  <c r="DU85" i="31" s="1"/>
  <c r="DM73" i="31"/>
  <c r="DM85" i="31" s="1"/>
  <c r="DE73" i="31"/>
  <c r="DE85" i="31" s="1"/>
  <c r="DV72" i="31"/>
  <c r="DV84" i="31" s="1"/>
  <c r="DN72" i="31"/>
  <c r="DN84" i="31" s="1"/>
  <c r="DF72" i="31"/>
  <c r="DF84" i="31" s="1"/>
  <c r="DW71" i="31"/>
  <c r="DW82" i="31" s="1"/>
  <c r="DO71" i="31"/>
  <c r="DO82" i="31" s="1"/>
  <c r="DG71" i="31"/>
  <c r="DG82" i="31" s="1"/>
  <c r="DX70" i="31"/>
  <c r="DX81" i="31" s="1"/>
  <c r="DP70" i="31"/>
  <c r="DP81" i="31" s="1"/>
  <c r="DH70" i="31"/>
  <c r="DH81" i="31" s="1"/>
  <c r="DY69" i="31"/>
  <c r="DY80" i="31" s="1"/>
  <c r="DQ69" i="31"/>
  <c r="DQ80" i="31" s="1"/>
  <c r="DI69" i="31"/>
  <c r="DI80" i="31" s="1"/>
  <c r="DZ68" i="31"/>
  <c r="DZ79" i="31" s="1"/>
  <c r="DR68" i="31"/>
  <c r="DR79" i="31" s="1"/>
  <c r="DJ68" i="31"/>
  <c r="DJ79" i="31" s="1"/>
  <c r="EA67" i="31"/>
  <c r="EA78" i="31" s="1"/>
  <c r="DS67" i="31"/>
  <c r="DS78" i="31" s="1"/>
  <c r="DK67" i="31"/>
  <c r="DK78" i="31" s="1"/>
  <c r="EB66" i="31"/>
  <c r="EB77" i="31" s="1"/>
  <c r="DT66" i="31"/>
  <c r="DT77" i="31" s="1"/>
  <c r="DL66" i="31"/>
  <c r="DL77" i="31" s="1"/>
  <c r="DU65" i="31"/>
  <c r="DU76" i="31" s="1"/>
  <c r="DM65" i="31"/>
  <c r="DM76" i="31" s="1"/>
  <c r="DE65" i="31"/>
  <c r="DE76" i="31" s="1"/>
  <c r="DV64" i="31"/>
  <c r="DV75" i="31" s="1"/>
  <c r="DN64" i="31"/>
  <c r="DN75" i="31" s="1"/>
  <c r="DF64" i="31"/>
  <c r="DF75" i="31" s="1"/>
  <c r="CT73" i="31"/>
  <c r="CT85" i="31" s="1"/>
  <c r="CL73" i="31"/>
  <c r="CL85" i="31" s="1"/>
  <c r="CD73" i="31"/>
  <c r="CD85" i="31" s="1"/>
  <c r="CU72" i="31"/>
  <c r="CU84" i="31" s="1"/>
  <c r="CM72" i="31"/>
  <c r="CM84" i="31" s="1"/>
  <c r="EB73" i="31"/>
  <c r="EB85" i="31" s="1"/>
  <c r="DT73" i="31"/>
  <c r="DT85" i="31" s="1"/>
  <c r="DL73" i="31"/>
  <c r="DL85" i="31" s="1"/>
  <c r="DU72" i="31"/>
  <c r="DU84" i="31" s="1"/>
  <c r="DM72" i="31"/>
  <c r="DM84" i="31" s="1"/>
  <c r="DE72" i="31"/>
  <c r="DE84" i="31" s="1"/>
  <c r="DV71" i="31"/>
  <c r="DV82" i="31" s="1"/>
  <c r="DN71" i="31"/>
  <c r="DN82" i="31" s="1"/>
  <c r="DF71" i="31"/>
  <c r="DF82" i="31" s="1"/>
  <c r="DW70" i="31"/>
  <c r="DW81" i="31" s="1"/>
  <c r="DO70" i="31"/>
  <c r="DO81" i="31" s="1"/>
  <c r="DG70" i="31"/>
  <c r="DG81" i="31" s="1"/>
  <c r="DX69" i="31"/>
  <c r="DX80" i="31" s="1"/>
  <c r="DP69" i="31"/>
  <c r="DP80" i="31" s="1"/>
  <c r="DH69" i="31"/>
  <c r="DH80" i="31" s="1"/>
  <c r="DY68" i="31"/>
  <c r="DY79" i="31" s="1"/>
  <c r="DQ68" i="31"/>
  <c r="DQ79" i="31" s="1"/>
  <c r="DI68" i="31"/>
  <c r="DI79" i="31" s="1"/>
  <c r="DZ67" i="31"/>
  <c r="DZ78" i="31" s="1"/>
  <c r="DR67" i="31"/>
  <c r="DR78" i="31" s="1"/>
  <c r="DJ67" i="31"/>
  <c r="DJ78" i="31" s="1"/>
  <c r="EA66" i="31"/>
  <c r="EA77" i="31" s="1"/>
  <c r="DS66" i="31"/>
  <c r="DS77" i="31" s="1"/>
  <c r="DK66" i="31"/>
  <c r="DK77" i="31" s="1"/>
  <c r="EB65" i="31"/>
  <c r="EB76" i="31" s="1"/>
  <c r="DT65" i="31"/>
  <c r="DT76" i="31" s="1"/>
  <c r="DL65" i="31"/>
  <c r="DL76" i="31" s="1"/>
  <c r="DU64" i="31"/>
  <c r="DU75" i="31" s="1"/>
  <c r="DM64" i="31"/>
  <c r="DM75" i="31" s="1"/>
  <c r="DE64" i="31"/>
  <c r="DE75" i="31" s="1"/>
  <c r="CS73" i="31"/>
  <c r="CS85" i="31" s="1"/>
  <c r="CK73" i="31"/>
  <c r="CK85" i="31" s="1"/>
  <c r="CC73" i="31"/>
  <c r="CC85" i="31" s="1"/>
  <c r="CT72" i="31"/>
  <c r="CT84" i="31" s="1"/>
  <c r="CL72" i="31"/>
  <c r="CL84" i="31" s="1"/>
  <c r="CD72" i="31"/>
  <c r="CD84" i="31" s="1"/>
  <c r="CU71" i="31"/>
  <c r="CU82" i="31" s="1"/>
  <c r="CM71" i="31"/>
  <c r="CM82" i="31" s="1"/>
  <c r="CE71" i="31"/>
  <c r="CE82" i="31" s="1"/>
  <c r="CV70" i="31"/>
  <c r="CV81" i="31" s="1"/>
  <c r="CN70" i="31"/>
  <c r="CN81" i="31" s="1"/>
  <c r="CF70" i="31"/>
  <c r="CF81" i="31" s="1"/>
  <c r="CW69" i="31"/>
  <c r="CW80" i="31" s="1"/>
  <c r="CO69" i="31"/>
  <c r="CO80" i="31" s="1"/>
  <c r="CG69" i="31"/>
  <c r="CG80" i="31" s="1"/>
  <c r="CX68" i="31"/>
  <c r="CX79" i="31" s="1"/>
  <c r="CP68" i="31"/>
  <c r="CP79" i="31" s="1"/>
  <c r="CH68" i="31"/>
  <c r="CH79" i="31" s="1"/>
  <c r="CY67" i="31"/>
  <c r="CY78" i="31" s="1"/>
  <c r="CQ67" i="31"/>
  <c r="CQ78" i="31" s="1"/>
  <c r="CI67" i="31"/>
  <c r="CI78" i="31" s="1"/>
  <c r="CR66" i="31"/>
  <c r="CR77" i="31" s="1"/>
  <c r="CJ66" i="31"/>
  <c r="CJ77" i="31" s="1"/>
  <c r="CB66" i="31"/>
  <c r="CB77" i="31" s="1"/>
  <c r="CS65" i="31"/>
  <c r="CS76" i="31" s="1"/>
  <c r="CK65" i="31"/>
  <c r="CK76" i="31" s="1"/>
  <c r="CC65" i="31"/>
  <c r="CC76" i="31" s="1"/>
  <c r="CT64" i="31"/>
  <c r="CT75" i="31" s="1"/>
  <c r="CL64" i="31"/>
  <c r="CL75" i="31" s="1"/>
  <c r="CD64" i="31"/>
  <c r="CD75" i="31" s="1"/>
  <c r="EA73" i="31"/>
  <c r="EA85" i="31" s="1"/>
  <c r="DS73" i="31"/>
  <c r="DS85" i="31" s="1"/>
  <c r="DK73" i="31"/>
  <c r="DK85" i="31" s="1"/>
  <c r="EB72" i="31"/>
  <c r="EB84" i="31" s="1"/>
  <c r="DT72" i="31"/>
  <c r="DT84" i="31" s="1"/>
  <c r="DL72" i="31"/>
  <c r="DL84" i="31" s="1"/>
  <c r="DU71" i="31"/>
  <c r="DU82" i="31" s="1"/>
  <c r="DM71" i="31"/>
  <c r="DM82" i="31" s="1"/>
  <c r="DE71" i="31"/>
  <c r="DE82" i="31" s="1"/>
  <c r="DV70" i="31"/>
  <c r="DV81" i="31" s="1"/>
  <c r="DN70" i="31"/>
  <c r="DN81" i="31" s="1"/>
  <c r="DF70" i="31"/>
  <c r="DF81" i="31" s="1"/>
  <c r="DW69" i="31"/>
  <c r="DW80" i="31" s="1"/>
  <c r="DO69" i="31"/>
  <c r="DO80" i="31" s="1"/>
  <c r="DG69" i="31"/>
  <c r="DG80" i="31" s="1"/>
  <c r="DX68" i="31"/>
  <c r="DX79" i="31" s="1"/>
  <c r="DP68" i="31"/>
  <c r="DP79" i="31" s="1"/>
  <c r="DH68" i="31"/>
  <c r="DH79" i="31" s="1"/>
  <c r="DY67" i="31"/>
  <c r="DY78" i="31" s="1"/>
  <c r="DQ67" i="31"/>
  <c r="DQ78" i="31" s="1"/>
  <c r="DI67" i="31"/>
  <c r="DI78" i="31" s="1"/>
  <c r="DZ66" i="31"/>
  <c r="DZ77" i="31" s="1"/>
  <c r="DR66" i="31"/>
  <c r="DR77" i="31" s="1"/>
  <c r="DJ66" i="31"/>
  <c r="DJ77" i="31" s="1"/>
  <c r="EA65" i="31"/>
  <c r="EA76" i="31" s="1"/>
  <c r="DS65" i="31"/>
  <c r="DS76" i="31" s="1"/>
  <c r="DK65" i="31"/>
  <c r="DK76" i="31" s="1"/>
  <c r="EB64" i="31"/>
  <c r="EB75" i="31" s="1"/>
  <c r="DT64" i="31"/>
  <c r="DT75" i="31" s="1"/>
  <c r="DL64" i="31"/>
  <c r="DL75" i="31" s="1"/>
  <c r="CR73" i="31"/>
  <c r="CR85" i="31" s="1"/>
  <c r="CJ73" i="31"/>
  <c r="CJ85" i="31" s="1"/>
  <c r="CB73" i="31"/>
  <c r="CB85" i="31" s="1"/>
  <c r="CS72" i="31"/>
  <c r="CS84" i="31" s="1"/>
  <c r="CK72" i="31"/>
  <c r="CK84" i="31" s="1"/>
  <c r="CC72" i="31"/>
  <c r="CC84" i="31" s="1"/>
  <c r="CT71" i="31"/>
  <c r="CT82" i="31" s="1"/>
  <c r="CL71" i="31"/>
  <c r="CL82" i="31" s="1"/>
  <c r="CD71" i="31"/>
  <c r="CD82" i="31" s="1"/>
  <c r="CU70" i="31"/>
  <c r="CU81" i="31" s="1"/>
  <c r="CM70" i="31"/>
  <c r="CM81" i="31" s="1"/>
  <c r="CE70" i="31"/>
  <c r="CE81" i="31" s="1"/>
  <c r="CV69" i="31"/>
  <c r="CV80" i="31" s="1"/>
  <c r="CN69" i="31"/>
  <c r="CN80" i="31" s="1"/>
  <c r="CF69" i="31"/>
  <c r="CF80" i="31" s="1"/>
  <c r="CW68" i="31"/>
  <c r="CW79" i="31" s="1"/>
  <c r="CO68" i="31"/>
  <c r="CO79" i="31" s="1"/>
  <c r="CG68" i="31"/>
  <c r="CG79" i="31" s="1"/>
  <c r="CX67" i="31"/>
  <c r="CX78" i="31" s="1"/>
  <c r="CP67" i="31"/>
  <c r="CP78" i="31" s="1"/>
  <c r="CH67" i="31"/>
  <c r="CH78" i="31" s="1"/>
  <c r="CY66" i="31"/>
  <c r="CY77" i="31" s="1"/>
  <c r="CQ66" i="31"/>
  <c r="CQ77" i="31" s="1"/>
  <c r="CI66" i="31"/>
  <c r="CI77" i="31" s="1"/>
  <c r="CR65" i="31"/>
  <c r="CR76" i="31" s="1"/>
  <c r="CJ65" i="31"/>
  <c r="CJ76" i="31" s="1"/>
  <c r="CB65" i="31"/>
  <c r="CB76" i="31" s="1"/>
  <c r="CS64" i="31"/>
  <c r="CS75" i="31" s="1"/>
  <c r="CK64" i="31"/>
  <c r="CK75" i="31" s="1"/>
  <c r="CC64" i="31"/>
  <c r="CC75" i="31" s="1"/>
  <c r="DZ73" i="31"/>
  <c r="DZ85" i="31" s="1"/>
  <c r="DR73" i="31"/>
  <c r="DR85" i="31" s="1"/>
  <c r="DJ73" i="31"/>
  <c r="DJ85" i="31" s="1"/>
  <c r="EA72" i="31"/>
  <c r="EA84" i="31" s="1"/>
  <c r="DS72" i="31"/>
  <c r="DS84" i="31" s="1"/>
  <c r="DK72" i="31"/>
  <c r="DK84" i="31" s="1"/>
  <c r="EB71" i="31"/>
  <c r="EB82" i="31" s="1"/>
  <c r="DT71" i="31"/>
  <c r="DT82" i="31" s="1"/>
  <c r="DL71" i="31"/>
  <c r="DL82" i="31" s="1"/>
  <c r="DU70" i="31"/>
  <c r="DU81" i="31" s="1"/>
  <c r="DM70" i="31"/>
  <c r="DM81" i="31" s="1"/>
  <c r="DE70" i="31"/>
  <c r="DE81" i="31" s="1"/>
  <c r="DV69" i="31"/>
  <c r="DV80" i="31" s="1"/>
  <c r="DN69" i="31"/>
  <c r="DN80" i="31" s="1"/>
  <c r="DF69" i="31"/>
  <c r="DF80" i="31" s="1"/>
  <c r="DW68" i="31"/>
  <c r="DW79" i="31" s="1"/>
  <c r="DO68" i="31"/>
  <c r="DO79" i="31" s="1"/>
  <c r="DG68" i="31"/>
  <c r="DG79" i="31" s="1"/>
  <c r="DX67" i="31"/>
  <c r="DX78" i="31" s="1"/>
  <c r="DP67" i="31"/>
  <c r="DP78" i="31" s="1"/>
  <c r="DH67" i="31"/>
  <c r="DH78" i="31" s="1"/>
  <c r="DY66" i="31"/>
  <c r="DY77" i="31" s="1"/>
  <c r="DQ66" i="31"/>
  <c r="DQ77" i="31" s="1"/>
  <c r="DI66" i="31"/>
  <c r="DI77" i="31" s="1"/>
  <c r="DZ65" i="31"/>
  <c r="DZ76" i="31" s="1"/>
  <c r="DR65" i="31"/>
  <c r="DR76" i="31" s="1"/>
  <c r="DJ65" i="31"/>
  <c r="DJ76" i="31" s="1"/>
  <c r="EA64" i="31"/>
  <c r="EA75" i="31" s="1"/>
  <c r="DS64" i="31"/>
  <c r="DS75" i="31" s="1"/>
  <c r="DK64" i="31"/>
  <c r="DK75" i="31" s="1"/>
  <c r="CY73" i="31"/>
  <c r="CY85" i="31" s="1"/>
  <c r="CQ73" i="31"/>
  <c r="CQ85" i="31" s="1"/>
  <c r="CI73" i="31"/>
  <c r="CI85" i="31" s="1"/>
  <c r="CR72" i="31"/>
  <c r="CR84" i="31" s="1"/>
  <c r="CJ72" i="31"/>
  <c r="CJ84" i="31" s="1"/>
  <c r="CB72" i="31"/>
  <c r="CB84" i="31" s="1"/>
  <c r="CS71" i="31"/>
  <c r="CS82" i="31" s="1"/>
  <c r="CK71" i="31"/>
  <c r="CK82" i="31" s="1"/>
  <c r="CC71" i="31"/>
  <c r="CC82" i="31" s="1"/>
  <c r="CT70" i="31"/>
  <c r="CT81" i="31" s="1"/>
  <c r="CL70" i="31"/>
  <c r="CL81" i="31" s="1"/>
  <c r="CD70" i="31"/>
  <c r="CD81" i="31" s="1"/>
  <c r="CU69" i="31"/>
  <c r="CU80" i="31" s="1"/>
  <c r="CM69" i="31"/>
  <c r="CM80" i="31" s="1"/>
  <c r="CE69" i="31"/>
  <c r="CE80" i="31" s="1"/>
  <c r="CV68" i="31"/>
  <c r="CV79" i="31" s="1"/>
  <c r="CN68" i="31"/>
  <c r="CN79" i="31" s="1"/>
  <c r="CF68" i="31"/>
  <c r="CF79" i="31" s="1"/>
  <c r="CW67" i="31"/>
  <c r="CW78" i="31" s="1"/>
  <c r="CO67" i="31"/>
  <c r="CO78" i="31" s="1"/>
  <c r="CG67" i="31"/>
  <c r="CG78" i="31" s="1"/>
  <c r="CX66" i="31"/>
  <c r="CX77" i="31" s="1"/>
  <c r="CP66" i="31"/>
  <c r="CP77" i="31" s="1"/>
  <c r="CH66" i="31"/>
  <c r="CH77" i="31" s="1"/>
  <c r="CY65" i="31"/>
  <c r="CY76" i="31" s="1"/>
  <c r="CQ65" i="31"/>
  <c r="CQ76" i="31" s="1"/>
  <c r="CI65" i="31"/>
  <c r="CI76" i="31" s="1"/>
  <c r="CR64" i="31"/>
  <c r="CR75" i="31" s="1"/>
  <c r="CJ64" i="31"/>
  <c r="CJ75" i="31" s="1"/>
  <c r="CB64" i="31"/>
  <c r="CB75" i="31" s="1"/>
  <c r="DR72" i="31"/>
  <c r="DR84" i="31" s="1"/>
  <c r="DT70" i="31"/>
  <c r="DT81" i="31" s="1"/>
  <c r="DN68" i="31"/>
  <c r="DN79" i="31" s="1"/>
  <c r="DP66" i="31"/>
  <c r="DP77" i="31" s="1"/>
  <c r="DR64" i="31"/>
  <c r="DR75" i="31" s="1"/>
  <c r="CH73" i="31"/>
  <c r="CH85" i="31" s="1"/>
  <c r="CH72" i="31"/>
  <c r="CH84" i="31" s="1"/>
  <c r="CJ71" i="31"/>
  <c r="CJ82" i="31" s="1"/>
  <c r="CO70" i="31"/>
  <c r="CO81" i="31" s="1"/>
  <c r="CT69" i="31"/>
  <c r="CT80" i="31" s="1"/>
  <c r="CE68" i="31"/>
  <c r="CE79" i="31" s="1"/>
  <c r="CJ67" i="31"/>
  <c r="CJ78" i="31" s="1"/>
  <c r="CO66" i="31"/>
  <c r="CO77" i="31" s="1"/>
  <c r="CW65" i="31"/>
  <c r="CW76" i="31" s="1"/>
  <c r="CH64" i="31"/>
  <c r="CH75" i="31" s="1"/>
  <c r="BP73" i="31"/>
  <c r="BP85" i="31" s="1"/>
  <c r="BH73" i="31"/>
  <c r="BH85" i="31" s="1"/>
  <c r="AZ73" i="31"/>
  <c r="AZ85" i="31" s="1"/>
  <c r="BP72" i="31"/>
  <c r="BP84" i="31" s="1"/>
  <c r="BH72" i="31"/>
  <c r="BH84" i="31" s="1"/>
  <c r="AZ72" i="31"/>
  <c r="AZ84" i="31" s="1"/>
  <c r="BP71" i="31"/>
  <c r="BP82" i="31" s="1"/>
  <c r="BH71" i="31"/>
  <c r="BH82" i="31" s="1"/>
  <c r="AZ71" i="31"/>
  <c r="AZ82" i="31" s="1"/>
  <c r="BP70" i="31"/>
  <c r="BP81" i="31" s="1"/>
  <c r="BH70" i="31"/>
  <c r="BH81" i="31" s="1"/>
  <c r="AZ70" i="31"/>
  <c r="AZ81" i="31" s="1"/>
  <c r="BP69" i="31"/>
  <c r="BP80" i="31" s="1"/>
  <c r="BH69" i="31"/>
  <c r="BH80" i="31" s="1"/>
  <c r="AZ69" i="31"/>
  <c r="AZ80" i="31" s="1"/>
  <c r="BP68" i="31"/>
  <c r="BP79" i="31" s="1"/>
  <c r="BH68" i="31"/>
  <c r="BH79" i="31" s="1"/>
  <c r="AZ68" i="31"/>
  <c r="AZ79" i="31" s="1"/>
  <c r="BP67" i="31"/>
  <c r="BP78" i="31" s="1"/>
  <c r="BH67" i="31"/>
  <c r="BH154" i="31" s="1"/>
  <c r="AZ67" i="31"/>
  <c r="BP66" i="31"/>
  <c r="BH66" i="31"/>
  <c r="AZ66" i="31"/>
  <c r="BP65" i="31"/>
  <c r="BH65" i="31"/>
  <c r="BH152" i="31" s="1"/>
  <c r="AZ65" i="31"/>
  <c r="AZ152" i="31" s="1"/>
  <c r="BP64" i="31"/>
  <c r="BP151" i="31" s="1"/>
  <c r="BH64" i="31"/>
  <c r="BH151" i="31" s="1"/>
  <c r="AZ64" i="31"/>
  <c r="AZ151" i="31" s="1"/>
  <c r="DJ72" i="31"/>
  <c r="DJ84" i="31" s="1"/>
  <c r="DL70" i="31"/>
  <c r="DL81" i="31" s="1"/>
  <c r="DF68" i="31"/>
  <c r="DF79" i="31" s="1"/>
  <c r="DH66" i="31"/>
  <c r="DH77" i="31" s="1"/>
  <c r="DJ64" i="31"/>
  <c r="DJ75" i="31" s="1"/>
  <c r="CG73" i="31"/>
  <c r="CG85" i="31" s="1"/>
  <c r="CE72" i="31"/>
  <c r="CE84" i="31" s="1"/>
  <c r="CI71" i="31"/>
  <c r="CI82" i="31" s="1"/>
  <c r="CK70" i="31"/>
  <c r="CK81" i="31" s="1"/>
  <c r="CS69" i="31"/>
  <c r="CS80" i="31" s="1"/>
  <c r="CY68" i="31"/>
  <c r="CY79" i="31" s="1"/>
  <c r="CD68" i="31"/>
  <c r="CD79" i="31" s="1"/>
  <c r="CF67" i="31"/>
  <c r="CF78" i="31" s="1"/>
  <c r="CN66" i="31"/>
  <c r="CN77" i="31" s="1"/>
  <c r="CT65" i="31"/>
  <c r="CT76" i="31" s="1"/>
  <c r="CY64" i="31"/>
  <c r="CY75" i="31" s="1"/>
  <c r="CE64" i="31"/>
  <c r="CE75" i="31" s="1"/>
  <c r="BO73" i="31"/>
  <c r="BO85" i="31" s="1"/>
  <c r="BG73" i="31"/>
  <c r="BG85" i="31" s="1"/>
  <c r="AY73" i="31"/>
  <c r="AY85" i="31" s="1"/>
  <c r="BO72" i="31"/>
  <c r="BO84" i="31" s="1"/>
  <c r="BG72" i="31"/>
  <c r="BG84" i="31" s="1"/>
  <c r="AY72" i="31"/>
  <c r="AY84" i="31" s="1"/>
  <c r="BO71" i="31"/>
  <c r="BO82" i="31" s="1"/>
  <c r="BG71" i="31"/>
  <c r="BG82" i="31" s="1"/>
  <c r="AY71" i="31"/>
  <c r="AY82" i="31" s="1"/>
  <c r="BO70" i="31"/>
  <c r="BO81" i="31" s="1"/>
  <c r="BG70" i="31"/>
  <c r="BG81" i="31" s="1"/>
  <c r="AY70" i="31"/>
  <c r="AY81" i="31" s="1"/>
  <c r="BO69" i="31"/>
  <c r="BO80" i="31" s="1"/>
  <c r="BG69" i="31"/>
  <c r="BG80" i="31" s="1"/>
  <c r="AY69" i="31"/>
  <c r="AY80" i="31" s="1"/>
  <c r="BO68" i="31"/>
  <c r="BO79" i="31" s="1"/>
  <c r="BG68" i="31"/>
  <c r="BG79" i="31" s="1"/>
  <c r="AY68" i="31"/>
  <c r="AY79" i="31" s="1"/>
  <c r="BO67" i="31"/>
  <c r="BO78" i="31" s="1"/>
  <c r="BG67" i="31"/>
  <c r="AY67" i="31"/>
  <c r="BO66" i="31"/>
  <c r="BG66" i="31"/>
  <c r="AY66" i="31"/>
  <c r="BO65" i="31"/>
  <c r="BG65" i="31"/>
  <c r="BG152" i="31" s="1"/>
  <c r="AY65" i="31"/>
  <c r="AY152" i="31" s="1"/>
  <c r="BO64" i="31"/>
  <c r="BO151" i="31" s="1"/>
  <c r="BG64" i="31"/>
  <c r="BG151" i="31" s="1"/>
  <c r="AY64" i="31"/>
  <c r="AY151" i="31" s="1"/>
  <c r="CF71" i="31"/>
  <c r="CF82" i="31" s="1"/>
  <c r="CJ70" i="31"/>
  <c r="CJ81" i="31" s="1"/>
  <c r="CP69" i="31"/>
  <c r="CP80" i="31" s="1"/>
  <c r="CU68" i="31"/>
  <c r="CU79" i="31" s="1"/>
  <c r="CE67" i="31"/>
  <c r="CE78" i="31" s="1"/>
  <c r="CK66" i="31"/>
  <c r="CK77" i="31" s="1"/>
  <c r="CP65" i="31"/>
  <c r="CP76" i="31" s="1"/>
  <c r="CX64" i="31"/>
  <c r="CX75" i="31" s="1"/>
  <c r="DY73" i="31"/>
  <c r="DY85" i="31" s="1"/>
  <c r="EA71" i="31"/>
  <c r="EA82" i="31" s="1"/>
  <c r="DU69" i="31"/>
  <c r="DU80" i="31" s="1"/>
  <c r="DW67" i="31"/>
  <c r="DW78" i="31" s="1"/>
  <c r="DY65" i="31"/>
  <c r="DY76" i="31" s="1"/>
  <c r="CY72" i="31"/>
  <c r="CY84" i="31" s="1"/>
  <c r="CY71" i="31"/>
  <c r="CY82" i="31" s="1"/>
  <c r="CB71" i="31"/>
  <c r="CB82" i="31" s="1"/>
  <c r="CG70" i="31"/>
  <c r="CG81" i="31" s="1"/>
  <c r="CL69" i="31"/>
  <c r="CL80" i="31" s="1"/>
  <c r="CT68" i="31"/>
  <c r="CT79" i="31" s="1"/>
  <c r="CV67" i="31"/>
  <c r="CV78" i="31" s="1"/>
  <c r="CB67" i="31"/>
  <c r="CB78" i="31" s="1"/>
  <c r="CG66" i="31"/>
  <c r="CG77" i="31" s="1"/>
  <c r="CO65" i="31"/>
  <c r="CO76" i="31" s="1"/>
  <c r="CU64" i="31"/>
  <c r="CU75" i="31" s="1"/>
  <c r="BM73" i="31"/>
  <c r="BM85" i="31" s="1"/>
  <c r="BE73" i="31"/>
  <c r="BE85" i="31" s="1"/>
  <c r="AW73" i="31"/>
  <c r="AW85" i="31" s="1"/>
  <c r="BM72" i="31"/>
  <c r="BM84" i="31" s="1"/>
  <c r="BE72" i="31"/>
  <c r="BE84" i="31" s="1"/>
  <c r="AW72" i="31"/>
  <c r="AW84" i="31" s="1"/>
  <c r="BM71" i="31"/>
  <c r="BM82" i="31" s="1"/>
  <c r="BE71" i="31"/>
  <c r="BE82" i="31" s="1"/>
  <c r="AW71" i="31"/>
  <c r="AW82" i="31" s="1"/>
  <c r="BM70" i="31"/>
  <c r="BM81" i="31" s="1"/>
  <c r="BE70" i="31"/>
  <c r="BE81" i="31" s="1"/>
  <c r="AW70" i="31"/>
  <c r="AW81" i="31" s="1"/>
  <c r="BM69" i="31"/>
  <c r="BM80" i="31" s="1"/>
  <c r="BE69" i="31"/>
  <c r="BE80" i="31" s="1"/>
  <c r="AW69" i="31"/>
  <c r="AW80" i="31" s="1"/>
  <c r="BM68" i="31"/>
  <c r="BM79" i="31" s="1"/>
  <c r="BE68" i="31"/>
  <c r="BE79" i="31" s="1"/>
  <c r="AW68" i="31"/>
  <c r="AW79" i="31" s="1"/>
  <c r="BM67" i="31"/>
  <c r="BM78" i="31" s="1"/>
  <c r="BE67" i="31"/>
  <c r="AW67" i="31"/>
  <c r="BM66" i="31"/>
  <c r="BE66" i="31"/>
  <c r="AW66" i="31"/>
  <c r="BM65" i="31"/>
  <c r="BE65" i="31"/>
  <c r="BE152" i="31" s="1"/>
  <c r="AW65" i="31"/>
  <c r="AW152" i="31" s="1"/>
  <c r="BM64" i="31"/>
  <c r="BM151" i="31" s="1"/>
  <c r="BE64" i="31"/>
  <c r="BE151" i="31" s="1"/>
  <c r="AW64" i="31"/>
  <c r="AW151" i="31" s="1"/>
  <c r="DQ73" i="31"/>
  <c r="DQ85" i="31" s="1"/>
  <c r="DS71" i="31"/>
  <c r="DS82" i="31" s="1"/>
  <c r="DM69" i="31"/>
  <c r="DM80" i="31" s="1"/>
  <c r="DO67" i="31"/>
  <c r="DO78" i="31" s="1"/>
  <c r="DQ65" i="31"/>
  <c r="DQ76" i="31" s="1"/>
  <c r="CX73" i="31"/>
  <c r="CX85" i="31" s="1"/>
  <c r="CX72" i="31"/>
  <c r="CX84" i="31" s="1"/>
  <c r="CV71" i="31"/>
  <c r="CV82" i="31" s="1"/>
  <c r="CC70" i="31"/>
  <c r="CC81" i="31" s="1"/>
  <c r="CK69" i="31"/>
  <c r="CK80" i="31" s="1"/>
  <c r="CQ68" i="31"/>
  <c r="CQ79" i="31" s="1"/>
  <c r="CU67" i="31"/>
  <c r="CU78" i="31" s="1"/>
  <c r="CF66" i="31"/>
  <c r="CF77" i="31" s="1"/>
  <c r="CL65" i="31"/>
  <c r="CL76" i="31" s="1"/>
  <c r="CQ64" i="31"/>
  <c r="CQ75" i="31" s="1"/>
  <c r="DI73" i="31"/>
  <c r="DI85" i="31" s="1"/>
  <c r="DK71" i="31"/>
  <c r="DK82" i="31" s="1"/>
  <c r="DE69" i="31"/>
  <c r="DE80" i="31" s="1"/>
  <c r="DG67" i="31"/>
  <c r="DG78" i="31" s="1"/>
  <c r="DI65" i="31"/>
  <c r="DI76" i="31" s="1"/>
  <c r="CW73" i="31"/>
  <c r="CW85" i="31" s="1"/>
  <c r="CQ72" i="31"/>
  <c r="CQ84" i="31" s="1"/>
  <c r="CR71" i="31"/>
  <c r="CR82" i="31" s="1"/>
  <c r="CW70" i="31"/>
  <c r="CW81" i="31" s="1"/>
  <c r="CB70" i="31"/>
  <c r="CB81" i="31" s="1"/>
  <c r="CH69" i="31"/>
  <c r="CH80" i="31" s="1"/>
  <c r="CM68" i="31"/>
  <c r="CM79" i="31" s="1"/>
  <c r="CR67" i="31"/>
  <c r="CR78" i="31" s="1"/>
  <c r="CW66" i="31"/>
  <c r="CW77" i="31" s="1"/>
  <c r="CC66" i="31"/>
  <c r="CC77" i="31" s="1"/>
  <c r="CH65" i="31"/>
  <c r="CH76" i="31" s="1"/>
  <c r="CP64" i="31"/>
  <c r="CP75" i="31" s="1"/>
  <c r="BS73" i="31"/>
  <c r="BS85" i="31" s="1"/>
  <c r="BK73" i="31"/>
  <c r="BK85" i="31" s="1"/>
  <c r="BC73" i="31"/>
  <c r="BC85" i="31" s="1"/>
  <c r="BS72" i="31"/>
  <c r="BS84" i="31" s="1"/>
  <c r="BK72" i="31"/>
  <c r="BK84" i="31" s="1"/>
  <c r="BC72" i="31"/>
  <c r="BC84" i="31" s="1"/>
  <c r="BS71" i="31"/>
  <c r="BS82" i="31" s="1"/>
  <c r="BK71" i="31"/>
  <c r="BK82" i="31" s="1"/>
  <c r="BC71" i="31"/>
  <c r="BC82" i="31" s="1"/>
  <c r="BS70" i="31"/>
  <c r="BS81" i="31" s="1"/>
  <c r="BK70" i="31"/>
  <c r="BK81" i="31" s="1"/>
  <c r="BC70" i="31"/>
  <c r="BC81" i="31" s="1"/>
  <c r="BS69" i="31"/>
  <c r="BS80" i="31" s="1"/>
  <c r="BK69" i="31"/>
  <c r="BK80" i="31" s="1"/>
  <c r="BC69" i="31"/>
  <c r="BC80" i="31" s="1"/>
  <c r="BS68" i="31"/>
  <c r="BS79" i="31" s="1"/>
  <c r="BK68" i="31"/>
  <c r="BK79" i="31" s="1"/>
  <c r="BC68" i="31"/>
  <c r="BC79" i="31" s="1"/>
  <c r="BS67" i="31"/>
  <c r="BK67" i="31"/>
  <c r="BK78" i="31" s="1"/>
  <c r="BC67" i="31"/>
  <c r="BS66" i="31"/>
  <c r="BK66" i="31"/>
  <c r="BC66" i="31"/>
  <c r="BS65" i="31"/>
  <c r="BK65" i="31"/>
  <c r="BC65" i="31"/>
  <c r="BC152" i="31" s="1"/>
  <c r="BS64" i="31"/>
  <c r="BS151" i="31" s="1"/>
  <c r="BK64" i="31"/>
  <c r="BK151" i="31" s="1"/>
  <c r="BC64" i="31"/>
  <c r="BC151" i="31" s="1"/>
  <c r="CP73" i="31"/>
  <c r="CP85" i="31" s="1"/>
  <c r="CP72" i="31"/>
  <c r="CP84" i="31" s="1"/>
  <c r="CQ71" i="31"/>
  <c r="CQ82" i="31" s="1"/>
  <c r="CS70" i="31"/>
  <c r="CS81" i="31" s="1"/>
  <c r="CD69" i="31"/>
  <c r="CD80" i="31" s="1"/>
  <c r="CL68" i="31"/>
  <c r="CL79" i="31" s="1"/>
  <c r="CN67" i="31"/>
  <c r="CN78" i="31" s="1"/>
  <c r="CV66" i="31"/>
  <c r="CV77" i="31" s="1"/>
  <c r="CG65" i="31"/>
  <c r="CG76" i="31" s="1"/>
  <c r="CM64" i="31"/>
  <c r="CM75" i="31" s="1"/>
  <c r="DV68" i="31"/>
  <c r="DV79" i="31" s="1"/>
  <c r="CN71" i="31"/>
  <c r="CN82" i="31" s="1"/>
  <c r="CI64" i="31"/>
  <c r="CI75" i="31" s="1"/>
  <c r="BQ73" i="31"/>
  <c r="BQ85" i="31" s="1"/>
  <c r="BA73" i="31"/>
  <c r="BA85" i="31" s="1"/>
  <c r="BI72" i="31"/>
  <c r="BI84" i="31" s="1"/>
  <c r="BQ71" i="31"/>
  <c r="BQ82" i="31" s="1"/>
  <c r="BA71" i="31"/>
  <c r="BA82" i="31" s="1"/>
  <c r="BI70" i="31"/>
  <c r="BI81" i="31" s="1"/>
  <c r="BQ69" i="31"/>
  <c r="BQ80" i="31" s="1"/>
  <c r="BA69" i="31"/>
  <c r="BA80" i="31" s="1"/>
  <c r="BI68" i="31"/>
  <c r="BI79" i="31" s="1"/>
  <c r="BQ67" i="31"/>
  <c r="BA67" i="31"/>
  <c r="BI66" i="31"/>
  <c r="BQ65" i="31"/>
  <c r="BA65" i="31"/>
  <c r="BA152" i="31" s="1"/>
  <c r="BI64" i="31"/>
  <c r="BI151" i="31" s="1"/>
  <c r="CM67" i="31"/>
  <c r="CM78" i="31" s="1"/>
  <c r="BN73" i="31"/>
  <c r="BN85" i="31" s="1"/>
  <c r="AX73" i="31"/>
  <c r="AX85" i="31" s="1"/>
  <c r="BF72" i="31"/>
  <c r="BF84" i="31" s="1"/>
  <c r="BN71" i="31"/>
  <c r="BN82" i="31" s="1"/>
  <c r="AX71" i="31"/>
  <c r="AX82" i="31" s="1"/>
  <c r="BF70" i="31"/>
  <c r="BF81" i="31" s="1"/>
  <c r="BN69" i="31"/>
  <c r="BN80" i="31" s="1"/>
  <c r="AX69" i="31"/>
  <c r="AX80" i="31" s="1"/>
  <c r="BF68" i="31"/>
  <c r="BF79" i="31" s="1"/>
  <c r="BN67" i="31"/>
  <c r="BN78" i="31" s="1"/>
  <c r="AX67" i="31"/>
  <c r="BF66" i="31"/>
  <c r="BN65" i="31"/>
  <c r="AX65" i="31"/>
  <c r="AX152" i="31" s="1"/>
  <c r="BF64" i="31"/>
  <c r="BF151" i="31" s="1"/>
  <c r="DZ72" i="31"/>
  <c r="DZ84" i="31" s="1"/>
  <c r="DX66" i="31"/>
  <c r="DX77" i="31" s="1"/>
  <c r="CS66" i="31"/>
  <c r="CS77" i="31" s="1"/>
  <c r="BJ73" i="31"/>
  <c r="BJ85" i="31" s="1"/>
  <c r="BR72" i="31"/>
  <c r="BR84" i="31" s="1"/>
  <c r="BB72" i="31"/>
  <c r="BB84" i="31" s="1"/>
  <c r="BJ71" i="31"/>
  <c r="BJ82" i="31" s="1"/>
  <c r="BR70" i="31"/>
  <c r="BR81" i="31" s="1"/>
  <c r="BB70" i="31"/>
  <c r="BB81" i="31" s="1"/>
  <c r="BJ69" i="31"/>
  <c r="BJ80" i="31" s="1"/>
  <c r="BR68" i="31"/>
  <c r="BR79" i="31" s="1"/>
  <c r="BB68" i="31"/>
  <c r="BB79" i="31" s="1"/>
  <c r="BJ67" i="31"/>
  <c r="BJ78" i="31" s="1"/>
  <c r="BR66" i="31"/>
  <c r="BB66" i="31"/>
  <c r="BJ65" i="31"/>
  <c r="BR64" i="31"/>
  <c r="BR151" i="31" s="1"/>
  <c r="BB64" i="31"/>
  <c r="BB151" i="31" s="1"/>
  <c r="CO73" i="31"/>
  <c r="CO85" i="31" s="1"/>
  <c r="CX69" i="31"/>
  <c r="CX80" i="31" s="1"/>
  <c r="BI73" i="31"/>
  <c r="BI85" i="31" s="1"/>
  <c r="BQ72" i="31"/>
  <c r="BQ84" i="31" s="1"/>
  <c r="BA72" i="31"/>
  <c r="BA84" i="31" s="1"/>
  <c r="BI71" i="31"/>
  <c r="BI82" i="31" s="1"/>
  <c r="BQ70" i="31"/>
  <c r="BQ81" i="31" s="1"/>
  <c r="BA70" i="31"/>
  <c r="BA81" i="31" s="1"/>
  <c r="BI69" i="31"/>
  <c r="BI80" i="31" s="1"/>
  <c r="BQ68" i="31"/>
  <c r="BQ79" i="31" s="1"/>
  <c r="BA68" i="31"/>
  <c r="BA79" i="31" s="1"/>
  <c r="BI67" i="31"/>
  <c r="BI154" i="31" s="1"/>
  <c r="BQ66" i="31"/>
  <c r="BA66" i="31"/>
  <c r="BI65" i="31"/>
  <c r="BI152" i="31" s="1"/>
  <c r="BQ64" i="31"/>
  <c r="BQ151" i="31" s="1"/>
  <c r="BA64" i="31"/>
  <c r="BA151" i="31" s="1"/>
  <c r="EB70" i="31"/>
  <c r="EB81" i="31" s="1"/>
  <c r="CC69" i="31"/>
  <c r="CC80" i="31" s="1"/>
  <c r="CX65" i="31"/>
  <c r="CX76" i="31" s="1"/>
  <c r="BF73" i="31"/>
  <c r="BF85" i="31" s="1"/>
  <c r="BN72" i="31"/>
  <c r="BN84" i="31" s="1"/>
  <c r="AX72" i="31"/>
  <c r="AX84" i="31" s="1"/>
  <c r="BF71" i="31"/>
  <c r="BF82" i="31" s="1"/>
  <c r="BN70" i="31"/>
  <c r="BN81" i="31" s="1"/>
  <c r="AX70" i="31"/>
  <c r="AX81" i="31" s="1"/>
  <c r="BF69" i="31"/>
  <c r="BF80" i="31" s="1"/>
  <c r="BN68" i="31"/>
  <c r="BN79" i="31" s="1"/>
  <c r="AX68" i="31"/>
  <c r="AX79" i="31" s="1"/>
  <c r="BF67" i="31"/>
  <c r="BN66" i="31"/>
  <c r="AX66" i="31"/>
  <c r="BF65" i="31"/>
  <c r="BF152" i="31" s="1"/>
  <c r="BN64" i="31"/>
  <c r="BN151" i="31" s="1"/>
  <c r="AX64" i="31"/>
  <c r="AX151" i="31" s="1"/>
  <c r="DZ64" i="31"/>
  <c r="DZ75" i="31" s="1"/>
  <c r="CI72" i="31"/>
  <c r="CI84" i="31" s="1"/>
  <c r="CD65" i="31"/>
  <c r="CD76" i="31" s="1"/>
  <c r="BD73" i="31"/>
  <c r="BD85" i="31" s="1"/>
  <c r="BL72" i="31"/>
  <c r="BL84" i="31" s="1"/>
  <c r="AV72" i="31"/>
  <c r="AV84" i="31" s="1"/>
  <c r="BD71" i="31"/>
  <c r="BD82" i="31" s="1"/>
  <c r="BL70" i="31"/>
  <c r="BL81" i="31" s="1"/>
  <c r="AV70" i="31"/>
  <c r="AV81" i="31" s="1"/>
  <c r="BD69" i="31"/>
  <c r="BD80" i="31" s="1"/>
  <c r="BL68" i="31"/>
  <c r="BL79" i="31" s="1"/>
  <c r="AV68" i="31"/>
  <c r="AV79" i="31" s="1"/>
  <c r="BD67" i="31"/>
  <c r="BL66" i="31"/>
  <c r="AV66" i="31"/>
  <c r="BD65" i="31"/>
  <c r="BD152" i="31" s="1"/>
  <c r="BL64" i="31"/>
  <c r="BL151" i="31" s="1"/>
  <c r="AV64" i="31"/>
  <c r="AV151" i="31" s="1"/>
  <c r="BL71" i="31"/>
  <c r="BL82" i="31" s="1"/>
  <c r="AV69" i="31"/>
  <c r="AV80" i="31" s="1"/>
  <c r="BD66" i="31"/>
  <c r="CR70" i="31"/>
  <c r="CR81" i="31" s="1"/>
  <c r="BR73" i="31"/>
  <c r="BR85" i="31" s="1"/>
  <c r="BB71" i="31"/>
  <c r="BB82" i="31" s="1"/>
  <c r="BJ68" i="31"/>
  <c r="BJ79" i="31" s="1"/>
  <c r="BR65" i="31"/>
  <c r="BL73" i="31"/>
  <c r="BL85" i="31" s="1"/>
  <c r="AV71" i="31"/>
  <c r="AV82" i="31" s="1"/>
  <c r="BD68" i="31"/>
  <c r="BD79" i="31" s="1"/>
  <c r="BL65" i="31"/>
  <c r="BB73" i="31"/>
  <c r="BB85" i="31" s="1"/>
  <c r="BJ70" i="31"/>
  <c r="BJ81" i="31" s="1"/>
  <c r="BR67" i="31"/>
  <c r="BB65" i="31"/>
  <c r="BB152" i="31" s="1"/>
  <c r="CI68" i="31"/>
  <c r="CI79" i="31" s="1"/>
  <c r="AV73" i="31"/>
  <c r="AV85" i="31" s="1"/>
  <c r="BD70" i="31"/>
  <c r="BD81" i="31" s="1"/>
  <c r="BL67" i="31"/>
  <c r="BL78" i="31" s="1"/>
  <c r="AV65" i="31"/>
  <c r="AV152" i="31" s="1"/>
  <c r="BD72" i="31"/>
  <c r="BD84" i="31" s="1"/>
  <c r="BL69" i="31"/>
  <c r="BL80" i="31" s="1"/>
  <c r="AV67" i="31"/>
  <c r="BD64" i="31"/>
  <c r="BD151" i="31" s="1"/>
  <c r="BR71" i="31"/>
  <c r="BR82" i="31" s="1"/>
  <c r="BR69" i="31"/>
  <c r="BR80" i="31" s="1"/>
  <c r="BB69" i="31"/>
  <c r="BB80" i="31" s="1"/>
  <c r="BB67" i="31"/>
  <c r="BJ66" i="31"/>
  <c r="BJ64" i="31"/>
  <c r="BJ151" i="31" s="1"/>
  <c r="BJ72" i="31"/>
  <c r="BJ84" i="31" s="1"/>
  <c r="DJ81" i="31"/>
  <c r="O255" i="31"/>
  <c r="O260" i="31"/>
  <c r="D269" i="31"/>
  <c r="D268" i="31"/>
  <c r="O259" i="31"/>
  <c r="O261" i="31"/>
  <c r="D271" i="31"/>
  <c r="O262" i="31"/>
  <c r="B94" i="29"/>
  <c r="K257" i="31"/>
  <c r="L257" i="31" s="1"/>
  <c r="K256" i="31"/>
  <c r="L256" i="31" s="1"/>
  <c r="P198" i="31"/>
  <c r="Q198" i="31" s="1"/>
  <c r="P199" i="31"/>
  <c r="Q199" i="31" s="1"/>
  <c r="O254" i="31"/>
  <c r="D263" i="31"/>
  <c r="I199" i="31"/>
  <c r="J199" i="31" s="1"/>
  <c r="I200" i="31"/>
  <c r="J200" i="31" s="1"/>
  <c r="I198" i="31"/>
  <c r="J198" i="31" s="1"/>
  <c r="J141" i="30" l="1"/>
  <c r="C219" i="31" s="1"/>
  <c r="D219" i="31" s="1"/>
  <c r="X248" i="30"/>
  <c r="AV77" i="31"/>
  <c r="AV153" i="31"/>
  <c r="BS77" i="31"/>
  <c r="BS153" i="31"/>
  <c r="BD77" i="31"/>
  <c r="BD134" i="31" s="1"/>
  <c r="BD153" i="31"/>
  <c r="AX77" i="31"/>
  <c r="AX134" i="31" s="1"/>
  <c r="AX153" i="31"/>
  <c r="AY77" i="31"/>
  <c r="AY153" i="31"/>
  <c r="BH77" i="31"/>
  <c r="BH153" i="31"/>
  <c r="BF77" i="31"/>
  <c r="BF134" i="31" s="1"/>
  <c r="BF153" i="31"/>
  <c r="BL77" i="31"/>
  <c r="BL134" i="31" s="1"/>
  <c r="BL153" i="31"/>
  <c r="BN77" i="31"/>
  <c r="BN153" i="31"/>
  <c r="BG77" i="31"/>
  <c r="BG153" i="31"/>
  <c r="BP77" i="31"/>
  <c r="BP134" i="31" s="1"/>
  <c r="BP153" i="31"/>
  <c r="BJ77" i="31"/>
  <c r="BJ123" i="31" s="1"/>
  <c r="BJ169" i="31" s="1"/>
  <c r="BJ153" i="31"/>
  <c r="BI77" i="31"/>
  <c r="BI153" i="31"/>
  <c r="BA77" i="31"/>
  <c r="BA153" i="31"/>
  <c r="AW77" i="31"/>
  <c r="AW134" i="31" s="1"/>
  <c r="AW153" i="31"/>
  <c r="BO77" i="31"/>
  <c r="BO134" i="31" s="1"/>
  <c r="BO153" i="31"/>
  <c r="AZ77" i="31"/>
  <c r="AZ153" i="31"/>
  <c r="BQ77" i="31"/>
  <c r="BQ153" i="31"/>
  <c r="BB77" i="31"/>
  <c r="BB134" i="31" s="1"/>
  <c r="BB153" i="31"/>
  <c r="BE77" i="31"/>
  <c r="BE134" i="31" s="1"/>
  <c r="BE153" i="31"/>
  <c r="BK77" i="31"/>
  <c r="BK153" i="31"/>
  <c r="BR77" i="31"/>
  <c r="BR153" i="31"/>
  <c r="BC77" i="31"/>
  <c r="BC153" i="31"/>
  <c r="BM77" i="31"/>
  <c r="BM134" i="31" s="1"/>
  <c r="BM153" i="31"/>
  <c r="BB78" i="31"/>
  <c r="BB154" i="31"/>
  <c r="BK76" i="31"/>
  <c r="BK152" i="31"/>
  <c r="BK160" i="31" s="1"/>
  <c r="BK161" i="31" s="1"/>
  <c r="BK162" i="31" s="1"/>
  <c r="AZ78" i="31"/>
  <c r="AZ135" i="31" s="1"/>
  <c r="AZ154" i="31"/>
  <c r="AZ160" i="31" s="1"/>
  <c r="AZ161" i="31" s="1"/>
  <c r="AZ162" i="31" s="1"/>
  <c r="BR78" i="31"/>
  <c r="BR135" i="31" s="1"/>
  <c r="BR154" i="31"/>
  <c r="BN76" i="31"/>
  <c r="BN152" i="31"/>
  <c r="BN160" i="31" s="1"/>
  <c r="BN161" i="31" s="1"/>
  <c r="BN162" i="31" s="1"/>
  <c r="BQ76" i="31"/>
  <c r="BQ152" i="31"/>
  <c r="BG78" i="31"/>
  <c r="BG124" i="31" s="1"/>
  <c r="BG170" i="31" s="1"/>
  <c r="BG154" i="31"/>
  <c r="BG160" i="31" s="1"/>
  <c r="BG161" i="31" s="1"/>
  <c r="BG162" i="31" s="1"/>
  <c r="BF78" i="31"/>
  <c r="BF135" i="31" s="1"/>
  <c r="BF154" i="31"/>
  <c r="BJ76" i="31"/>
  <c r="BJ133" i="31" s="1"/>
  <c r="BJ152" i="31"/>
  <c r="AV78" i="31"/>
  <c r="AV124" i="31" s="1"/>
  <c r="AV170" i="31" s="1"/>
  <c r="AV154" i="31"/>
  <c r="AV160" i="31" s="1"/>
  <c r="AV161" i="31" s="1"/>
  <c r="AV162" i="31" s="1"/>
  <c r="BR76" i="31"/>
  <c r="BR133" i="31" s="1"/>
  <c r="BR152" i="31"/>
  <c r="BS76" i="31"/>
  <c r="BS133" i="31" s="1"/>
  <c r="BS152" i="31"/>
  <c r="AY78" i="31"/>
  <c r="AY154" i="31"/>
  <c r="AY160" i="31" s="1"/>
  <c r="AY161" i="31" s="1"/>
  <c r="AY162" i="31" s="1"/>
  <c r="AW78" i="31"/>
  <c r="AW135" i="31" s="1"/>
  <c r="AW154" i="31"/>
  <c r="AX78" i="31"/>
  <c r="AX124" i="31" s="1"/>
  <c r="AX170" i="31" s="1"/>
  <c r="AX154" i="31"/>
  <c r="BA78" i="31"/>
  <c r="BA135" i="31" s="1"/>
  <c r="BA154" i="31"/>
  <c r="BE78" i="31"/>
  <c r="BE135" i="31" s="1"/>
  <c r="BE154" i="31"/>
  <c r="BP76" i="31"/>
  <c r="BP133" i="31" s="1"/>
  <c r="BP152" i="31"/>
  <c r="BL76" i="31"/>
  <c r="BL133" i="31" s="1"/>
  <c r="BL152" i="31"/>
  <c r="BQ78" i="31"/>
  <c r="BQ124" i="31" s="1"/>
  <c r="BQ170" i="31" s="1"/>
  <c r="BQ154" i="31"/>
  <c r="BC78" i="31"/>
  <c r="BC135" i="31" s="1"/>
  <c r="BC154" i="31"/>
  <c r="BO76" i="31"/>
  <c r="BO133" i="31" s="1"/>
  <c r="BO152" i="31"/>
  <c r="BD78" i="31"/>
  <c r="BD135" i="31" s="1"/>
  <c r="BD154" i="31"/>
  <c r="BD160" i="31" s="1"/>
  <c r="BD161" i="31" s="1"/>
  <c r="BD162" i="31" s="1"/>
  <c r="BS78" i="31"/>
  <c r="BS135" i="31" s="1"/>
  <c r="BS154" i="31"/>
  <c r="BM76" i="31"/>
  <c r="BM133" i="31" s="1"/>
  <c r="BM152" i="31"/>
  <c r="AZ75" i="31"/>
  <c r="AZ132" i="31" s="1"/>
  <c r="BP75" i="31"/>
  <c r="BP132" i="31" s="1"/>
  <c r="V198" i="31"/>
  <c r="W198" i="31" s="1"/>
  <c r="W200" i="31" s="1"/>
  <c r="D203" i="31" s="1"/>
  <c r="BH78" i="31"/>
  <c r="BH135" i="31" s="1"/>
  <c r="BG75" i="31"/>
  <c r="BG121" i="31" s="1"/>
  <c r="BG167" i="31" s="1"/>
  <c r="BA76" i="31"/>
  <c r="BA133" i="31" s="1"/>
  <c r="AL208" i="31"/>
  <c r="AP204" i="31"/>
  <c r="AQ204" i="31" s="1"/>
  <c r="AP203" i="31"/>
  <c r="AQ203" i="31" s="1"/>
  <c r="AP202" i="31"/>
  <c r="AQ202" i="31" s="1"/>
  <c r="AP201" i="31"/>
  <c r="AQ201" i="31" s="1"/>
  <c r="AP200" i="31"/>
  <c r="AQ200" i="31" s="1"/>
  <c r="BI76" i="31"/>
  <c r="BI133" i="31" s="1"/>
  <c r="BR75" i="31"/>
  <c r="BR121" i="31" s="1"/>
  <c r="BR167" i="31" s="1"/>
  <c r="BC76" i="31"/>
  <c r="BC133" i="31" s="1"/>
  <c r="AV75" i="31"/>
  <c r="AV132" i="31" s="1"/>
  <c r="AX76" i="31"/>
  <c r="AX133" i="31" s="1"/>
  <c r="BB76" i="31"/>
  <c r="BB122" i="31" s="1"/>
  <c r="BB168" i="31" s="1"/>
  <c r="BN75" i="31"/>
  <c r="BN132" i="31" s="1"/>
  <c r="BC75" i="31"/>
  <c r="BC132" i="31" s="1"/>
  <c r="BG76" i="31"/>
  <c r="BG133" i="31" s="1"/>
  <c r="BM75" i="31"/>
  <c r="BM121" i="31" s="1"/>
  <c r="BM167" i="31" s="1"/>
  <c r="AV76" i="31"/>
  <c r="AV133" i="31" s="1"/>
  <c r="BF75" i="31"/>
  <c r="BF121" i="31" s="1"/>
  <c r="BF167" i="31" s="1"/>
  <c r="BA75" i="31"/>
  <c r="BA132" i="31" s="1"/>
  <c r="AY75" i="31"/>
  <c r="AY121" i="31" s="1"/>
  <c r="AY167" i="31" s="1"/>
  <c r="BK75" i="31"/>
  <c r="BK132" i="31" s="1"/>
  <c r="AW76" i="31"/>
  <c r="AW133" i="31" s="1"/>
  <c r="BF76" i="31"/>
  <c r="BF122" i="31" s="1"/>
  <c r="BF168" i="31" s="1"/>
  <c r="BE75" i="31"/>
  <c r="BE132" i="31" s="1"/>
  <c r="AX75" i="31"/>
  <c r="AX132" i="31" s="1"/>
  <c r="BD76" i="31"/>
  <c r="BD122" i="31" s="1"/>
  <c r="BD168" i="31" s="1"/>
  <c r="BH160" i="31"/>
  <c r="BH161" i="31" s="1"/>
  <c r="BH162" i="31" s="1"/>
  <c r="AY76" i="31"/>
  <c r="AY133" i="31" s="1"/>
  <c r="BH76" i="31"/>
  <c r="BH122" i="31" s="1"/>
  <c r="BH168" i="31" s="1"/>
  <c r="BB160" i="31"/>
  <c r="BB161" i="31" s="1"/>
  <c r="BB162" i="31" s="1"/>
  <c r="AZ76" i="31"/>
  <c r="AZ133" i="31" s="1"/>
  <c r="BO75" i="31"/>
  <c r="BO121" i="31" s="1"/>
  <c r="BO167" i="31" s="1"/>
  <c r="BI160" i="31"/>
  <c r="BI161" i="31" s="1"/>
  <c r="BI162" i="31" s="1"/>
  <c r="D267" i="31"/>
  <c r="O258" i="31"/>
  <c r="J201" i="31"/>
  <c r="D201" i="31" s="1"/>
  <c r="BE76" i="31"/>
  <c r="BE133" i="31" s="1"/>
  <c r="BS75" i="31"/>
  <c r="BS132" i="31" s="1"/>
  <c r="BD75" i="31"/>
  <c r="BD132" i="31" s="1"/>
  <c r="BI75" i="31"/>
  <c r="BI132" i="31" s="1"/>
  <c r="Q200" i="31"/>
  <c r="D202" i="31" s="1"/>
  <c r="BB75" i="31"/>
  <c r="BB132" i="31" s="1"/>
  <c r="BH75" i="31"/>
  <c r="BH121" i="31" s="1"/>
  <c r="BH167" i="31" s="1"/>
  <c r="BJ75" i="31"/>
  <c r="BJ121" i="31" s="1"/>
  <c r="BJ167" i="31" s="1"/>
  <c r="BL75" i="31"/>
  <c r="BL132" i="31" s="1"/>
  <c r="AW75" i="31"/>
  <c r="AW121" i="31" s="1"/>
  <c r="AW167" i="31" s="1"/>
  <c r="BI78" i="31"/>
  <c r="BI135" i="31" s="1"/>
  <c r="BQ75" i="31"/>
  <c r="BQ132" i="31" s="1"/>
  <c r="T208" i="31"/>
  <c r="X208" i="31" s="1"/>
  <c r="CP135" i="31"/>
  <c r="CP124" i="31"/>
  <c r="CP170" i="31" s="1"/>
  <c r="DQ132" i="31"/>
  <c r="DQ121" i="31"/>
  <c r="DQ167" i="31" s="1"/>
  <c r="DR132" i="31"/>
  <c r="DR121" i="31"/>
  <c r="DR167" i="31" s="1"/>
  <c r="BE138" i="31"/>
  <c r="BE127" i="31"/>
  <c r="BE173" i="31" s="1"/>
  <c r="CL133" i="31"/>
  <c r="CL122" i="31"/>
  <c r="CL168" i="31" s="1"/>
  <c r="DM138" i="31"/>
  <c r="DM127" i="31"/>
  <c r="DM173" i="31" s="1"/>
  <c r="CB132" i="31"/>
  <c r="CB121" i="31"/>
  <c r="CB167" i="31" s="1"/>
  <c r="CT138" i="31"/>
  <c r="CT127" i="31"/>
  <c r="CT173" i="31" s="1"/>
  <c r="DX133" i="31"/>
  <c r="DX122" i="31"/>
  <c r="DX168" i="31" s="1"/>
  <c r="BF140" i="31"/>
  <c r="BF129" i="31"/>
  <c r="BF175" i="31" s="1"/>
  <c r="BI138" i="31"/>
  <c r="BI127" i="31"/>
  <c r="BI173" i="31" s="1"/>
  <c r="DI141" i="31"/>
  <c r="DI130" i="31"/>
  <c r="DI176" i="31" s="1"/>
  <c r="CN135" i="31"/>
  <c r="CN124" i="31"/>
  <c r="CN170" i="31" s="1"/>
  <c r="DJ141" i="31"/>
  <c r="DJ130" i="31"/>
  <c r="DJ176" i="31" s="1"/>
  <c r="CQ141" i="31"/>
  <c r="CQ130" i="31"/>
  <c r="CQ176" i="31" s="1"/>
  <c r="D270" i="31"/>
  <c r="D264" i="31"/>
  <c r="CY138" i="31"/>
  <c r="CY127" i="31"/>
  <c r="CY173" i="31" s="1"/>
  <c r="DX137" i="31"/>
  <c r="DX126" i="31"/>
  <c r="DX172" i="31" s="1"/>
  <c r="AX136" i="31"/>
  <c r="AX125" i="31"/>
  <c r="AX171" i="31" s="1"/>
  <c r="DF132" i="31"/>
  <c r="DF121" i="31"/>
  <c r="DF167" i="31" s="1"/>
  <c r="CF137" i="31"/>
  <c r="CF126" i="31"/>
  <c r="CF172" i="31" s="1"/>
  <c r="DI132" i="31"/>
  <c r="DI121" i="31"/>
  <c r="DI167" i="31" s="1"/>
  <c r="CN137" i="31"/>
  <c r="CN126" i="31"/>
  <c r="CN172" i="31" s="1"/>
  <c r="CJ133" i="31"/>
  <c r="CJ122" i="31"/>
  <c r="CJ168" i="31" s="1"/>
  <c r="EA138" i="31"/>
  <c r="EA127" i="31"/>
  <c r="EA173" i="31" s="1"/>
  <c r="CT139" i="31"/>
  <c r="CT128" i="31"/>
  <c r="CT174" i="31" s="1"/>
  <c r="CR133" i="31"/>
  <c r="CR122" i="31"/>
  <c r="CR168" i="31" s="1"/>
  <c r="CI138" i="31"/>
  <c r="CI127" i="31"/>
  <c r="CI173" i="31" s="1"/>
  <c r="CW133" i="31"/>
  <c r="CW122" i="31"/>
  <c r="CW168" i="31" s="1"/>
  <c r="DZ132" i="31"/>
  <c r="DZ121" i="31"/>
  <c r="DZ167" i="31" s="1"/>
  <c r="DM133" i="31"/>
  <c r="DM122" i="31"/>
  <c r="DM168" i="31" s="1"/>
  <c r="DH134" i="31"/>
  <c r="DH123" i="31"/>
  <c r="DH169" i="31" s="1"/>
  <c r="CY135" i="31"/>
  <c r="CY124" i="31"/>
  <c r="CY170" i="31" s="1"/>
  <c r="CL136" i="31"/>
  <c r="CL125" i="31"/>
  <c r="CL171" i="31" s="1"/>
  <c r="CG137" i="31"/>
  <c r="CG126" i="31"/>
  <c r="CG172" i="31" s="1"/>
  <c r="BM138" i="31"/>
  <c r="BM127" i="31"/>
  <c r="BM173" i="31" s="1"/>
  <c r="BH139" i="31"/>
  <c r="BH128" i="31"/>
  <c r="BH174" i="31" s="1"/>
  <c r="BC140" i="31"/>
  <c r="BC129" i="31"/>
  <c r="BC175" i="31" s="1"/>
  <c r="DZ140" i="31"/>
  <c r="DZ129" i="31"/>
  <c r="DZ175" i="31" s="1"/>
  <c r="DM141" i="31"/>
  <c r="DM130" i="31"/>
  <c r="DM176" i="31" s="1"/>
  <c r="DK132" i="31"/>
  <c r="DK121" i="31"/>
  <c r="DK167" i="31" s="1"/>
  <c r="CT133" i="31"/>
  <c r="CT122" i="31"/>
  <c r="CT168" i="31" s="1"/>
  <c r="CO134" i="31"/>
  <c r="CO123" i="31"/>
  <c r="CO169" i="31" s="1"/>
  <c r="CB135" i="31"/>
  <c r="CB124" i="31"/>
  <c r="CB170" i="31" s="1"/>
  <c r="BP136" i="31"/>
  <c r="BP125" i="31"/>
  <c r="BP171" i="31" s="1"/>
  <c r="BK137" i="31"/>
  <c r="BK126" i="31"/>
  <c r="BK172" i="31" s="1"/>
  <c r="AX138" i="31"/>
  <c r="AX127" i="31"/>
  <c r="AX173" i="31" s="1"/>
  <c r="DU138" i="31"/>
  <c r="DU127" i="31"/>
  <c r="DU173" i="31" s="1"/>
  <c r="DP139" i="31"/>
  <c r="DP128" i="31"/>
  <c r="DP174" i="31" s="1"/>
  <c r="DK140" i="31"/>
  <c r="DK129" i="31"/>
  <c r="DK175" i="31" s="1"/>
  <c r="CT141" i="31"/>
  <c r="CT130" i="31"/>
  <c r="CT176" i="31" s="1"/>
  <c r="CJ132" i="31"/>
  <c r="CJ121" i="31"/>
  <c r="CJ167" i="31" s="1"/>
  <c r="CE133" i="31"/>
  <c r="CE122" i="31"/>
  <c r="CE168" i="31" s="1"/>
  <c r="BS134" i="31"/>
  <c r="BS123" i="31"/>
  <c r="BS169" i="31" s="1"/>
  <c r="BA136" i="31"/>
  <c r="BA125" i="31"/>
  <c r="BA171" i="31" s="1"/>
  <c r="DX136" i="31"/>
  <c r="DX125" i="31"/>
  <c r="DX171" i="31" s="1"/>
  <c r="DS137" i="31"/>
  <c r="DS126" i="31"/>
  <c r="DS172" i="31" s="1"/>
  <c r="DF138" i="31"/>
  <c r="DF127" i="31"/>
  <c r="DF173" i="31" s="1"/>
  <c r="CW139" i="31"/>
  <c r="CW128" i="31"/>
  <c r="CW174" i="31" s="1"/>
  <c r="CJ140" i="31"/>
  <c r="CJ129" i="31"/>
  <c r="CJ175" i="31" s="1"/>
  <c r="CE141" i="31"/>
  <c r="CE130" i="31"/>
  <c r="CE176" i="31" s="1"/>
  <c r="AV134" i="31"/>
  <c r="AV123" i="31"/>
  <c r="AV169" i="31" s="1"/>
  <c r="EA134" i="31"/>
  <c r="EA123" i="31"/>
  <c r="EA169" i="31" s="1"/>
  <c r="DN135" i="31"/>
  <c r="DN124" i="31"/>
  <c r="DN170" i="31" s="1"/>
  <c r="DI136" i="31"/>
  <c r="DI125" i="31"/>
  <c r="DI171" i="31" s="1"/>
  <c r="CR137" i="31"/>
  <c r="CR126" i="31"/>
  <c r="CR172" i="31" s="1"/>
  <c r="CM138" i="31"/>
  <c r="CM127" i="31"/>
  <c r="CM173" i="31" s="1"/>
  <c r="CH139" i="31"/>
  <c r="CH128" i="31"/>
  <c r="CH174" i="31" s="1"/>
  <c r="BN140" i="31"/>
  <c r="BN129" i="31"/>
  <c r="BN175" i="31" s="1"/>
  <c r="BI141" i="31"/>
  <c r="BI130" i="31"/>
  <c r="BI176" i="31" s="1"/>
  <c r="DL134" i="31"/>
  <c r="DL123" i="31"/>
  <c r="DL169" i="31" s="1"/>
  <c r="CU135" i="31"/>
  <c r="CU124" i="31"/>
  <c r="CU170" i="31" s="1"/>
  <c r="CP136" i="31"/>
  <c r="CP125" i="31"/>
  <c r="CP171" i="31" s="1"/>
  <c r="CC137" i="31"/>
  <c r="CC126" i="31"/>
  <c r="CC172" i="31" s="1"/>
  <c r="BQ138" i="31"/>
  <c r="BQ127" i="31"/>
  <c r="BQ173" i="31" s="1"/>
  <c r="BD139" i="31"/>
  <c r="BD128" i="31"/>
  <c r="BD174" i="31" s="1"/>
  <c r="AY140" i="31"/>
  <c r="AY129" i="31"/>
  <c r="AY175" i="31" s="1"/>
  <c r="DV140" i="31"/>
  <c r="DV129" i="31"/>
  <c r="DV175" i="31" s="1"/>
  <c r="DQ141" i="31"/>
  <c r="DQ130" i="31"/>
  <c r="DQ176" i="31" s="1"/>
  <c r="DW132" i="31"/>
  <c r="DW121" i="31"/>
  <c r="DW167" i="31" s="1"/>
  <c r="DR133" i="31"/>
  <c r="DR122" i="31"/>
  <c r="DR168" i="31" s="1"/>
  <c r="DE134" i="31"/>
  <c r="DE123" i="31"/>
  <c r="DE169" i="31" s="1"/>
  <c r="CV135" i="31"/>
  <c r="CV124" i="31"/>
  <c r="CV170" i="31" s="1"/>
  <c r="CQ136" i="31"/>
  <c r="CQ125" i="31"/>
  <c r="CQ171" i="31" s="1"/>
  <c r="CD137" i="31"/>
  <c r="CD126" i="31"/>
  <c r="CD172" i="31" s="1"/>
  <c r="BR138" i="31"/>
  <c r="BR127" i="31"/>
  <c r="BR173" i="31" s="1"/>
  <c r="BE139" i="31"/>
  <c r="BE128" i="31"/>
  <c r="BE174" i="31" s="1"/>
  <c r="AZ140" i="31"/>
  <c r="AZ129" i="31"/>
  <c r="AZ175" i="31" s="1"/>
  <c r="DW140" i="31"/>
  <c r="DW129" i="31"/>
  <c r="DW175" i="31" s="1"/>
  <c r="DR141" i="31"/>
  <c r="DR130" i="31"/>
  <c r="DR176" i="31" s="1"/>
  <c r="DH132" i="31"/>
  <c r="DH121" i="31"/>
  <c r="DH167" i="31" s="1"/>
  <c r="CY133" i="31"/>
  <c r="CY122" i="31"/>
  <c r="CY168" i="31" s="1"/>
  <c r="CL134" i="31"/>
  <c r="CL123" i="31"/>
  <c r="CL169" i="31" s="1"/>
  <c r="CG135" i="31"/>
  <c r="CG124" i="31"/>
  <c r="CG170" i="31" s="1"/>
  <c r="BM136" i="31"/>
  <c r="BM125" i="31"/>
  <c r="BM171" i="31" s="1"/>
  <c r="BH137" i="31"/>
  <c r="BH126" i="31"/>
  <c r="BH172" i="31" s="1"/>
  <c r="BC138" i="31"/>
  <c r="BC127" i="31"/>
  <c r="BC173" i="31" s="1"/>
  <c r="DZ138" i="31"/>
  <c r="DZ127" i="31"/>
  <c r="DZ173" i="31" s="1"/>
  <c r="DM139" i="31"/>
  <c r="DM128" i="31"/>
  <c r="DM174" i="31" s="1"/>
  <c r="DH140" i="31"/>
  <c r="DH129" i="31"/>
  <c r="DH175" i="31" s="1"/>
  <c r="CY141" i="31"/>
  <c r="CY130" i="31"/>
  <c r="CY176" i="31" s="1"/>
  <c r="DM136" i="31"/>
  <c r="DM125" i="31"/>
  <c r="DM171" i="31" s="1"/>
  <c r="CQ135" i="31"/>
  <c r="CQ124" i="31"/>
  <c r="CQ170" i="31" s="1"/>
  <c r="DE141" i="31"/>
  <c r="DE130" i="31"/>
  <c r="DE176" i="31" s="1"/>
  <c r="DZ137" i="31"/>
  <c r="DZ126" i="31"/>
  <c r="DZ172" i="31" s="1"/>
  <c r="DP136" i="31"/>
  <c r="DP125" i="31"/>
  <c r="DP171" i="31" s="1"/>
  <c r="CE138" i="31"/>
  <c r="CE127" i="31"/>
  <c r="CE173" i="31" s="1"/>
  <c r="BN137" i="31"/>
  <c r="BN126" i="31"/>
  <c r="BN172" i="31" s="1"/>
  <c r="DO132" i="31"/>
  <c r="DO121" i="31"/>
  <c r="DO167" i="31" s="1"/>
  <c r="CI136" i="31"/>
  <c r="CI125" i="31"/>
  <c r="CI171" i="31" s="1"/>
  <c r="DO140" i="31"/>
  <c r="DO129" i="31"/>
  <c r="DO175" i="31" s="1"/>
  <c r="CV140" i="31"/>
  <c r="CV129" i="31"/>
  <c r="CV175" i="31" s="1"/>
  <c r="DL141" i="31"/>
  <c r="DL130" i="31"/>
  <c r="DL176" i="31" s="1"/>
  <c r="AW141" i="31"/>
  <c r="AW130" i="31"/>
  <c r="AW176" i="31" s="1"/>
  <c r="DE136" i="31"/>
  <c r="DE125" i="31"/>
  <c r="DE171" i="31" s="1"/>
  <c r="CB133" i="31"/>
  <c r="CB122" i="31"/>
  <c r="CB168" i="31" s="1"/>
  <c r="AV138" i="31"/>
  <c r="AV127" i="31"/>
  <c r="AV173" i="31" s="1"/>
  <c r="BD138" i="31"/>
  <c r="BD127" i="31"/>
  <c r="BD173" i="31" s="1"/>
  <c r="DT133" i="31"/>
  <c r="DT122" i="31"/>
  <c r="DT168" i="31" s="1"/>
  <c r="CL139" i="31"/>
  <c r="CL128" i="31"/>
  <c r="CL174" i="31" s="1"/>
  <c r="CO133" i="31"/>
  <c r="CO122" i="31"/>
  <c r="CO168" i="31" s="1"/>
  <c r="BJ140" i="31"/>
  <c r="BJ129" i="31"/>
  <c r="BJ175" i="31" s="1"/>
  <c r="EB133" i="31"/>
  <c r="EB122" i="31"/>
  <c r="EB168" i="31" s="1"/>
  <c r="BR140" i="31"/>
  <c r="BR129" i="31"/>
  <c r="BR175" i="31" s="1"/>
  <c r="DG134" i="31"/>
  <c r="DG123" i="31"/>
  <c r="DG169" i="31" s="1"/>
  <c r="DU133" i="31"/>
  <c r="DU122" i="31"/>
  <c r="DU168" i="31" s="1"/>
  <c r="DP134" i="31"/>
  <c r="DP123" i="31"/>
  <c r="DP169" i="31" s="1"/>
  <c r="DK135" i="31"/>
  <c r="DK124" i="31"/>
  <c r="DK170" i="31" s="1"/>
  <c r="CT136" i="31"/>
  <c r="CT125" i="31"/>
  <c r="CT171" i="31" s="1"/>
  <c r="CO137" i="31"/>
  <c r="CO126" i="31"/>
  <c r="CO172" i="31" s="1"/>
  <c r="CB138" i="31"/>
  <c r="CB127" i="31"/>
  <c r="CB173" i="31" s="1"/>
  <c r="BP139" i="31"/>
  <c r="BP128" i="31"/>
  <c r="BP174" i="31" s="1"/>
  <c r="BK140" i="31"/>
  <c r="BK129" i="31"/>
  <c r="BK175" i="31" s="1"/>
  <c r="AX141" i="31"/>
  <c r="AX130" i="31"/>
  <c r="AX176" i="31" s="1"/>
  <c r="DU141" i="31"/>
  <c r="DU130" i="31"/>
  <c r="DU176" i="31" s="1"/>
  <c r="DS132" i="31"/>
  <c r="DS121" i="31"/>
  <c r="DS167" i="31" s="1"/>
  <c r="DF133" i="31"/>
  <c r="DF122" i="31"/>
  <c r="DF168" i="31" s="1"/>
  <c r="CW134" i="31"/>
  <c r="CW123" i="31"/>
  <c r="CW169" i="31" s="1"/>
  <c r="CJ135" i="31"/>
  <c r="CJ124" i="31"/>
  <c r="CJ170" i="31" s="1"/>
  <c r="CE136" i="31"/>
  <c r="CE125" i="31"/>
  <c r="CE171" i="31" s="1"/>
  <c r="BS137" i="31"/>
  <c r="BS126" i="31"/>
  <c r="BS172" i="31" s="1"/>
  <c r="BF138" i="31"/>
  <c r="BF127" i="31"/>
  <c r="BF173" i="31" s="1"/>
  <c r="BA139" i="31"/>
  <c r="BA128" i="31"/>
  <c r="BA174" i="31" s="1"/>
  <c r="DX139" i="31"/>
  <c r="DX128" i="31"/>
  <c r="DX174" i="31" s="1"/>
  <c r="DS140" i="31"/>
  <c r="DS129" i="31"/>
  <c r="DS175" i="31" s="1"/>
  <c r="DF141" i="31"/>
  <c r="DF130" i="31"/>
  <c r="DF176" i="31" s="1"/>
  <c r="CR132" i="31"/>
  <c r="CR121" i="31"/>
  <c r="CR167" i="31" s="1"/>
  <c r="CM133" i="31"/>
  <c r="CM122" i="31"/>
  <c r="CM168" i="31" s="1"/>
  <c r="CH123" i="31"/>
  <c r="CH169" i="31" s="1"/>
  <c r="CH134" i="31"/>
  <c r="BN124" i="31"/>
  <c r="BN170" i="31" s="1"/>
  <c r="BN135" i="31"/>
  <c r="BI136" i="31"/>
  <c r="BI125" i="31"/>
  <c r="BI171" i="31" s="1"/>
  <c r="AV126" i="31"/>
  <c r="AV172" i="31" s="1"/>
  <c r="AV137" i="31"/>
  <c r="EA137" i="31"/>
  <c r="EA126" i="31"/>
  <c r="EA172" i="31" s="1"/>
  <c r="DN138" i="31"/>
  <c r="DN127" i="31"/>
  <c r="DN173" i="31" s="1"/>
  <c r="DI139" i="31"/>
  <c r="DI128" i="31"/>
  <c r="DI174" i="31" s="1"/>
  <c r="CR140" i="31"/>
  <c r="CR129" i="31"/>
  <c r="CR175" i="31" s="1"/>
  <c r="CM141" i="31"/>
  <c r="CM130" i="31"/>
  <c r="CM176" i="31" s="1"/>
  <c r="CC132" i="31"/>
  <c r="CC121" i="31"/>
  <c r="CC167" i="31" s="1"/>
  <c r="BQ133" i="31"/>
  <c r="BQ122" i="31"/>
  <c r="BQ168" i="31" s="1"/>
  <c r="AY135" i="31"/>
  <c r="AY124" i="31"/>
  <c r="AY170" i="31" s="1"/>
  <c r="DV135" i="31"/>
  <c r="DV124" i="31"/>
  <c r="DV170" i="31" s="1"/>
  <c r="DQ136" i="31"/>
  <c r="DQ125" i="31"/>
  <c r="DQ171" i="31" s="1"/>
  <c r="DL137" i="31"/>
  <c r="DL126" i="31"/>
  <c r="DL172" i="31" s="1"/>
  <c r="CU138" i="31"/>
  <c r="CU127" i="31"/>
  <c r="CU173" i="31" s="1"/>
  <c r="CP139" i="31"/>
  <c r="CP128" i="31"/>
  <c r="CP174" i="31" s="1"/>
  <c r="CC140" i="31"/>
  <c r="CC129" i="31"/>
  <c r="CC175" i="31" s="1"/>
  <c r="BQ141" i="31"/>
  <c r="BQ130" i="31"/>
  <c r="BQ176" i="31" s="1"/>
  <c r="DT134" i="31"/>
  <c r="DT123" i="31"/>
  <c r="DT169" i="31" s="1"/>
  <c r="DG135" i="31"/>
  <c r="DG124" i="31"/>
  <c r="DG170" i="31" s="1"/>
  <c r="CX136" i="31"/>
  <c r="CX125" i="31"/>
  <c r="CX171" i="31" s="1"/>
  <c r="CK137" i="31"/>
  <c r="CK126" i="31"/>
  <c r="CK172" i="31" s="1"/>
  <c r="CF138" i="31"/>
  <c r="CF127" i="31"/>
  <c r="CF173" i="31" s="1"/>
  <c r="BL139" i="31"/>
  <c r="BL128" i="31"/>
  <c r="BL174" i="31" s="1"/>
  <c r="BG140" i="31"/>
  <c r="BG129" i="31"/>
  <c r="BG175" i="31" s="1"/>
  <c r="BB141" i="31"/>
  <c r="BB130" i="31"/>
  <c r="BB176" i="31" s="1"/>
  <c r="DY141" i="31"/>
  <c r="DY130" i="31"/>
  <c r="DY176" i="31" s="1"/>
  <c r="DZ133" i="31"/>
  <c r="DZ122" i="31"/>
  <c r="DZ168" i="31" s="1"/>
  <c r="DM134" i="31"/>
  <c r="DM123" i="31"/>
  <c r="DM169" i="31" s="1"/>
  <c r="DH135" i="31"/>
  <c r="DH124" i="31"/>
  <c r="DH170" i="31" s="1"/>
  <c r="CY136" i="31"/>
  <c r="CY125" i="31"/>
  <c r="CY171" i="31" s="1"/>
  <c r="CL137" i="31"/>
  <c r="CL126" i="31"/>
  <c r="CL172" i="31" s="1"/>
  <c r="CG138" i="31"/>
  <c r="CG127" i="31"/>
  <c r="CG173" i="31" s="1"/>
  <c r="BM139" i="31"/>
  <c r="BM128" i="31"/>
  <c r="BM174" i="31" s="1"/>
  <c r="BH140" i="31"/>
  <c r="BH129" i="31"/>
  <c r="BH175" i="31" s="1"/>
  <c r="BC141" i="31"/>
  <c r="BC130" i="31"/>
  <c r="BC176" i="31" s="1"/>
  <c r="DZ141" i="31"/>
  <c r="DZ130" i="31"/>
  <c r="DZ176" i="31" s="1"/>
  <c r="DP132" i="31"/>
  <c r="DP121" i="31"/>
  <c r="DP167" i="31" s="1"/>
  <c r="DK133" i="31"/>
  <c r="DK122" i="31"/>
  <c r="DK168" i="31" s="1"/>
  <c r="CT134" i="31"/>
  <c r="CT123" i="31"/>
  <c r="CT169" i="31" s="1"/>
  <c r="CO135" i="31"/>
  <c r="CO124" i="31"/>
  <c r="CO170" i="31" s="1"/>
  <c r="CB136" i="31"/>
  <c r="CB125" i="31"/>
  <c r="CB171" i="31" s="1"/>
  <c r="BP137" i="31"/>
  <c r="BP126" i="31"/>
  <c r="BP172" i="31" s="1"/>
  <c r="BK138" i="31"/>
  <c r="BK127" i="31"/>
  <c r="BK173" i="31" s="1"/>
  <c r="AX139" i="31"/>
  <c r="AX128" i="31"/>
  <c r="AX174" i="31" s="1"/>
  <c r="DU139" i="31"/>
  <c r="DU128" i="31"/>
  <c r="DU174" i="31" s="1"/>
  <c r="DP140" i="31"/>
  <c r="DP129" i="31"/>
  <c r="DP175" i="31" s="1"/>
  <c r="DK141" i="31"/>
  <c r="DK130" i="31"/>
  <c r="DK176" i="31" s="1"/>
  <c r="CD132" i="31"/>
  <c r="CD121" i="31"/>
  <c r="CD167" i="31" s="1"/>
  <c r="DH137" i="31"/>
  <c r="DH126" i="31"/>
  <c r="DH172" i="31" s="1"/>
  <c r="CD136" i="31"/>
  <c r="CD125" i="31"/>
  <c r="CD171" i="31" s="1"/>
  <c r="DR140" i="31"/>
  <c r="DR129" i="31"/>
  <c r="DR175" i="31" s="1"/>
  <c r="BC137" i="31"/>
  <c r="BC126" i="31"/>
  <c r="BC172" i="31" s="1"/>
  <c r="BK134" i="31"/>
  <c r="BK123" i="31"/>
  <c r="BK169" i="31" s="1"/>
  <c r="CO139" i="31"/>
  <c r="CO128" i="31"/>
  <c r="CO174" i="31" s="1"/>
  <c r="DS134" i="31"/>
  <c r="DS123" i="31"/>
  <c r="DS169" i="31" s="1"/>
  <c r="BA141" i="31"/>
  <c r="BA130" i="31"/>
  <c r="BA176" i="31" s="1"/>
  <c r="EA139" i="31"/>
  <c r="EA128" i="31"/>
  <c r="EA174" i="31" s="1"/>
  <c r="BJ138" i="31"/>
  <c r="BJ127" i="31"/>
  <c r="BJ173" i="31" s="1"/>
  <c r="CQ133" i="31"/>
  <c r="CQ122" i="31"/>
  <c r="CQ168" i="31" s="1"/>
  <c r="DR138" i="31"/>
  <c r="DR127" i="31"/>
  <c r="DR173" i="31" s="1"/>
  <c r="CW132" i="31"/>
  <c r="CW121" i="31"/>
  <c r="CW167" i="31" s="1"/>
  <c r="BO139" i="31"/>
  <c r="BO128" i="31"/>
  <c r="BO174" i="31" s="1"/>
  <c r="DL133" i="31"/>
  <c r="DL122" i="31"/>
  <c r="DL168" i="31" s="1"/>
  <c r="DK138" i="31"/>
  <c r="DK127" i="31"/>
  <c r="DK173" i="31" s="1"/>
  <c r="CG133" i="31"/>
  <c r="CG122" i="31"/>
  <c r="CG168" i="31" s="1"/>
  <c r="DS138" i="31"/>
  <c r="DS127" i="31"/>
  <c r="DS173" i="31" s="1"/>
  <c r="BH134" i="31"/>
  <c r="BH123" i="31"/>
  <c r="BH169" i="31" s="1"/>
  <c r="BB140" i="31"/>
  <c r="BB129" i="31"/>
  <c r="BB175" i="31" s="1"/>
  <c r="DY133" i="31"/>
  <c r="DY122" i="31"/>
  <c r="DY168" i="31" s="1"/>
  <c r="DQ140" i="31"/>
  <c r="DQ129" i="31"/>
  <c r="DQ175" i="31" s="1"/>
  <c r="DY140" i="31"/>
  <c r="DY129" i="31"/>
  <c r="DY175" i="31" s="1"/>
  <c r="CS136" i="31"/>
  <c r="CS125" i="31"/>
  <c r="CS171" i="31" s="1"/>
  <c r="BA134" i="31"/>
  <c r="BA123" i="31"/>
  <c r="BA169" i="31" s="1"/>
  <c r="DX134" i="31"/>
  <c r="DX123" i="31"/>
  <c r="DX169" i="31" s="1"/>
  <c r="DS135" i="31"/>
  <c r="DS124" i="31"/>
  <c r="DS170" i="31" s="1"/>
  <c r="DF136" i="31"/>
  <c r="DF125" i="31"/>
  <c r="DF171" i="31" s="1"/>
  <c r="CW137" i="31"/>
  <c r="CW126" i="31"/>
  <c r="CW172" i="31" s="1"/>
  <c r="CJ138" i="31"/>
  <c r="CJ127" i="31"/>
  <c r="CJ173" i="31" s="1"/>
  <c r="CE139" i="31"/>
  <c r="CE128" i="31"/>
  <c r="CE174" i="31" s="1"/>
  <c r="BS140" i="31"/>
  <c r="BS129" i="31"/>
  <c r="BS175" i="31" s="1"/>
  <c r="BF141" i="31"/>
  <c r="BF130" i="31"/>
  <c r="BF176" i="31" s="1"/>
  <c r="EA132" i="31"/>
  <c r="EA121" i="31"/>
  <c r="EA167" i="31" s="1"/>
  <c r="DN133" i="31"/>
  <c r="DN122" i="31"/>
  <c r="DN168" i="31" s="1"/>
  <c r="DI134" i="31"/>
  <c r="DI123" i="31"/>
  <c r="DI169" i="31" s="1"/>
  <c r="CR135" i="31"/>
  <c r="CR124" i="31"/>
  <c r="CR170" i="31" s="1"/>
  <c r="CM136" i="31"/>
  <c r="CM125" i="31"/>
  <c r="CM171" i="31" s="1"/>
  <c r="CH137" i="31"/>
  <c r="CH126" i="31"/>
  <c r="CH172" i="31" s="1"/>
  <c r="BN138" i="31"/>
  <c r="BN127" i="31"/>
  <c r="BN173" i="31" s="1"/>
  <c r="BI139" i="31"/>
  <c r="BI128" i="31"/>
  <c r="BI174" i="31" s="1"/>
  <c r="AV140" i="31"/>
  <c r="AV129" i="31"/>
  <c r="AV175" i="31" s="1"/>
  <c r="EA140" i="31"/>
  <c r="EA129" i="31"/>
  <c r="EA175" i="31" s="1"/>
  <c r="DN141" i="31"/>
  <c r="DN130" i="31"/>
  <c r="DN176" i="31" s="1"/>
  <c r="DL132" i="31"/>
  <c r="DL121" i="31"/>
  <c r="DL167" i="31" s="1"/>
  <c r="CU133" i="31"/>
  <c r="CU122" i="31"/>
  <c r="CU168" i="31" s="1"/>
  <c r="CP123" i="31"/>
  <c r="CP169" i="31" s="1"/>
  <c r="CP134" i="31"/>
  <c r="CC135" i="31"/>
  <c r="CC124" i="31"/>
  <c r="CC170" i="31" s="1"/>
  <c r="BQ125" i="31"/>
  <c r="BQ171" i="31" s="1"/>
  <c r="BQ136" i="31"/>
  <c r="BD126" i="31"/>
  <c r="BD172" i="31" s="1"/>
  <c r="BD137" i="31"/>
  <c r="AY138" i="31"/>
  <c r="AY127" i="31"/>
  <c r="AY173" i="31" s="1"/>
  <c r="DV138" i="31"/>
  <c r="DV127" i="31"/>
  <c r="DV173" i="31" s="1"/>
  <c r="DQ139" i="31"/>
  <c r="DQ128" i="31"/>
  <c r="DQ174" i="31" s="1"/>
  <c r="DL140" i="31"/>
  <c r="DL129" i="31"/>
  <c r="DL175" i="31" s="1"/>
  <c r="CU141" i="31"/>
  <c r="CU130" i="31"/>
  <c r="CU176" i="31" s="1"/>
  <c r="CK132" i="31"/>
  <c r="CK121" i="31"/>
  <c r="CK167" i="31" s="1"/>
  <c r="CF133" i="31"/>
  <c r="CF122" i="31"/>
  <c r="CF168" i="31" s="1"/>
  <c r="BB136" i="31"/>
  <c r="BB125" i="31"/>
  <c r="BB171" i="31" s="1"/>
  <c r="DY136" i="31"/>
  <c r="DY125" i="31"/>
  <c r="DY171" i="31" s="1"/>
  <c r="DT137" i="31"/>
  <c r="DT126" i="31"/>
  <c r="DT172" i="31" s="1"/>
  <c r="DG138" i="31"/>
  <c r="DG127" i="31"/>
  <c r="DG173" i="31" s="1"/>
  <c r="CX139" i="31"/>
  <c r="CX128" i="31"/>
  <c r="CX174" i="31" s="1"/>
  <c r="CK140" i="31"/>
  <c r="CK129" i="31"/>
  <c r="CK175" i="31" s="1"/>
  <c r="CF141" i="31"/>
  <c r="CF130" i="31"/>
  <c r="CF176" i="31" s="1"/>
  <c r="EB134" i="31"/>
  <c r="EB123" i="31"/>
  <c r="EB169" i="31" s="1"/>
  <c r="DO135" i="31"/>
  <c r="DO124" i="31"/>
  <c r="DO170" i="31" s="1"/>
  <c r="DJ136" i="31"/>
  <c r="DJ125" i="31"/>
  <c r="DJ171" i="31" s="1"/>
  <c r="CS137" i="31"/>
  <c r="CS126" i="31"/>
  <c r="CS172" i="31" s="1"/>
  <c r="CN138" i="31"/>
  <c r="CN127" i="31"/>
  <c r="CN173" i="31" s="1"/>
  <c r="CI139" i="31"/>
  <c r="CI128" i="31"/>
  <c r="CI174" i="31" s="1"/>
  <c r="BO140" i="31"/>
  <c r="BO129" i="31"/>
  <c r="BO175" i="31" s="1"/>
  <c r="BJ141" i="31"/>
  <c r="BJ130" i="31"/>
  <c r="BJ176" i="31" s="1"/>
  <c r="BK133" i="31"/>
  <c r="BK122" i="31"/>
  <c r="BK168" i="31" s="1"/>
  <c r="DU134" i="31"/>
  <c r="DU123" i="31"/>
  <c r="DU169" i="31" s="1"/>
  <c r="DP135" i="31"/>
  <c r="DP124" i="31"/>
  <c r="DP170" i="31" s="1"/>
  <c r="DK136" i="31"/>
  <c r="DK125" i="31"/>
  <c r="DK171" i="31" s="1"/>
  <c r="CT137" i="31"/>
  <c r="CT126" i="31"/>
  <c r="CT172" i="31" s="1"/>
  <c r="CO138" i="31"/>
  <c r="CO127" i="31"/>
  <c r="CO173" i="31" s="1"/>
  <c r="CB139" i="31"/>
  <c r="CB128" i="31"/>
  <c r="CB174" i="31" s="1"/>
  <c r="BP140" i="31"/>
  <c r="BP129" i="31"/>
  <c r="BP175" i="31" s="1"/>
  <c r="BK141" i="31"/>
  <c r="BK130" i="31"/>
  <c r="BK176" i="31" s="1"/>
  <c r="DX132" i="31"/>
  <c r="DX121" i="31"/>
  <c r="DX167" i="31" s="1"/>
  <c r="DS133" i="31"/>
  <c r="DS122" i="31"/>
  <c r="DS168" i="31" s="1"/>
  <c r="DF134" i="31"/>
  <c r="DF123" i="31"/>
  <c r="DF169" i="31" s="1"/>
  <c r="CW135" i="31"/>
  <c r="CW124" i="31"/>
  <c r="CW170" i="31" s="1"/>
  <c r="CJ136" i="31"/>
  <c r="CJ125" i="31"/>
  <c r="CJ171" i="31" s="1"/>
  <c r="CE137" i="31"/>
  <c r="CE126" i="31"/>
  <c r="CE172" i="31" s="1"/>
  <c r="BS138" i="31"/>
  <c r="BS127" i="31"/>
  <c r="BS173" i="31" s="1"/>
  <c r="BF139" i="31"/>
  <c r="BF128" i="31"/>
  <c r="BF174" i="31" s="1"/>
  <c r="BA140" i="31"/>
  <c r="BA129" i="31"/>
  <c r="BA175" i="31" s="1"/>
  <c r="DX140" i="31"/>
  <c r="DX129" i="31"/>
  <c r="DX175" i="31" s="1"/>
  <c r="DS141" i="31"/>
  <c r="DS130" i="31"/>
  <c r="DS176" i="31" s="1"/>
  <c r="BG139" i="31"/>
  <c r="BG128" i="31"/>
  <c r="BG174" i="31" s="1"/>
  <c r="DU136" i="31"/>
  <c r="DU125" i="31"/>
  <c r="DU171" i="31" s="1"/>
  <c r="BM122" i="31"/>
  <c r="BM168" i="31" s="1"/>
  <c r="BR137" i="31"/>
  <c r="BR126" i="31"/>
  <c r="BR172" i="31" s="1"/>
  <c r="CG134" i="31"/>
  <c r="CG123" i="31"/>
  <c r="CG169" i="31" s="1"/>
  <c r="DH139" i="31"/>
  <c r="DH128" i="31"/>
  <c r="DH174" i="31" s="1"/>
  <c r="DU124" i="31"/>
  <c r="DU170" i="31" s="1"/>
  <c r="DU135" i="31"/>
  <c r="CB140" i="31"/>
  <c r="CB129" i="31"/>
  <c r="CB175" i="31" s="1"/>
  <c r="DF135" i="31"/>
  <c r="DF124" i="31"/>
  <c r="DF170" i="31" s="1"/>
  <c r="CM135" i="31"/>
  <c r="CM124" i="31"/>
  <c r="CM170" i="31" s="1"/>
  <c r="DJ133" i="31"/>
  <c r="DJ122" i="31"/>
  <c r="DJ168" i="31" s="1"/>
  <c r="AW139" i="31"/>
  <c r="AW128" i="31"/>
  <c r="AW174" i="31" s="1"/>
  <c r="CD134" i="31"/>
  <c r="CD123" i="31"/>
  <c r="CD169" i="31" s="1"/>
  <c r="AZ137" i="31"/>
  <c r="AZ126" i="31"/>
  <c r="AZ172" i="31" s="1"/>
  <c r="D265" i="31"/>
  <c r="CH135" i="31"/>
  <c r="CH124" i="31"/>
  <c r="CH170" i="31" s="1"/>
  <c r="DI133" i="31"/>
  <c r="DI122" i="31"/>
  <c r="DI168" i="31" s="1"/>
  <c r="DV139" i="31"/>
  <c r="DV128" i="31"/>
  <c r="DV174" i="31" s="1"/>
  <c r="AZ134" i="31"/>
  <c r="AZ123" i="31"/>
  <c r="AZ169" i="31" s="1"/>
  <c r="CW140" i="31"/>
  <c r="CW129" i="31"/>
  <c r="CW175" i="31" s="1"/>
  <c r="DQ133" i="31"/>
  <c r="DQ122" i="31"/>
  <c r="DQ168" i="31" s="1"/>
  <c r="CD139" i="31"/>
  <c r="CD128" i="31"/>
  <c r="CD174" i="31" s="1"/>
  <c r="CR134" i="31"/>
  <c r="CR123" i="31"/>
  <c r="CR169" i="31" s="1"/>
  <c r="DI140" i="31"/>
  <c r="DI129" i="31"/>
  <c r="DI175" i="31" s="1"/>
  <c r="CJ141" i="31"/>
  <c r="CJ130" i="31"/>
  <c r="CJ176" i="31" s="1"/>
  <c r="CR141" i="31"/>
  <c r="CR130" i="31"/>
  <c r="CR176" i="31" s="1"/>
  <c r="BI137" i="31"/>
  <c r="BI126" i="31"/>
  <c r="BI172" i="31" s="1"/>
  <c r="CH132" i="31"/>
  <c r="CH121" i="31"/>
  <c r="CH167" i="31" s="1"/>
  <c r="BN133" i="31"/>
  <c r="BN122" i="31"/>
  <c r="BN168" i="31" s="1"/>
  <c r="BI134" i="31"/>
  <c r="BI123" i="31"/>
  <c r="BI169" i="31" s="1"/>
  <c r="EA135" i="31"/>
  <c r="EA124" i="31"/>
  <c r="EA170" i="31" s="1"/>
  <c r="DN136" i="31"/>
  <c r="DN125" i="31"/>
  <c r="DN171" i="31" s="1"/>
  <c r="DI137" i="31"/>
  <c r="DI126" i="31"/>
  <c r="DI172" i="31" s="1"/>
  <c r="CR138" i="31"/>
  <c r="CR127" i="31"/>
  <c r="CR173" i="31" s="1"/>
  <c r="CM139" i="31"/>
  <c r="CM128" i="31"/>
  <c r="CM174" i="31" s="1"/>
  <c r="CH140" i="31"/>
  <c r="CH129" i="31"/>
  <c r="CH175" i="31" s="1"/>
  <c r="BN141" i="31"/>
  <c r="BN130" i="31"/>
  <c r="BN176" i="31" s="1"/>
  <c r="DV133" i="31"/>
  <c r="DV122" i="31"/>
  <c r="DV168" i="31" s="1"/>
  <c r="DQ134" i="31"/>
  <c r="DQ123" i="31"/>
  <c r="DQ169" i="31" s="1"/>
  <c r="DL135" i="31"/>
  <c r="DL124" i="31"/>
  <c r="DL170" i="31" s="1"/>
  <c r="CU136" i="31"/>
  <c r="CU125" i="31"/>
  <c r="CU171" i="31" s="1"/>
  <c r="CP137" i="31"/>
  <c r="CP126" i="31"/>
  <c r="CP172" i="31" s="1"/>
  <c r="CC138" i="31"/>
  <c r="CC127" i="31"/>
  <c r="CC173" i="31" s="1"/>
  <c r="BQ139" i="31"/>
  <c r="BQ128" i="31"/>
  <c r="BQ174" i="31" s="1"/>
  <c r="BD140" i="31"/>
  <c r="BD129" i="31"/>
  <c r="BD175" i="31" s="1"/>
  <c r="AY141" i="31"/>
  <c r="AY130" i="31"/>
  <c r="AY176" i="31" s="1"/>
  <c r="DV141" i="31"/>
  <c r="DV130" i="31"/>
  <c r="DV176" i="31" s="1"/>
  <c r="DT132" i="31"/>
  <c r="DT121" i="31"/>
  <c r="DT167" i="31" s="1"/>
  <c r="DG133" i="31"/>
  <c r="DG122" i="31"/>
  <c r="DG168" i="31" s="1"/>
  <c r="CX123" i="31"/>
  <c r="CX169" i="31" s="1"/>
  <c r="CX134" i="31"/>
  <c r="CK135" i="31"/>
  <c r="CK124" i="31"/>
  <c r="CK170" i="31" s="1"/>
  <c r="CF125" i="31"/>
  <c r="CF171" i="31" s="1"/>
  <c r="CF136" i="31"/>
  <c r="BL137" i="31"/>
  <c r="BL126" i="31"/>
  <c r="BL172" i="31" s="1"/>
  <c r="BG138" i="31"/>
  <c r="BG127" i="31"/>
  <c r="BG173" i="31" s="1"/>
  <c r="BB139" i="31"/>
  <c r="BB128" i="31"/>
  <c r="BB174" i="31" s="1"/>
  <c r="DY139" i="31"/>
  <c r="DY128" i="31"/>
  <c r="DY174" i="31" s="1"/>
  <c r="DT140" i="31"/>
  <c r="DT129" i="31"/>
  <c r="DT175" i="31" s="1"/>
  <c r="DG141" i="31"/>
  <c r="DG130" i="31"/>
  <c r="DG176" i="31" s="1"/>
  <c r="CS132" i="31"/>
  <c r="CS121" i="31"/>
  <c r="CS167" i="31" s="1"/>
  <c r="CN133" i="31"/>
  <c r="CN122" i="31"/>
  <c r="CN168" i="31" s="1"/>
  <c r="CI134" i="31"/>
  <c r="CI123" i="31"/>
  <c r="CI169" i="31" s="1"/>
  <c r="BO135" i="31"/>
  <c r="BO124" i="31"/>
  <c r="BO170" i="31" s="1"/>
  <c r="BJ136" i="31"/>
  <c r="BJ125" i="31"/>
  <c r="BJ171" i="31" s="1"/>
  <c r="AW137" i="31"/>
  <c r="AW126" i="31"/>
  <c r="AW172" i="31" s="1"/>
  <c r="EB126" i="31"/>
  <c r="EB172" i="31" s="1"/>
  <c r="EB137" i="31"/>
  <c r="DO138" i="31"/>
  <c r="DO127" i="31"/>
  <c r="DO173" i="31" s="1"/>
  <c r="DJ139" i="31"/>
  <c r="DJ128" i="31"/>
  <c r="DJ174" i="31" s="1"/>
  <c r="CS140" i="31"/>
  <c r="CS129" i="31"/>
  <c r="CS175" i="31" s="1"/>
  <c r="CN141" i="31"/>
  <c r="CN130" i="31"/>
  <c r="CN176" i="31" s="1"/>
  <c r="DW135" i="31"/>
  <c r="DW124" i="31"/>
  <c r="DW170" i="31" s="1"/>
  <c r="DR136" i="31"/>
  <c r="DR125" i="31"/>
  <c r="DR171" i="31" s="1"/>
  <c r="DE137" i="31"/>
  <c r="DE126" i="31"/>
  <c r="DE172" i="31" s="1"/>
  <c r="CV138" i="31"/>
  <c r="CV127" i="31"/>
  <c r="CV173" i="31" s="1"/>
  <c r="CQ139" i="31"/>
  <c r="CQ128" i="31"/>
  <c r="CQ174" i="31" s="1"/>
  <c r="CD140" i="31"/>
  <c r="CD129" i="31"/>
  <c r="CD175" i="31" s="1"/>
  <c r="BR141" i="31"/>
  <c r="BR130" i="31"/>
  <c r="BR176" i="31" s="1"/>
  <c r="CE132" i="31"/>
  <c r="CE121" i="31"/>
  <c r="CE167" i="31" s="1"/>
  <c r="DX135" i="31"/>
  <c r="DX124" i="31"/>
  <c r="DX170" i="31" s="1"/>
  <c r="DS136" i="31"/>
  <c r="DS125" i="31"/>
  <c r="DS171" i="31" s="1"/>
  <c r="DF137" i="31"/>
  <c r="DF126" i="31"/>
  <c r="DF172" i="31" s="1"/>
  <c r="CW138" i="31"/>
  <c r="CW127" i="31"/>
  <c r="CW173" i="31" s="1"/>
  <c r="CJ139" i="31"/>
  <c r="CJ128" i="31"/>
  <c r="CJ174" i="31" s="1"/>
  <c r="CE140" i="31"/>
  <c r="CE129" i="31"/>
  <c r="CE175" i="31" s="1"/>
  <c r="BS141" i="31"/>
  <c r="BS130" i="31"/>
  <c r="BS176" i="31" s="1"/>
  <c r="EA133" i="31"/>
  <c r="EA122" i="31"/>
  <c r="EA168" i="31" s="1"/>
  <c r="DN134" i="31"/>
  <c r="DN123" i="31"/>
  <c r="DN169" i="31" s="1"/>
  <c r="DI135" i="31"/>
  <c r="DI124" i="31"/>
  <c r="DI170" i="31" s="1"/>
  <c r="CR136" i="31"/>
  <c r="CR125" i="31"/>
  <c r="CR171" i="31" s="1"/>
  <c r="CM137" i="31"/>
  <c r="CM126" i="31"/>
  <c r="CM172" i="31" s="1"/>
  <c r="CH138" i="31"/>
  <c r="CH127" i="31"/>
  <c r="CH173" i="31" s="1"/>
  <c r="BN139" i="31"/>
  <c r="BN128" i="31"/>
  <c r="BN174" i="31" s="1"/>
  <c r="BI140" i="31"/>
  <c r="BI129" i="31"/>
  <c r="BI175" i="31" s="1"/>
  <c r="AV141" i="31"/>
  <c r="AV130" i="31"/>
  <c r="AV176" i="31" s="1"/>
  <c r="EA141" i="31"/>
  <c r="EA130" i="31"/>
  <c r="EA176" i="31" s="1"/>
  <c r="BL138" i="31"/>
  <c r="BL127" i="31"/>
  <c r="BL173" i="31" s="1"/>
  <c r="CV134" i="31"/>
  <c r="CV123" i="31"/>
  <c r="CV169" i="31" s="1"/>
  <c r="CY132" i="31"/>
  <c r="CY121" i="31"/>
  <c r="CY167" i="31" s="1"/>
  <c r="CW136" i="31"/>
  <c r="CW125" i="31"/>
  <c r="CW171" i="31" s="1"/>
  <c r="DE139" i="31"/>
  <c r="DE128" i="31"/>
  <c r="DE174" i="31" s="1"/>
  <c r="D266" i="31"/>
  <c r="O257" i="31"/>
  <c r="BQ137" i="31"/>
  <c r="BQ126" i="31"/>
  <c r="BQ172" i="31" s="1"/>
  <c r="AW123" i="31"/>
  <c r="AW169" i="31" s="1"/>
  <c r="CO140" i="31"/>
  <c r="CO129" i="31"/>
  <c r="CO175" i="31" s="1"/>
  <c r="CJ134" i="31"/>
  <c r="CJ123" i="31"/>
  <c r="CJ169" i="31" s="1"/>
  <c r="BM141" i="31"/>
  <c r="BM130" i="31"/>
  <c r="BM176" i="31" s="1"/>
  <c r="CB141" i="31"/>
  <c r="CB130" i="31"/>
  <c r="CB176" i="31" s="1"/>
  <c r="CU134" i="31"/>
  <c r="CU123" i="31"/>
  <c r="CU169" i="31" s="1"/>
  <c r="DZ135" i="31"/>
  <c r="DZ124" i="31"/>
  <c r="DZ170" i="31" s="1"/>
  <c r="DP137" i="31"/>
  <c r="DP126" i="31"/>
  <c r="DP172" i="31" s="1"/>
  <c r="CP132" i="31"/>
  <c r="CP121" i="31"/>
  <c r="CP167" i="31" s="1"/>
  <c r="CC133" i="31"/>
  <c r="CC122" i="31"/>
  <c r="CC168" i="31" s="1"/>
  <c r="BQ134" i="31"/>
  <c r="BQ123" i="31"/>
  <c r="BQ169" i="31" s="1"/>
  <c r="AY136" i="31"/>
  <c r="AY125" i="31"/>
  <c r="AY171" i="31" s="1"/>
  <c r="DV136" i="31"/>
  <c r="DV125" i="31"/>
  <c r="DV171" i="31" s="1"/>
  <c r="DQ137" i="31"/>
  <c r="DQ126" i="31"/>
  <c r="DQ172" i="31" s="1"/>
  <c r="DL138" i="31"/>
  <c r="DL127" i="31"/>
  <c r="DL173" i="31" s="1"/>
  <c r="CU139" i="31"/>
  <c r="CU128" i="31"/>
  <c r="CU174" i="31" s="1"/>
  <c r="CP140" i="31"/>
  <c r="CP129" i="31"/>
  <c r="CP175" i="31" s="1"/>
  <c r="CC141" i="31"/>
  <c r="CC130" i="31"/>
  <c r="CC176" i="31" s="1"/>
  <c r="DY134" i="31"/>
  <c r="DY123" i="31"/>
  <c r="DY169" i="31" s="1"/>
  <c r="DT135" i="31"/>
  <c r="DT124" i="31"/>
  <c r="DT170" i="31" s="1"/>
  <c r="DG136" i="31"/>
  <c r="DG125" i="31"/>
  <c r="DG171" i="31" s="1"/>
  <c r="CX137" i="31"/>
  <c r="CX126" i="31"/>
  <c r="CX172" i="31" s="1"/>
  <c r="CK138" i="31"/>
  <c r="CK127" i="31"/>
  <c r="CK173" i="31" s="1"/>
  <c r="CF139" i="31"/>
  <c r="CF128" i="31"/>
  <c r="CF174" i="31" s="1"/>
  <c r="BL140" i="31"/>
  <c r="BL129" i="31"/>
  <c r="BL175" i="31" s="1"/>
  <c r="BG141" i="31"/>
  <c r="BG130" i="31"/>
  <c r="BG176" i="31" s="1"/>
  <c r="EB132" i="31"/>
  <c r="EB121" i="31"/>
  <c r="EB167" i="31" s="1"/>
  <c r="DO133" i="31"/>
  <c r="DO122" i="31"/>
  <c r="DO168" i="31" s="1"/>
  <c r="DJ134" i="31"/>
  <c r="DJ123" i="31"/>
  <c r="DJ169" i="31" s="1"/>
  <c r="CS135" i="31"/>
  <c r="CS124" i="31"/>
  <c r="CS170" i="31" s="1"/>
  <c r="CN125" i="31"/>
  <c r="CN171" i="31" s="1"/>
  <c r="CN136" i="31"/>
  <c r="CI137" i="31"/>
  <c r="CI126" i="31"/>
  <c r="CI172" i="31" s="1"/>
  <c r="BO138" i="31"/>
  <c r="BO127" i="31"/>
  <c r="BO173" i="31" s="1"/>
  <c r="BJ139" i="31"/>
  <c r="BJ128" i="31"/>
  <c r="BJ174" i="31" s="1"/>
  <c r="AW140" i="31"/>
  <c r="AW129" i="31"/>
  <c r="AW175" i="31" s="1"/>
  <c r="EB140" i="31"/>
  <c r="EB129" i="31"/>
  <c r="EB175" i="31" s="1"/>
  <c r="DO141" i="31"/>
  <c r="DO130" i="31"/>
  <c r="DO176" i="31" s="1"/>
  <c r="DE132" i="31"/>
  <c r="DE121" i="31"/>
  <c r="DE167" i="31" s="1"/>
  <c r="CV133" i="31"/>
  <c r="CV122" i="31"/>
  <c r="CV168" i="31" s="1"/>
  <c r="CQ134" i="31"/>
  <c r="CQ123" i="31"/>
  <c r="CQ169" i="31" s="1"/>
  <c r="CD135" i="31"/>
  <c r="CD124" i="31"/>
  <c r="CD170" i="31" s="1"/>
  <c r="BR136" i="31"/>
  <c r="BR125" i="31"/>
  <c r="BR171" i="31" s="1"/>
  <c r="BE137" i="31"/>
  <c r="BE126" i="31"/>
  <c r="BE172" i="31" s="1"/>
  <c r="AZ138" i="31"/>
  <c r="AZ127" i="31"/>
  <c r="AZ173" i="31" s="1"/>
  <c r="DW138" i="31"/>
  <c r="DW127" i="31"/>
  <c r="DW173" i="31" s="1"/>
  <c r="DR139" i="31"/>
  <c r="DR128" i="31"/>
  <c r="DR174" i="31" s="1"/>
  <c r="DE140" i="31"/>
  <c r="DE129" i="31"/>
  <c r="DE175" i="31" s="1"/>
  <c r="CV141" i="31"/>
  <c r="CV130" i="31"/>
  <c r="CV176" i="31" s="1"/>
  <c r="BC136" i="31"/>
  <c r="BC125" i="31"/>
  <c r="BC171" i="31" s="1"/>
  <c r="DZ136" i="31"/>
  <c r="DZ125" i="31"/>
  <c r="DZ171" i="31" s="1"/>
  <c r="DM137" i="31"/>
  <c r="DM126" i="31"/>
  <c r="DM172" i="31" s="1"/>
  <c r="DH138" i="31"/>
  <c r="DH127" i="31"/>
  <c r="DH173" i="31" s="1"/>
  <c r="CY139" i="31"/>
  <c r="CY128" i="31"/>
  <c r="CY174" i="31" s="1"/>
  <c r="CL140" i="31"/>
  <c r="CL129" i="31"/>
  <c r="CL175" i="31" s="1"/>
  <c r="CG141" i="31"/>
  <c r="CG130" i="31"/>
  <c r="CG176" i="31" s="1"/>
  <c r="CM132" i="31"/>
  <c r="CM121" i="31"/>
  <c r="CM167" i="31" s="1"/>
  <c r="CH133" i="31"/>
  <c r="CH122" i="31"/>
  <c r="CH168" i="31" s="1"/>
  <c r="BN134" i="31"/>
  <c r="BN123" i="31"/>
  <c r="BN169" i="31" s="1"/>
  <c r="AV136" i="31"/>
  <c r="AV125" i="31"/>
  <c r="AV171" i="31" s="1"/>
  <c r="EA136" i="31"/>
  <c r="EA125" i="31"/>
  <c r="EA171" i="31" s="1"/>
  <c r="DN137" i="31"/>
  <c r="DN126" i="31"/>
  <c r="DN172" i="31" s="1"/>
  <c r="DI138" i="31"/>
  <c r="DI127" i="31"/>
  <c r="DI173" i="31" s="1"/>
  <c r="CR139" i="31"/>
  <c r="CR128" i="31"/>
  <c r="CR174" i="31" s="1"/>
  <c r="CM140" i="31"/>
  <c r="CM129" i="31"/>
  <c r="CM175" i="31" s="1"/>
  <c r="CH141" i="31"/>
  <c r="CH130" i="31"/>
  <c r="CH176" i="31" s="1"/>
  <c r="AY134" i="31"/>
  <c r="AY123" i="31"/>
  <c r="AY169" i="31" s="1"/>
  <c r="DV134" i="31"/>
  <c r="DV123" i="31"/>
  <c r="DV169" i="31" s="1"/>
  <c r="DQ135" i="31"/>
  <c r="DQ124" i="31"/>
  <c r="DQ170" i="31" s="1"/>
  <c r="DL136" i="31"/>
  <c r="DL125" i="31"/>
  <c r="DL171" i="31" s="1"/>
  <c r="CU137" i="31"/>
  <c r="CU126" i="31"/>
  <c r="CU172" i="31" s="1"/>
  <c r="CP138" i="31"/>
  <c r="CP127" i="31"/>
  <c r="CP173" i="31" s="1"/>
  <c r="CC139" i="31"/>
  <c r="CC128" i="31"/>
  <c r="CC174" i="31" s="1"/>
  <c r="BQ140" i="31"/>
  <c r="BQ129" i="31"/>
  <c r="BQ175" i="31" s="1"/>
  <c r="BD141" i="31"/>
  <c r="BD130" i="31"/>
  <c r="BD176" i="31" s="1"/>
  <c r="CC136" i="31"/>
  <c r="CC125" i="31"/>
  <c r="CC171" i="31" s="1"/>
  <c r="DE133" i="31"/>
  <c r="DE122" i="31"/>
  <c r="DE168" i="31" s="1"/>
  <c r="DW139" i="31"/>
  <c r="DW128" i="31"/>
  <c r="DW174" i="31" s="1"/>
  <c r="BH136" i="31"/>
  <c r="BH125" i="31"/>
  <c r="BH171" i="31" s="1"/>
  <c r="CL141" i="31"/>
  <c r="CL130" i="31"/>
  <c r="CL176" i="31" s="1"/>
  <c r="BP141" i="31"/>
  <c r="BP130" i="31"/>
  <c r="BP176" i="31" s="1"/>
  <c r="CJ137" i="31"/>
  <c r="CJ126" i="31"/>
  <c r="CJ172" i="31" s="1"/>
  <c r="DX141" i="31"/>
  <c r="DX130" i="31"/>
  <c r="DX176" i="31" s="1"/>
  <c r="AV139" i="31"/>
  <c r="AV128" i="31"/>
  <c r="AV174" i="31" s="1"/>
  <c r="CS134" i="31"/>
  <c r="CS123" i="31"/>
  <c r="CS169" i="31" s="1"/>
  <c r="EB139" i="31"/>
  <c r="EB128" i="31"/>
  <c r="EB174" i="31" s="1"/>
  <c r="BE136" i="31"/>
  <c r="BE125" i="31"/>
  <c r="BE171" i="31" s="1"/>
  <c r="DO134" i="31"/>
  <c r="DO123" i="31"/>
  <c r="DO169" i="31" s="1"/>
  <c r="CG140" i="31"/>
  <c r="CG129" i="31"/>
  <c r="CG175" i="31" s="1"/>
  <c r="CE134" i="31"/>
  <c r="CE123" i="31"/>
  <c r="CE169" i="31" s="1"/>
  <c r="BE141" i="31"/>
  <c r="BE130" i="31"/>
  <c r="BE176" i="31" s="1"/>
  <c r="CX135" i="31"/>
  <c r="CX124" i="31"/>
  <c r="CX170" i="31" s="1"/>
  <c r="EB141" i="31"/>
  <c r="EB130" i="31"/>
  <c r="EB176" i="31" s="1"/>
  <c r="CM134" i="31"/>
  <c r="CM123" i="31"/>
  <c r="CM169" i="31" s="1"/>
  <c r="CG132" i="31"/>
  <c r="CG121" i="31"/>
  <c r="CG167" i="31" s="1"/>
  <c r="DJ135" i="31"/>
  <c r="DJ124" i="31"/>
  <c r="DJ170" i="31" s="1"/>
  <c r="BK135" i="31"/>
  <c r="BK124" i="31"/>
  <c r="BK170" i="31" s="1"/>
  <c r="CO132" i="31"/>
  <c r="CO121" i="31"/>
  <c r="CO167" i="31" s="1"/>
  <c r="CK136" i="31"/>
  <c r="CK125" i="31"/>
  <c r="CK171" i="31" s="1"/>
  <c r="CT132" i="31"/>
  <c r="CT121" i="31"/>
  <c r="CT167" i="31" s="1"/>
  <c r="CQ138" i="31"/>
  <c r="CQ127" i="31"/>
  <c r="CQ173" i="31" s="1"/>
  <c r="CX132" i="31"/>
  <c r="CX121" i="31"/>
  <c r="CX167" i="31" s="1"/>
  <c r="CK133" i="31"/>
  <c r="CK122" i="31"/>
  <c r="CK168" i="31" s="1"/>
  <c r="CF134" i="31"/>
  <c r="CF123" i="31"/>
  <c r="CF169" i="31" s="1"/>
  <c r="BL135" i="31"/>
  <c r="BL124" i="31"/>
  <c r="BL170" i="31" s="1"/>
  <c r="BG136" i="31"/>
  <c r="BG125" i="31"/>
  <c r="BG171" i="31" s="1"/>
  <c r="BB137" i="31"/>
  <c r="BB126" i="31"/>
  <c r="BB172" i="31" s="1"/>
  <c r="DY137" i="31"/>
  <c r="DY126" i="31"/>
  <c r="DY172" i="31" s="1"/>
  <c r="DT138" i="31"/>
  <c r="DT127" i="31"/>
  <c r="DT173" i="31" s="1"/>
  <c r="DG139" i="31"/>
  <c r="DG128" i="31"/>
  <c r="DG174" i="31" s="1"/>
  <c r="CX140" i="31"/>
  <c r="CX129" i="31"/>
  <c r="CX175" i="31" s="1"/>
  <c r="CK141" i="31"/>
  <c r="CK130" i="31"/>
  <c r="CK176" i="31" s="1"/>
  <c r="CI132" i="31"/>
  <c r="CI121" i="31"/>
  <c r="CI167" i="31" s="1"/>
  <c r="BO122" i="31"/>
  <c r="BO168" i="31" s="1"/>
  <c r="BJ134" i="31"/>
  <c r="EB135" i="31"/>
  <c r="EB124" i="31"/>
  <c r="EB170" i="31" s="1"/>
  <c r="DO136" i="31"/>
  <c r="DO125" i="31"/>
  <c r="DO171" i="31" s="1"/>
  <c r="DJ137" i="31"/>
  <c r="DJ126" i="31"/>
  <c r="DJ172" i="31" s="1"/>
  <c r="CS138" i="31"/>
  <c r="CS127" i="31"/>
  <c r="CS173" i="31" s="1"/>
  <c r="CN139" i="31"/>
  <c r="CN128" i="31"/>
  <c r="CN174" i="31" s="1"/>
  <c r="CI140" i="31"/>
  <c r="CI129" i="31"/>
  <c r="CI175" i="31" s="1"/>
  <c r="BO141" i="31"/>
  <c r="BO130" i="31"/>
  <c r="BO176" i="31" s="1"/>
  <c r="DW122" i="31"/>
  <c r="DW168" i="31" s="1"/>
  <c r="DW133" i="31"/>
  <c r="DR134" i="31"/>
  <c r="DR123" i="31"/>
  <c r="DR169" i="31" s="1"/>
  <c r="DE135" i="31"/>
  <c r="DE124" i="31"/>
  <c r="DE170" i="31" s="1"/>
  <c r="CV125" i="31"/>
  <c r="CV171" i="31" s="1"/>
  <c r="CV136" i="31"/>
  <c r="CQ126" i="31"/>
  <c r="CQ172" i="31" s="1"/>
  <c r="CQ137" i="31"/>
  <c r="CD138" i="31"/>
  <c r="CD127" i="31"/>
  <c r="CD173" i="31" s="1"/>
  <c r="BR139" i="31"/>
  <c r="BR128" i="31"/>
  <c r="BR174" i="31" s="1"/>
  <c r="BE140" i="31"/>
  <c r="BE129" i="31"/>
  <c r="BE175" i="31" s="1"/>
  <c r="AZ141" i="31"/>
  <c r="AZ130" i="31"/>
  <c r="AZ176" i="31" s="1"/>
  <c r="DW141" i="31"/>
  <c r="DW130" i="31"/>
  <c r="DW176" i="31" s="1"/>
  <c r="DM132" i="31"/>
  <c r="DM121" i="31"/>
  <c r="DM167" i="31" s="1"/>
  <c r="DH133" i="31"/>
  <c r="DH122" i="31"/>
  <c r="DH168" i="31" s="1"/>
  <c r="CY134" i="31"/>
  <c r="CY123" i="31"/>
  <c r="CY169" i="31" s="1"/>
  <c r="CL135" i="31"/>
  <c r="CL124" i="31"/>
  <c r="CL170" i="31" s="1"/>
  <c r="CG136" i="31"/>
  <c r="CG125" i="31"/>
  <c r="CG171" i="31" s="1"/>
  <c r="BM137" i="31"/>
  <c r="BM126" i="31"/>
  <c r="BM172" i="31" s="1"/>
  <c r="BH138" i="31"/>
  <c r="BH127" i="31"/>
  <c r="BH173" i="31" s="1"/>
  <c r="BC139" i="31"/>
  <c r="BC128" i="31"/>
  <c r="BC174" i="31" s="1"/>
  <c r="DZ139" i="31"/>
  <c r="DZ128" i="31"/>
  <c r="DZ174" i="31" s="1"/>
  <c r="DM140" i="31"/>
  <c r="DM129" i="31"/>
  <c r="DM175" i="31" s="1"/>
  <c r="DH141" i="31"/>
  <c r="DH130" i="31"/>
  <c r="DH176" i="31" s="1"/>
  <c r="BP135" i="31"/>
  <c r="BP124" i="31"/>
  <c r="BP170" i="31" s="1"/>
  <c r="BK136" i="31"/>
  <c r="BK125" i="31"/>
  <c r="BK171" i="31" s="1"/>
  <c r="AX137" i="31"/>
  <c r="AX126" i="31"/>
  <c r="AX172" i="31" s="1"/>
  <c r="DU137" i="31"/>
  <c r="DU126" i="31"/>
  <c r="DU172" i="31" s="1"/>
  <c r="DP138" i="31"/>
  <c r="DP127" i="31"/>
  <c r="DP173" i="31" s="1"/>
  <c r="DK139" i="31"/>
  <c r="DK128" i="31"/>
  <c r="DK174" i="31" s="1"/>
  <c r="CT140" i="31"/>
  <c r="CT129" i="31"/>
  <c r="CT175" i="31" s="1"/>
  <c r="CO141" i="31"/>
  <c r="CO130" i="31"/>
  <c r="CO176" i="31" s="1"/>
  <c r="CU132" i="31"/>
  <c r="CU121" i="31"/>
  <c r="CU167" i="31" s="1"/>
  <c r="CP133" i="31"/>
  <c r="CP122" i="31"/>
  <c r="CP168" i="31" s="1"/>
  <c r="CC134" i="31"/>
  <c r="CC123" i="31"/>
  <c r="CC169" i="31" s="1"/>
  <c r="BD136" i="31"/>
  <c r="BD125" i="31"/>
  <c r="BD171" i="31" s="1"/>
  <c r="AY137" i="31"/>
  <c r="AY126" i="31"/>
  <c r="AY172" i="31" s="1"/>
  <c r="DV137" i="31"/>
  <c r="DV126" i="31"/>
  <c r="DV172" i="31" s="1"/>
  <c r="DQ138" i="31"/>
  <c r="DQ127" i="31"/>
  <c r="DQ173" i="31" s="1"/>
  <c r="DL139" i="31"/>
  <c r="DL128" i="31"/>
  <c r="DL174" i="31" s="1"/>
  <c r="CU140" i="31"/>
  <c r="CU129" i="31"/>
  <c r="CU175" i="31" s="1"/>
  <c r="CP141" i="31"/>
  <c r="CP130" i="31"/>
  <c r="CP176" i="31" s="1"/>
  <c r="CF132" i="31"/>
  <c r="CF121" i="31"/>
  <c r="CF167" i="31" s="1"/>
  <c r="BG134" i="31"/>
  <c r="BG123" i="31"/>
  <c r="BG169" i="31" s="1"/>
  <c r="BB135" i="31"/>
  <c r="BB124" i="31"/>
  <c r="BB170" i="31" s="1"/>
  <c r="DY135" i="31"/>
  <c r="DY124" i="31"/>
  <c r="DY170" i="31" s="1"/>
  <c r="DT136" i="31"/>
  <c r="DT125" i="31"/>
  <c r="DT171" i="31" s="1"/>
  <c r="DG137" i="31"/>
  <c r="DG126" i="31"/>
  <c r="DG172" i="31" s="1"/>
  <c r="CX138" i="31"/>
  <c r="CX127" i="31"/>
  <c r="CX173" i="31" s="1"/>
  <c r="CK139" i="31"/>
  <c r="CK128" i="31"/>
  <c r="CK174" i="31" s="1"/>
  <c r="CF140" i="31"/>
  <c r="CF129" i="31"/>
  <c r="CF175" i="31" s="1"/>
  <c r="BL141" i="31"/>
  <c r="BL130" i="31"/>
  <c r="BL176" i="31" s="1"/>
  <c r="DF139" i="31"/>
  <c r="DF128" i="31"/>
  <c r="DF174" i="31" s="1"/>
  <c r="AZ139" i="31"/>
  <c r="AZ128" i="31"/>
  <c r="AZ174" i="31" s="1"/>
  <c r="BM135" i="31"/>
  <c r="BM124" i="31"/>
  <c r="BM170" i="31" s="1"/>
  <c r="CY140" i="31"/>
  <c r="CY129" i="31"/>
  <c r="CY175" i="31" s="1"/>
  <c r="DK126" i="31"/>
  <c r="DK172" i="31" s="1"/>
  <c r="DK137" i="31"/>
  <c r="BS139" i="31"/>
  <c r="BS128" i="31"/>
  <c r="BS174" i="31" s="1"/>
  <c r="CH136" i="31"/>
  <c r="CH125" i="31"/>
  <c r="CH171" i="31" s="1"/>
  <c r="DN140" i="31"/>
  <c r="DN129" i="31"/>
  <c r="DN175" i="31" s="1"/>
  <c r="BO137" i="31"/>
  <c r="BO126" i="31"/>
  <c r="BO172" i="31" s="1"/>
  <c r="CV132" i="31"/>
  <c r="CV121" i="31"/>
  <c r="CV167" i="31" s="1"/>
  <c r="DW137" i="31"/>
  <c r="DW126" i="31"/>
  <c r="DW172" i="31" s="1"/>
  <c r="DN139" i="31"/>
  <c r="DN128" i="31"/>
  <c r="DN174" i="31" s="1"/>
  <c r="CB134" i="31"/>
  <c r="CB123" i="31"/>
  <c r="CB169" i="31" s="1"/>
  <c r="DW134" i="31"/>
  <c r="DW123" i="31"/>
  <c r="DW169" i="31" s="1"/>
  <c r="DT141" i="31"/>
  <c r="DT130" i="31"/>
  <c r="DT176" i="31" s="1"/>
  <c r="BF136" i="31"/>
  <c r="BF125" i="31"/>
  <c r="BF171" i="31" s="1"/>
  <c r="BN136" i="31"/>
  <c r="BN125" i="31"/>
  <c r="BN171" i="31" s="1"/>
  <c r="DN132" i="31"/>
  <c r="DN121" i="31"/>
  <c r="DN167" i="31" s="1"/>
  <c r="CV137" i="31"/>
  <c r="CV126" i="31"/>
  <c r="CV172" i="31" s="1"/>
  <c r="CL132" i="31"/>
  <c r="CL121" i="31"/>
  <c r="CL167" i="31" s="1"/>
  <c r="DR135" i="31"/>
  <c r="DR124" i="31"/>
  <c r="DR170" i="31" s="1"/>
  <c r="DV132" i="31"/>
  <c r="DV121" i="31"/>
  <c r="DV167" i="31" s="1"/>
  <c r="BA137" i="31"/>
  <c r="BA126" i="31"/>
  <c r="BA172" i="31" s="1"/>
  <c r="DY132" i="31"/>
  <c r="DY121" i="31"/>
  <c r="DY167" i="31" s="1"/>
  <c r="AY139" i="31"/>
  <c r="AY128" i="31"/>
  <c r="AY174" i="31" s="1"/>
  <c r="DJ132" i="31"/>
  <c r="DJ121" i="31"/>
  <c r="DJ167" i="31" s="1"/>
  <c r="CS133" i="31"/>
  <c r="CS122" i="31"/>
  <c r="CS168" i="31" s="1"/>
  <c r="CN134" i="31"/>
  <c r="CN123" i="31"/>
  <c r="CN169" i="31" s="1"/>
  <c r="CI135" i="31"/>
  <c r="CI124" i="31"/>
  <c r="CI170" i="31" s="1"/>
  <c r="BO136" i="31"/>
  <c r="BO125" i="31"/>
  <c r="BO171" i="31" s="1"/>
  <c r="BJ137" i="31"/>
  <c r="BJ126" i="31"/>
  <c r="BJ172" i="31" s="1"/>
  <c r="AW138" i="31"/>
  <c r="AW127" i="31"/>
  <c r="AW173" i="31" s="1"/>
  <c r="EB138" i="31"/>
  <c r="EB127" i="31"/>
  <c r="EB173" i="31" s="1"/>
  <c r="DO139" i="31"/>
  <c r="DO128" i="31"/>
  <c r="DO174" i="31" s="1"/>
  <c r="DJ140" i="31"/>
  <c r="DJ129" i="31"/>
  <c r="DJ175" i="31" s="1"/>
  <c r="CS141" i="31"/>
  <c r="CS130" i="31"/>
  <c r="CS176" i="31" s="1"/>
  <c r="CQ132" i="31"/>
  <c r="CQ121" i="31"/>
  <c r="CQ167" i="31" s="1"/>
  <c r="CD133" i="31"/>
  <c r="CD122" i="31"/>
  <c r="CD168" i="31" s="1"/>
  <c r="BR134" i="31"/>
  <c r="BR123" i="31"/>
  <c r="BR169" i="31" s="1"/>
  <c r="BE124" i="31"/>
  <c r="BE170" i="31" s="1"/>
  <c r="AZ136" i="31"/>
  <c r="AZ125" i="31"/>
  <c r="AZ171" i="31" s="1"/>
  <c r="DW136" i="31"/>
  <c r="DW125" i="31"/>
  <c r="DW171" i="31" s="1"/>
  <c r="DR137" i="31"/>
  <c r="DR126" i="31"/>
  <c r="DR172" i="31" s="1"/>
  <c r="DE138" i="31"/>
  <c r="DE127" i="31"/>
  <c r="DE173" i="31" s="1"/>
  <c r="CV139" i="31"/>
  <c r="CV128" i="31"/>
  <c r="CV174" i="31" s="1"/>
  <c r="CQ140" i="31"/>
  <c r="CQ129" i="31"/>
  <c r="CQ175" i="31" s="1"/>
  <c r="CD141" i="31"/>
  <c r="CD130" i="31"/>
  <c r="CD176" i="31" s="1"/>
  <c r="BC134" i="31"/>
  <c r="BC123" i="31"/>
  <c r="BC169" i="31" s="1"/>
  <c r="DZ134" i="31"/>
  <c r="DZ123" i="31"/>
  <c r="DZ169" i="31" s="1"/>
  <c r="DM124" i="31"/>
  <c r="DM170" i="31" s="1"/>
  <c r="DM135" i="31"/>
  <c r="DH125" i="31"/>
  <c r="DH171" i="31" s="1"/>
  <c r="DH136" i="31"/>
  <c r="CY126" i="31"/>
  <c r="CY172" i="31" s="1"/>
  <c r="CY137" i="31"/>
  <c r="CL138" i="31"/>
  <c r="CL127" i="31"/>
  <c r="CL173" i="31" s="1"/>
  <c r="CG139" i="31"/>
  <c r="CG128" i="31"/>
  <c r="CG174" i="31" s="1"/>
  <c r="BM140" i="31"/>
  <c r="BM129" i="31"/>
  <c r="BM175" i="31" s="1"/>
  <c r="BH141" i="31"/>
  <c r="BH130" i="31"/>
  <c r="BH176" i="31" s="1"/>
  <c r="DU132" i="31"/>
  <c r="DU121" i="31"/>
  <c r="DU167" i="31" s="1"/>
  <c r="DP133" i="31"/>
  <c r="DP122" i="31"/>
  <c r="DP168" i="31" s="1"/>
  <c r="DK134" i="31"/>
  <c r="DK123" i="31"/>
  <c r="DK169" i="31" s="1"/>
  <c r="CT135" i="31"/>
  <c r="CT124" i="31"/>
  <c r="CT170" i="31" s="1"/>
  <c r="CO136" i="31"/>
  <c r="CO125" i="31"/>
  <c r="CO171" i="31" s="1"/>
  <c r="CB137" i="31"/>
  <c r="CB126" i="31"/>
  <c r="CB172" i="31" s="1"/>
  <c r="BP138" i="31"/>
  <c r="BP127" i="31"/>
  <c r="BP173" i="31" s="1"/>
  <c r="BK139" i="31"/>
  <c r="BK128" i="31"/>
  <c r="BK174" i="31" s="1"/>
  <c r="AX140" i="31"/>
  <c r="AX129" i="31"/>
  <c r="AX175" i="31" s="1"/>
  <c r="DU140" i="31"/>
  <c r="DU129" i="31"/>
  <c r="DU175" i="31" s="1"/>
  <c r="DP141" i="31"/>
  <c r="DP130" i="31"/>
  <c r="DP176" i="31" s="1"/>
  <c r="CE135" i="31"/>
  <c r="CE124" i="31"/>
  <c r="CE170" i="31" s="1"/>
  <c r="BS136" i="31"/>
  <c r="BS125" i="31"/>
  <c r="BS171" i="31" s="1"/>
  <c r="BF137" i="31"/>
  <c r="BF126" i="31"/>
  <c r="BF172" i="31" s="1"/>
  <c r="BA138" i="31"/>
  <c r="BA127" i="31"/>
  <c r="BA173" i="31" s="1"/>
  <c r="DX138" i="31"/>
  <c r="DX127" i="31"/>
  <c r="DX173" i="31" s="1"/>
  <c r="DS139" i="31"/>
  <c r="DS128" i="31"/>
  <c r="DS174" i="31" s="1"/>
  <c r="DF140" i="31"/>
  <c r="DF129" i="31"/>
  <c r="DF175" i="31" s="1"/>
  <c r="CW141" i="31"/>
  <c r="CW130" i="31"/>
  <c r="CW176" i="31" s="1"/>
  <c r="DG132" i="31"/>
  <c r="DG121" i="31"/>
  <c r="DG167" i="31" s="1"/>
  <c r="CX133" i="31"/>
  <c r="CX122" i="31"/>
  <c r="CX168" i="31" s="1"/>
  <c r="CK134" i="31"/>
  <c r="CK123" i="31"/>
  <c r="CK169" i="31" s="1"/>
  <c r="CF135" i="31"/>
  <c r="CF124" i="31"/>
  <c r="CF170" i="31" s="1"/>
  <c r="BL136" i="31"/>
  <c r="BL125" i="31"/>
  <c r="BL171" i="31" s="1"/>
  <c r="BG137" i="31"/>
  <c r="BG126" i="31"/>
  <c r="BG172" i="31" s="1"/>
  <c r="BB138" i="31"/>
  <c r="BB127" i="31"/>
  <c r="BB173" i="31" s="1"/>
  <c r="DY138" i="31"/>
  <c r="DY127" i="31"/>
  <c r="DY173" i="31" s="1"/>
  <c r="DT139" i="31"/>
  <c r="DT128" i="31"/>
  <c r="DT174" i="31" s="1"/>
  <c r="DG140" i="31"/>
  <c r="DG129" i="31"/>
  <c r="DG175" i="31" s="1"/>
  <c r="CX141" i="31"/>
  <c r="CX130" i="31"/>
  <c r="CX176" i="31" s="1"/>
  <c r="CN132" i="31"/>
  <c r="CN121" i="31"/>
  <c r="CN167" i="31" s="1"/>
  <c r="CI133" i="31"/>
  <c r="CI122" i="31"/>
  <c r="CI168" i="31" s="1"/>
  <c r="BJ135" i="31"/>
  <c r="BJ124" i="31"/>
  <c r="BJ170" i="31" s="1"/>
  <c r="AW136" i="31"/>
  <c r="AW125" i="31"/>
  <c r="AW171" i="31" s="1"/>
  <c r="EB136" i="31"/>
  <c r="EB125" i="31"/>
  <c r="EB171" i="31" s="1"/>
  <c r="DO137" i="31"/>
  <c r="DO126" i="31"/>
  <c r="DO172" i="31" s="1"/>
  <c r="DJ138" i="31"/>
  <c r="DJ127" i="31"/>
  <c r="DJ173" i="31" s="1"/>
  <c r="CS128" i="31"/>
  <c r="CS174" i="31" s="1"/>
  <c r="CS139" i="31"/>
  <c r="CN140" i="31"/>
  <c r="CN129" i="31"/>
  <c r="CN175" i="31" s="1"/>
  <c r="CI141" i="31"/>
  <c r="CI130" i="31"/>
  <c r="CI176" i="31" s="1"/>
  <c r="BP123" i="31" l="1"/>
  <c r="BP169" i="31" s="1"/>
  <c r="BA160" i="31"/>
  <c r="BA161" i="31" s="1"/>
  <c r="BA162" i="31" s="1"/>
  <c r="BF123" i="31"/>
  <c r="BF169" i="31" s="1"/>
  <c r="BB123" i="31"/>
  <c r="BB169" i="31" s="1"/>
  <c r="BD123" i="31"/>
  <c r="BD169" i="31" s="1"/>
  <c r="BP160" i="31"/>
  <c r="BP161" i="31" s="1"/>
  <c r="BP162" i="31" s="1"/>
  <c r="AW160" i="31"/>
  <c r="AW161" i="31" s="1"/>
  <c r="AW162" i="31" s="1"/>
  <c r="BC160" i="31"/>
  <c r="BC161" i="31" s="1"/>
  <c r="BC162" i="31" s="1"/>
  <c r="BF160" i="31"/>
  <c r="BF161" i="31" s="1"/>
  <c r="BF162" i="31" s="1"/>
  <c r="V265" i="30"/>
  <c r="V264" i="30"/>
  <c r="AX123" i="31"/>
  <c r="AX169" i="31" s="1"/>
  <c r="BO123" i="31"/>
  <c r="BO169" i="31" s="1"/>
  <c r="BO178" i="31" s="1"/>
  <c r="BL160" i="31"/>
  <c r="BL161" i="31" s="1"/>
  <c r="BL162" i="31" s="1"/>
  <c r="AX160" i="31"/>
  <c r="AX161" i="31" s="1"/>
  <c r="AX162" i="31" s="1"/>
  <c r="BM123" i="31"/>
  <c r="BM169" i="31" s="1"/>
  <c r="BM178" i="31" s="1"/>
  <c r="BL123" i="31"/>
  <c r="BL169" i="31" s="1"/>
  <c r="BO160" i="31"/>
  <c r="BO161" i="31" s="1"/>
  <c r="BO162" i="31" s="1"/>
  <c r="BE123" i="31"/>
  <c r="BE169" i="31" s="1"/>
  <c r="BM160" i="31"/>
  <c r="BM161" i="31" s="1"/>
  <c r="BM162" i="31" s="1"/>
  <c r="BE160" i="31"/>
  <c r="BE161" i="31" s="1"/>
  <c r="BE162" i="31" s="1"/>
  <c r="BJ160" i="31"/>
  <c r="BJ161" i="31" s="1"/>
  <c r="BJ162" i="31" s="1"/>
  <c r="BS124" i="31"/>
  <c r="BS170" i="31" s="1"/>
  <c r="BJ122" i="31"/>
  <c r="BJ168" i="31" s="1"/>
  <c r="BJ178" i="31" s="1"/>
  <c r="BA124" i="31"/>
  <c r="BA170" i="31" s="1"/>
  <c r="BQ135" i="31"/>
  <c r="BQ145" i="31" s="1"/>
  <c r="BR124" i="31"/>
  <c r="BR170" i="31" s="1"/>
  <c r="BS122" i="31"/>
  <c r="BS168" i="31" s="1"/>
  <c r="BF124" i="31"/>
  <c r="BF170" i="31" s="1"/>
  <c r="BF178" i="31" s="1"/>
  <c r="AZ124" i="31"/>
  <c r="AZ170" i="31" s="1"/>
  <c r="BR160" i="31"/>
  <c r="BR161" i="31" s="1"/>
  <c r="BR162" i="31" s="1"/>
  <c r="BQ160" i="31"/>
  <c r="BQ161" i="31" s="1"/>
  <c r="BQ162" i="31" s="1"/>
  <c r="BL122" i="31"/>
  <c r="BL168" i="31" s="1"/>
  <c r="BS160" i="31"/>
  <c r="BS161" i="31" s="1"/>
  <c r="BS162" i="31" s="1"/>
  <c r="AX135" i="31"/>
  <c r="AX145" i="31" s="1"/>
  <c r="BH124" i="31"/>
  <c r="BH170" i="31" s="1"/>
  <c r="BH178" i="31" s="1"/>
  <c r="BR122" i="31"/>
  <c r="BR168" i="31" s="1"/>
  <c r="BP122" i="31"/>
  <c r="BP168" i="31" s="1"/>
  <c r="AV135" i="31"/>
  <c r="AV143" i="31" s="1"/>
  <c r="AW124" i="31"/>
  <c r="AW170" i="31" s="1"/>
  <c r="BD124" i="31"/>
  <c r="BD170" i="31" s="1"/>
  <c r="BC124" i="31"/>
  <c r="BC170" i="31" s="1"/>
  <c r="BG135" i="31"/>
  <c r="BG132" i="31"/>
  <c r="BJ132" i="31"/>
  <c r="BJ143" i="31" s="1"/>
  <c r="BH132" i="31"/>
  <c r="AZ121" i="31"/>
  <c r="AZ167" i="31" s="1"/>
  <c r="BA122" i="31"/>
  <c r="BA168" i="31" s="1"/>
  <c r="BP121" i="31"/>
  <c r="BR132" i="31"/>
  <c r="BR143" i="31" s="1"/>
  <c r="BM132" i="31"/>
  <c r="BM143" i="31" s="1"/>
  <c r="AV121" i="31"/>
  <c r="AV167" i="31" s="1"/>
  <c r="BC122" i="31"/>
  <c r="BC168" i="31" s="1"/>
  <c r="AL209" i="31"/>
  <c r="AL207" i="31" s="1"/>
  <c r="D210" i="31" s="1"/>
  <c r="BG122" i="31"/>
  <c r="BG168" i="31" s="1"/>
  <c r="BB133" i="31"/>
  <c r="BB145" i="31" s="1"/>
  <c r="BI122" i="31"/>
  <c r="BI168" i="31" s="1"/>
  <c r="AY132" i="31"/>
  <c r="AY145" i="31" s="1"/>
  <c r="AZ122" i="31"/>
  <c r="AZ168" i="31" s="1"/>
  <c r="BN121" i="31"/>
  <c r="AX122" i="31"/>
  <c r="AX168" i="31" s="1"/>
  <c r="AV122" i="31"/>
  <c r="AV168" i="31" s="1"/>
  <c r="BK121" i="31"/>
  <c r="BO132" i="31"/>
  <c r="BO142" i="31" s="1"/>
  <c r="BC121" i="31"/>
  <c r="BC167" i="31" s="1"/>
  <c r="BF132" i="31"/>
  <c r="BA121" i="31"/>
  <c r="BA167" i="31" s="1"/>
  <c r="BB121" i="31"/>
  <c r="BF133" i="31"/>
  <c r="AW122" i="31"/>
  <c r="AW168" i="31" s="1"/>
  <c r="BE121" i="31"/>
  <c r="BE167" i="31" s="1"/>
  <c r="BL121" i="31"/>
  <c r="BD121" i="31"/>
  <c r="BH133" i="31"/>
  <c r="BS121" i="31"/>
  <c r="X207" i="31"/>
  <c r="X209" i="31"/>
  <c r="Z209" i="31" s="1"/>
  <c r="BD133" i="31"/>
  <c r="BD144" i="31" s="1"/>
  <c r="AX121" i="31"/>
  <c r="AX167" i="31" s="1"/>
  <c r="BE122" i="31"/>
  <c r="BE168" i="31" s="1"/>
  <c r="D289" i="31"/>
  <c r="AW132" i="31"/>
  <c r="AW145" i="31" s="1"/>
  <c r="AY122" i="31"/>
  <c r="AY168" i="31" s="1"/>
  <c r="BQ121" i="31"/>
  <c r="BI124" i="31"/>
  <c r="BI170" i="31" s="1"/>
  <c r="BI121" i="31"/>
  <c r="BI167" i="31" s="1"/>
  <c r="CI178" i="31"/>
  <c r="CP178" i="31"/>
  <c r="DU178" i="31"/>
  <c r="DY178" i="31"/>
  <c r="CL178" i="31"/>
  <c r="CK178" i="31"/>
  <c r="CW178" i="31"/>
  <c r="CJ178" i="31"/>
  <c r="DI178" i="31"/>
  <c r="DQ178" i="31"/>
  <c r="CY178" i="31"/>
  <c r="DM178" i="31"/>
  <c r="CT178" i="31"/>
  <c r="EB178" i="31"/>
  <c r="CE178" i="31"/>
  <c r="CC178" i="31"/>
  <c r="DG178" i="31"/>
  <c r="DX178" i="31"/>
  <c r="DW178" i="31"/>
  <c r="CU178" i="31"/>
  <c r="DE178" i="31"/>
  <c r="CH178" i="31"/>
  <c r="CD178" i="31"/>
  <c r="DP178" i="31"/>
  <c r="CS178" i="31"/>
  <c r="CN178" i="31"/>
  <c r="DJ178" i="31"/>
  <c r="DV178" i="31"/>
  <c r="DN178" i="31"/>
  <c r="EA178" i="31"/>
  <c r="DO178" i="31"/>
  <c r="DH178" i="31"/>
  <c r="DZ178" i="31"/>
  <c r="DF178" i="31"/>
  <c r="CR178" i="31"/>
  <c r="CF178" i="31"/>
  <c r="CX178" i="31"/>
  <c r="CO178" i="31"/>
  <c r="CG178" i="31"/>
  <c r="CM178" i="31"/>
  <c r="DT178" i="31"/>
  <c r="DS178" i="31"/>
  <c r="CQ178" i="31"/>
  <c r="CV178" i="31"/>
  <c r="DL178" i="31"/>
  <c r="DK178" i="31"/>
  <c r="CB178" i="31"/>
  <c r="DR178" i="31"/>
  <c r="CU144" i="31"/>
  <c r="CU145" i="31"/>
  <c r="CU142" i="31"/>
  <c r="CU143" i="31"/>
  <c r="DE145" i="31"/>
  <c r="DE144" i="31"/>
  <c r="DE143" i="31"/>
  <c r="DE142" i="31"/>
  <c r="O256" i="31"/>
  <c r="CK145" i="31"/>
  <c r="CK144" i="31"/>
  <c r="CK143" i="31"/>
  <c r="CK142" i="31"/>
  <c r="CW145" i="31"/>
  <c r="CW144" i="31"/>
  <c r="CW143" i="31"/>
  <c r="CW142" i="31"/>
  <c r="CR145" i="31"/>
  <c r="CR144" i="31"/>
  <c r="CR143" i="31"/>
  <c r="CR142" i="31"/>
  <c r="DK145" i="31"/>
  <c r="DK144" i="31"/>
  <c r="DK143" i="31"/>
  <c r="DK142" i="31"/>
  <c r="BC145" i="31"/>
  <c r="BC144" i="31"/>
  <c r="BC143" i="31"/>
  <c r="BC142" i="31"/>
  <c r="CB145" i="31"/>
  <c r="CB143" i="31"/>
  <c r="CB142" i="31"/>
  <c r="CB144" i="31"/>
  <c r="DR145" i="31"/>
  <c r="DR144" i="31"/>
  <c r="DR143" i="31"/>
  <c r="DR142" i="31"/>
  <c r="CN145" i="31"/>
  <c r="CN143" i="31"/>
  <c r="CN144" i="31"/>
  <c r="CN142" i="31"/>
  <c r="DJ145" i="31"/>
  <c r="DJ144" i="31"/>
  <c r="DJ143" i="31"/>
  <c r="DJ142" i="31"/>
  <c r="DV145" i="31"/>
  <c r="DV144" i="31"/>
  <c r="DV143" i="31"/>
  <c r="DV142" i="31"/>
  <c r="DN145" i="31"/>
  <c r="DN144" i="31"/>
  <c r="DN143" i="31"/>
  <c r="DN142" i="31"/>
  <c r="BI145" i="31"/>
  <c r="BI144" i="31"/>
  <c r="BI143" i="31"/>
  <c r="BI142" i="31"/>
  <c r="CH145" i="31"/>
  <c r="CH144" i="31"/>
  <c r="CH143" i="31"/>
  <c r="CH142" i="31"/>
  <c r="CE145" i="31"/>
  <c r="CE142" i="31"/>
  <c r="CE144" i="31"/>
  <c r="CE143" i="31"/>
  <c r="CF145" i="31"/>
  <c r="CF144" i="31"/>
  <c r="CF143" i="31"/>
  <c r="CF142" i="31"/>
  <c r="CX145" i="31"/>
  <c r="CX144" i="31"/>
  <c r="CX143" i="31"/>
  <c r="CX142" i="31"/>
  <c r="CO145" i="31"/>
  <c r="CO144" i="31"/>
  <c r="CO143" i="31"/>
  <c r="CO142" i="31"/>
  <c r="CG145" i="31"/>
  <c r="CG144" i="31"/>
  <c r="CG143" i="31"/>
  <c r="CG142" i="31"/>
  <c r="CM144" i="31"/>
  <c r="CM145" i="31"/>
  <c r="CM142" i="31"/>
  <c r="CM143" i="31"/>
  <c r="DX144" i="31"/>
  <c r="DX145" i="31"/>
  <c r="DX142" i="31"/>
  <c r="DX143" i="31"/>
  <c r="BP145" i="31"/>
  <c r="BP144" i="31"/>
  <c r="BP143" i="31"/>
  <c r="BP142" i="31"/>
  <c r="CC145" i="31"/>
  <c r="CC143" i="31"/>
  <c r="CC142" i="31"/>
  <c r="CC144" i="31"/>
  <c r="CJ145" i="31"/>
  <c r="CJ144" i="31"/>
  <c r="CJ143" i="31"/>
  <c r="CJ142" i="31"/>
  <c r="DI145" i="31"/>
  <c r="DI144" i="31"/>
  <c r="DI143" i="31"/>
  <c r="DI142" i="31"/>
  <c r="DQ145" i="31"/>
  <c r="DQ144" i="31"/>
  <c r="DQ143" i="31"/>
  <c r="DQ142" i="31"/>
  <c r="CQ145" i="31"/>
  <c r="CQ144" i="31"/>
  <c r="CQ143" i="31"/>
  <c r="CQ142" i="31"/>
  <c r="CV145" i="31"/>
  <c r="CV143" i="31"/>
  <c r="CV144" i="31"/>
  <c r="CV142" i="31"/>
  <c r="DT145" i="31"/>
  <c r="DT144" i="31"/>
  <c r="DT143" i="31"/>
  <c r="DT142" i="31"/>
  <c r="CI145" i="31"/>
  <c r="CI144" i="31"/>
  <c r="CI143" i="31"/>
  <c r="CI142" i="31"/>
  <c r="CP145" i="31"/>
  <c r="CP144" i="31"/>
  <c r="CP143" i="31"/>
  <c r="CP142" i="31"/>
  <c r="BA145" i="31"/>
  <c r="BA144" i="31"/>
  <c r="BA143" i="31"/>
  <c r="BA142" i="31"/>
  <c r="EA145" i="31"/>
  <c r="EA144" i="31"/>
  <c r="EA143" i="31"/>
  <c r="EA142" i="31"/>
  <c r="BS145" i="31"/>
  <c r="BS144" i="31"/>
  <c r="BS143" i="31"/>
  <c r="BS142" i="31"/>
  <c r="CD142" i="31"/>
  <c r="CD144" i="31"/>
  <c r="CD145" i="31"/>
  <c r="CD143" i="31"/>
  <c r="DP144" i="31"/>
  <c r="DP145" i="31"/>
  <c r="DP142" i="31"/>
  <c r="DP143" i="31"/>
  <c r="DW144" i="31"/>
  <c r="DW145" i="31"/>
  <c r="DW142" i="31"/>
  <c r="DW143" i="31"/>
  <c r="BN142" i="31"/>
  <c r="BN144" i="31"/>
  <c r="BN143" i="31"/>
  <c r="BN145" i="31"/>
  <c r="DU145" i="31"/>
  <c r="DU144" i="31"/>
  <c r="DU143" i="31"/>
  <c r="DU142" i="31"/>
  <c r="DY145" i="31"/>
  <c r="DY144" i="31"/>
  <c r="DY143" i="31"/>
  <c r="DY142" i="31"/>
  <c r="CL144" i="31"/>
  <c r="CL142" i="31"/>
  <c r="CL145" i="31"/>
  <c r="CL143" i="31"/>
  <c r="AZ145" i="31"/>
  <c r="AZ144" i="31"/>
  <c r="AZ143" i="31"/>
  <c r="AZ142" i="31"/>
  <c r="CY145" i="31"/>
  <c r="CY144" i="31"/>
  <c r="CY143" i="31"/>
  <c r="CY142" i="31"/>
  <c r="CS145" i="31"/>
  <c r="CS144" i="31"/>
  <c r="CS143" i="31"/>
  <c r="CS142" i="31"/>
  <c r="DG144" i="31"/>
  <c r="DG142" i="31"/>
  <c r="DG145" i="31"/>
  <c r="DG143" i="31"/>
  <c r="DM145" i="31"/>
  <c r="DM144" i="31"/>
  <c r="DM143" i="31"/>
  <c r="DM142" i="31"/>
  <c r="BE145" i="31"/>
  <c r="BE143" i="31"/>
  <c r="BE142" i="31"/>
  <c r="BE144" i="31"/>
  <c r="CT144" i="31"/>
  <c r="CT142" i="31"/>
  <c r="CT145" i="31"/>
  <c r="CT143" i="31"/>
  <c r="EB145" i="31"/>
  <c r="EB144" i="31"/>
  <c r="EB143" i="31"/>
  <c r="EB142" i="31"/>
  <c r="BL145" i="31"/>
  <c r="BL143" i="31"/>
  <c r="BL142" i="31"/>
  <c r="BL144" i="31"/>
  <c r="DL145" i="31"/>
  <c r="DL144" i="31"/>
  <c r="DL143" i="31"/>
  <c r="DL142" i="31"/>
  <c r="DS145" i="31"/>
  <c r="DS144" i="31"/>
  <c r="DS143" i="31"/>
  <c r="DS142" i="31"/>
  <c r="BK145" i="31"/>
  <c r="BK144" i="31"/>
  <c r="BK143" i="31"/>
  <c r="BK142" i="31"/>
  <c r="DO144" i="31"/>
  <c r="DO142" i="31"/>
  <c r="DO145" i="31"/>
  <c r="DO143" i="31"/>
  <c r="DH144" i="31"/>
  <c r="DH145" i="31"/>
  <c r="DH142" i="31"/>
  <c r="DH143" i="31"/>
  <c r="DZ145" i="31"/>
  <c r="DZ144" i="31"/>
  <c r="DZ143" i="31"/>
  <c r="DZ142" i="31"/>
  <c r="DF145" i="31"/>
  <c r="DF144" i="31"/>
  <c r="DF143" i="31"/>
  <c r="DF142" i="31"/>
  <c r="BQ142" i="31" l="1"/>
  <c r="BQ143" i="31"/>
  <c r="BQ144" i="31"/>
  <c r="V263" i="30"/>
  <c r="J46" i="30" s="1"/>
  <c r="C210" i="31" s="1"/>
  <c r="BR178" i="31"/>
  <c r="BG142" i="31"/>
  <c r="BJ145" i="31"/>
  <c r="AX143" i="31"/>
  <c r="BG145" i="31"/>
  <c r="AX144" i="31"/>
  <c r="AX142" i="31"/>
  <c r="BJ144" i="31"/>
  <c r="AV144" i="31"/>
  <c r="AV142" i="31"/>
  <c r="AV145" i="31"/>
  <c r="BG144" i="31"/>
  <c r="BJ142" i="31"/>
  <c r="BG143" i="31"/>
  <c r="BQ167" i="31"/>
  <c r="BQ178" i="31" s="1"/>
  <c r="BB167" i="31"/>
  <c r="BB178" i="31" s="1"/>
  <c r="BN167" i="31"/>
  <c r="BN178" i="31" s="1"/>
  <c r="BS167" i="31"/>
  <c r="BS178" i="31" s="1"/>
  <c r="BD167" i="31"/>
  <c r="BD178" i="31" s="1"/>
  <c r="BP167" i="31"/>
  <c r="BP178" i="31" s="1"/>
  <c r="BL167" i="31"/>
  <c r="BL178" i="31" s="1"/>
  <c r="BK167" i="31"/>
  <c r="BK178" i="31" s="1"/>
  <c r="BH143" i="31"/>
  <c r="BA178" i="31"/>
  <c r="BM144" i="31"/>
  <c r="BR145" i="31"/>
  <c r="BM142" i="31"/>
  <c r="BM145" i="31"/>
  <c r="BR144" i="31"/>
  <c r="BR142" i="31"/>
  <c r="BG178" i="31"/>
  <c r="AY143" i="31"/>
  <c r="AY144" i="31"/>
  <c r="AY142" i="31"/>
  <c r="BC178" i="31"/>
  <c r="AV178" i="31"/>
  <c r="AX178" i="31"/>
  <c r="BF145" i="31"/>
  <c r="BB142" i="31"/>
  <c r="BB143" i="31"/>
  <c r="BB144" i="31"/>
  <c r="BF143" i="31"/>
  <c r="BF144" i="31"/>
  <c r="BF142" i="31"/>
  <c r="BO143" i="31"/>
  <c r="AZ178" i="31"/>
  <c r="BO144" i="31"/>
  <c r="BO145" i="31"/>
  <c r="AW178" i="31"/>
  <c r="BH144" i="31"/>
  <c r="BH145" i="31"/>
  <c r="BH142" i="31"/>
  <c r="BD142" i="31"/>
  <c r="BD143" i="31"/>
  <c r="BD145" i="31"/>
  <c r="BI178" i="31"/>
  <c r="AW142" i="31"/>
  <c r="BE178" i="31"/>
  <c r="AW144" i="31"/>
  <c r="AW143" i="31"/>
  <c r="AY178" i="31"/>
  <c r="DE146" i="31"/>
  <c r="DH146" i="31"/>
  <c r="BL146" i="31"/>
  <c r="DW146" i="31"/>
  <c r="DP146" i="31"/>
  <c r="CC146" i="31"/>
  <c r="DX146" i="31"/>
  <c r="CB146" i="31"/>
  <c r="DZ146" i="31"/>
  <c r="DS146" i="31"/>
  <c r="DL146" i="31"/>
  <c r="EB146" i="31"/>
  <c r="CY146" i="31"/>
  <c r="DU146" i="31"/>
  <c r="EA146" i="31"/>
  <c r="CP146" i="31"/>
  <c r="CI146" i="31"/>
  <c r="CV146" i="31"/>
  <c r="DQ146" i="31"/>
  <c r="CJ146" i="31"/>
  <c r="BP146" i="31"/>
  <c r="CO146" i="31"/>
  <c r="CF146" i="31"/>
  <c r="CH146" i="31"/>
  <c r="DN146" i="31"/>
  <c r="DJ146" i="31"/>
  <c r="CU146" i="31"/>
  <c r="CT146" i="31"/>
  <c r="CE146" i="31"/>
  <c r="DR146" i="31"/>
  <c r="BC146" i="31"/>
  <c r="CR146" i="31"/>
  <c r="CK146" i="31"/>
  <c r="BE146" i="31"/>
  <c r="CM146" i="31"/>
  <c r="DO146" i="31"/>
  <c r="DG146" i="31"/>
  <c r="CL146" i="31"/>
  <c r="BN146" i="31"/>
  <c r="CD146" i="31"/>
  <c r="DF146" i="31"/>
  <c r="BK146" i="31"/>
  <c r="DM146" i="31"/>
  <c r="CS146" i="31"/>
  <c r="AZ146" i="31"/>
  <c r="DY146" i="31"/>
  <c r="BS146" i="31"/>
  <c r="BA146" i="31"/>
  <c r="BQ146" i="31"/>
  <c r="DT146" i="31"/>
  <c r="CQ146" i="31"/>
  <c r="DI146" i="31"/>
  <c r="CG146" i="31"/>
  <c r="CX146" i="31"/>
  <c r="BI146" i="31"/>
  <c r="DV146" i="31"/>
  <c r="CN146" i="31"/>
  <c r="DK146" i="31"/>
  <c r="CW146" i="31"/>
  <c r="AX146" i="31" l="1"/>
  <c r="AV146" i="31"/>
  <c r="AV148" i="31" s="1"/>
  <c r="BJ146" i="31"/>
  <c r="BG146" i="31"/>
  <c r="BG148" i="31" s="1"/>
  <c r="DG148" i="31"/>
  <c r="DG147" i="31"/>
  <c r="DI148" i="31"/>
  <c r="DI147" i="31"/>
  <c r="CS148" i="31"/>
  <c r="CS147" i="31"/>
  <c r="CE148" i="31"/>
  <c r="CE147" i="31"/>
  <c r="CO148" i="31"/>
  <c r="CO147" i="31"/>
  <c r="DU148" i="31"/>
  <c r="DU147" i="31"/>
  <c r="DX148" i="31"/>
  <c r="DX147" i="31"/>
  <c r="CY148" i="31"/>
  <c r="CY147" i="31"/>
  <c r="CY163" i="31" s="1"/>
  <c r="BK148" i="31"/>
  <c r="BK147" i="31"/>
  <c r="CM148" i="31"/>
  <c r="CM147" i="31"/>
  <c r="CT148" i="31"/>
  <c r="CT147" i="31"/>
  <c r="CJ148" i="31"/>
  <c r="CJ147" i="31"/>
  <c r="CJ163" i="31" s="1"/>
  <c r="EB148" i="31"/>
  <c r="EB147" i="31"/>
  <c r="DP148" i="31"/>
  <c r="DP147" i="31"/>
  <c r="CG147" i="31"/>
  <c r="CG148" i="31"/>
  <c r="EA148" i="31"/>
  <c r="EA147" i="31"/>
  <c r="EA163" i="31" s="1"/>
  <c r="CQ148" i="31"/>
  <c r="CQ147" i="31"/>
  <c r="BP148" i="31"/>
  <c r="BP147" i="31"/>
  <c r="BQ147" i="31"/>
  <c r="BQ148" i="31"/>
  <c r="DF148" i="31"/>
  <c r="DF147" i="31"/>
  <c r="BE148" i="31"/>
  <c r="BE147" i="31"/>
  <c r="CU148" i="31"/>
  <c r="CU147" i="31"/>
  <c r="DQ148" i="31"/>
  <c r="DQ147" i="31"/>
  <c r="DL148" i="31"/>
  <c r="DL147" i="31"/>
  <c r="DW148" i="31"/>
  <c r="DW147" i="31"/>
  <c r="AZ148" i="31"/>
  <c r="AZ147" i="31"/>
  <c r="CB148" i="31"/>
  <c r="CB147" i="31"/>
  <c r="DO148" i="31"/>
  <c r="DO147" i="31"/>
  <c r="CC148" i="31"/>
  <c r="CC147" i="31"/>
  <c r="CN148" i="31"/>
  <c r="CN147" i="31"/>
  <c r="DV148" i="31"/>
  <c r="DV147" i="31"/>
  <c r="BA147" i="31"/>
  <c r="BA148" i="31"/>
  <c r="CD148" i="31"/>
  <c r="CD147" i="31"/>
  <c r="CK148" i="31"/>
  <c r="CK147" i="31"/>
  <c r="DJ147" i="31"/>
  <c r="DJ148" i="31"/>
  <c r="CV148" i="31"/>
  <c r="CV147" i="31"/>
  <c r="CV163" i="31" s="1"/>
  <c r="DS148" i="31"/>
  <c r="DS147" i="31"/>
  <c r="BL148" i="31"/>
  <c r="BL147" i="31"/>
  <c r="CF148" i="31"/>
  <c r="CF147" i="31"/>
  <c r="CW147" i="31"/>
  <c r="CW148" i="31"/>
  <c r="AX148" i="31"/>
  <c r="AX147" i="31"/>
  <c r="DK148" i="31"/>
  <c r="DK147" i="31"/>
  <c r="BI147" i="31"/>
  <c r="BI148" i="31"/>
  <c r="BS148" i="31"/>
  <c r="BS147" i="31"/>
  <c r="BN148" i="31"/>
  <c r="BN147" i="31"/>
  <c r="CR148" i="31"/>
  <c r="CR147" i="31"/>
  <c r="DN148" i="31"/>
  <c r="DN147" i="31"/>
  <c r="CI148" i="31"/>
  <c r="CI147" i="31"/>
  <c r="DZ148" i="31"/>
  <c r="DZ147" i="31"/>
  <c r="DH148" i="31"/>
  <c r="DH147" i="31"/>
  <c r="DR148" i="31"/>
  <c r="DR147" i="31"/>
  <c r="BJ148" i="31"/>
  <c r="BJ147" i="31"/>
  <c r="BJ163" i="31" s="1"/>
  <c r="DM148" i="31"/>
  <c r="DM147" i="31"/>
  <c r="DT148" i="31"/>
  <c r="DT147" i="31"/>
  <c r="CX148" i="31"/>
  <c r="CX147" i="31"/>
  <c r="DY148" i="31"/>
  <c r="DY147" i="31"/>
  <c r="CL148" i="31"/>
  <c r="CL147" i="31"/>
  <c r="BC148" i="31"/>
  <c r="BC147" i="31"/>
  <c r="CH148" i="31"/>
  <c r="CH147" i="31"/>
  <c r="CP148" i="31"/>
  <c r="CP147" i="31"/>
  <c r="CP163" i="31" s="1"/>
  <c r="DE148" i="31"/>
  <c r="DE147" i="31"/>
  <c r="BM146" i="31"/>
  <c r="BR146" i="31"/>
  <c r="AY146" i="31"/>
  <c r="BF146" i="31"/>
  <c r="BB146" i="31"/>
  <c r="BO146" i="31"/>
  <c r="BH146" i="31"/>
  <c r="BD146" i="31"/>
  <c r="AW146" i="31"/>
  <c r="AV147" i="31" l="1"/>
  <c r="BG147" i="31"/>
  <c r="BG163" i="31" s="1"/>
  <c r="CO163" i="31"/>
  <c r="DZ163" i="31"/>
  <c r="DW163" i="31"/>
  <c r="EB163" i="31"/>
  <c r="DS163" i="31"/>
  <c r="CC163" i="31"/>
  <c r="CI163" i="31"/>
  <c r="DL163" i="31"/>
  <c r="DH163" i="31"/>
  <c r="BL163" i="31"/>
  <c r="AV163" i="31"/>
  <c r="DN163" i="31"/>
  <c r="CF163" i="31"/>
  <c r="DJ163" i="31"/>
  <c r="CB163" i="31"/>
  <c r="DQ163" i="31"/>
  <c r="BP163" i="31"/>
  <c r="DP163" i="31"/>
  <c r="DU163" i="31"/>
  <c r="DX163" i="31"/>
  <c r="DE163" i="31"/>
  <c r="CH163" i="31"/>
  <c r="BD148" i="31"/>
  <c r="BD147" i="31"/>
  <c r="BR148" i="31"/>
  <c r="BR147" i="31"/>
  <c r="BM148" i="31"/>
  <c r="BM147" i="31"/>
  <c r="AW148" i="31"/>
  <c r="AW147" i="31"/>
  <c r="BH148" i="31"/>
  <c r="BH147" i="31"/>
  <c r="BO148" i="31"/>
  <c r="BO147" i="31"/>
  <c r="BB148" i="31"/>
  <c r="BB147" i="31"/>
  <c r="BF148" i="31"/>
  <c r="BF147" i="31"/>
  <c r="AY148" i="31"/>
  <c r="AY147" i="31"/>
  <c r="BE163" i="31"/>
  <c r="CS163" i="31"/>
  <c r="CQ163" i="31"/>
  <c r="CX163" i="31"/>
  <c r="BI163" i="31"/>
  <c r="BQ163" i="31"/>
  <c r="BK163" i="31"/>
  <c r="BS163" i="31"/>
  <c r="DK163" i="31"/>
  <c r="CE163" i="31"/>
  <c r="DT163" i="31"/>
  <c r="BC163" i="31"/>
  <c r="DV163" i="31"/>
  <c r="CU163" i="31"/>
  <c r="CG163" i="31"/>
  <c r="BA163" i="31"/>
  <c r="CD163" i="31"/>
  <c r="DY163" i="31"/>
  <c r="AZ163" i="31"/>
  <c r="CT163" i="31"/>
  <c r="CM163" i="31"/>
  <c r="DI163" i="31"/>
  <c r="DO163" i="31"/>
  <c r="AX163" i="31"/>
  <c r="CK163" i="31"/>
  <c r="CL163" i="31"/>
  <c r="BN163" i="31"/>
  <c r="CW163" i="31"/>
  <c r="DM163" i="31"/>
  <c r="CR163" i="31"/>
  <c r="DR163" i="31"/>
  <c r="DF163" i="31"/>
  <c r="DG163" i="31"/>
  <c r="CN163" i="31"/>
  <c r="BO163" i="31" l="1"/>
  <c r="BR163" i="31"/>
  <c r="AY163" i="31"/>
  <c r="BH163" i="31"/>
  <c r="BD163" i="31"/>
  <c r="BF163" i="31"/>
  <c r="BB163" i="31"/>
  <c r="BM163" i="31"/>
  <c r="AW163" i="31"/>
  <c r="D249" i="31"/>
  <c r="D250" i="31"/>
  <c r="D248" i="31" l="1"/>
  <c r="A106" i="30"/>
  <c r="A105" i="30"/>
  <c r="A104" i="30"/>
  <c r="A103" i="30"/>
  <c r="A102" i="30"/>
  <c r="A101" i="30"/>
  <c r="A100" i="30"/>
  <c r="A99" i="30"/>
  <c r="A98" i="30"/>
  <c r="A97" i="30"/>
  <c r="A96" i="30"/>
  <c r="A95" i="30"/>
  <c r="A94" i="30"/>
  <c r="A93" i="30"/>
  <c r="A92" i="30"/>
  <c r="A91" i="30"/>
  <c r="A90" i="30"/>
  <c r="A89" i="30"/>
  <c r="A88" i="30"/>
  <c r="A87" i="30"/>
  <c r="A86" i="30"/>
  <c r="A85" i="30"/>
  <c r="A84" i="30"/>
  <c r="A83" i="30"/>
  <c r="A82" i="30"/>
  <c r="AC10" i="30" l="1"/>
  <c r="A126" i="30"/>
  <c r="AC8" i="30"/>
  <c r="A124" i="30"/>
  <c r="A125" i="30"/>
  <c r="AC9" i="30"/>
  <c r="A127" i="30"/>
  <c r="AC11" i="30"/>
  <c r="A128" i="30"/>
  <c r="AC12" i="30"/>
  <c r="AC13" i="30"/>
  <c r="A129" i="30"/>
  <c r="A122" i="30"/>
  <c r="AC6" i="30"/>
  <c r="A130" i="30"/>
  <c r="AC14" i="30"/>
  <c r="A123" i="30"/>
  <c r="AC7" i="30"/>
  <c r="A131" i="30"/>
  <c r="AC15" i="30"/>
  <c r="T19" i="7"/>
  <c r="BB20" i="28" s="1"/>
  <c r="BH20" i="28" s="1"/>
  <c r="T18" i="7"/>
  <c r="BB19" i="28" s="1"/>
  <c r="BH19" i="28" s="1"/>
  <c r="T17" i="7"/>
  <c r="BB18" i="28" s="1"/>
  <c r="BH18" i="28" s="1"/>
  <c r="T16" i="7"/>
  <c r="BB17" i="28" s="1"/>
  <c r="BH17" i="28" s="1"/>
  <c r="T15" i="7"/>
  <c r="BB16" i="28" s="1"/>
  <c r="BH16" i="28" s="1"/>
  <c r="T10" i="7"/>
  <c r="BB11" i="28" s="1"/>
  <c r="T9" i="7"/>
  <c r="BB10" i="28" s="1"/>
  <c r="BI10" i="28" s="1"/>
  <c r="T8" i="7"/>
  <c r="BB9" i="28" s="1"/>
  <c r="BI9" i="28" s="1"/>
  <c r="D122" i="30" l="1"/>
  <c r="J122" i="30" s="1"/>
  <c r="D124" i="30"/>
  <c r="J124" i="30" s="1"/>
  <c r="D123" i="30"/>
  <c r="J123" i="30" s="1"/>
  <c r="AI11" i="30"/>
  <c r="AJ11" i="30"/>
  <c r="AG11" i="30"/>
  <c r="AF11" i="30"/>
  <c r="AH11" i="30"/>
  <c r="AH6" i="30"/>
  <c r="AJ6" i="30"/>
  <c r="AI6" i="30"/>
  <c r="AF6" i="30"/>
  <c r="AG6" i="30"/>
  <c r="AH9" i="30"/>
  <c r="AJ9" i="30"/>
  <c r="AI9" i="30"/>
  <c r="AG9" i="30"/>
  <c r="AF9" i="30"/>
  <c r="AJ14" i="30"/>
  <c r="AH14" i="30"/>
  <c r="AI14" i="30"/>
  <c r="AF14" i="30"/>
  <c r="AG14" i="30"/>
  <c r="AJ15" i="30"/>
  <c r="AI15" i="30"/>
  <c r="AF15" i="30"/>
  <c r="AH15" i="30"/>
  <c r="AG15" i="30"/>
  <c r="AJ13" i="30"/>
  <c r="AF13" i="30"/>
  <c r="AG13" i="30"/>
  <c r="AI13" i="30"/>
  <c r="AH13" i="30"/>
  <c r="AJ7" i="30"/>
  <c r="AH7" i="30"/>
  <c r="AG7" i="30"/>
  <c r="AI7" i="30"/>
  <c r="AI12" i="30"/>
  <c r="AH12" i="30"/>
  <c r="AJ12" i="30"/>
  <c r="AF12" i="30"/>
  <c r="AG12" i="30"/>
  <c r="AH10" i="30"/>
  <c r="AJ10" i="30"/>
  <c r="AG10" i="30"/>
  <c r="AI10" i="30"/>
  <c r="AF10" i="30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C217" i="31" l="1"/>
  <c r="BR40" i="23"/>
  <c r="BR32" i="23"/>
  <c r="BR24" i="23"/>
  <c r="D217" i="31" l="1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P51" i="26" l="1"/>
  <c r="AK51" i="26"/>
  <c r="BR47" i="24"/>
  <c r="AK47" i="24"/>
  <c r="AR50" i="26"/>
  <c r="AK50" i="26"/>
  <c r="BM38" i="26"/>
  <c r="AK38" i="26"/>
  <c r="BS34" i="18"/>
  <c r="AK34" i="18"/>
  <c r="AO43" i="26"/>
  <c r="AK43" i="26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S43" i="24"/>
  <c r="AK43" i="24"/>
  <c r="BS38" i="18"/>
  <c r="AK38" i="18"/>
  <c r="AQ35" i="26"/>
  <c r="AK3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Q40" i="25"/>
  <c r="AK40" i="25"/>
  <c r="AU51" i="24"/>
  <c r="AK51" i="24"/>
  <c r="AM46" i="26"/>
  <c r="AK46" i="26"/>
  <c r="AQ50" i="18"/>
  <c r="AK50" i="18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Y39" i="26"/>
  <c r="AK39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0" s="1"/>
  <c r="AH69" i="30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C72" i="26"/>
  <c r="A72" i="26"/>
  <c r="T71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W72" i="26" s="1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B48" i="26"/>
  <c r="B72" i="26" s="1"/>
  <c r="A48" i="26"/>
  <c r="Y47" i="26"/>
  <c r="X47" i="26"/>
  <c r="W47" i="26"/>
  <c r="W71" i="26" s="1"/>
  <c r="V47" i="26"/>
  <c r="V71" i="26" s="1"/>
  <c r="U47" i="26"/>
  <c r="T47" i="26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AD57" i="24"/>
  <c r="A54" i="24"/>
  <c r="A53" i="24"/>
  <c r="A52" i="24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S44" i="24"/>
  <c r="S68" i="24" s="1"/>
  <c r="R44" i="24"/>
  <c r="Q44" i="24"/>
  <c r="P44" i="24"/>
  <c r="O44" i="24"/>
  <c r="O68" i="24" s="1"/>
  <c r="N44" i="24"/>
  <c r="N68" i="24" s="1"/>
  <c r="M44" i="24"/>
  <c r="M68" i="24" s="1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S43" i="24"/>
  <c r="R43" i="24"/>
  <c r="Q43" i="24"/>
  <c r="P43" i="24"/>
  <c r="P67" i="24" s="1"/>
  <c r="O43" i="24"/>
  <c r="O67" i="24" s="1"/>
  <c r="N43" i="24"/>
  <c r="N67" i="24" s="1"/>
  <c r="M43" i="24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S42" i="24"/>
  <c r="R42" i="24"/>
  <c r="Q42" i="24"/>
  <c r="Q66" i="24" s="1"/>
  <c r="P42" i="24"/>
  <c r="P66" i="24" s="1"/>
  <c r="O42" i="24"/>
  <c r="O66" i="24" s="1"/>
  <c r="N42" i="24"/>
  <c r="M42" i="24"/>
  <c r="M66" i="24" s="1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S41" i="24"/>
  <c r="R41" i="24"/>
  <c r="R65" i="24" s="1"/>
  <c r="Q41" i="24"/>
  <c r="Q65" i="24" s="1"/>
  <c r="P41" i="24"/>
  <c r="P65" i="24" s="1"/>
  <c r="O41" i="24"/>
  <c r="N41" i="24"/>
  <c r="N65" i="24" s="1"/>
  <c r="M41" i="24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S40" i="24"/>
  <c r="R40" i="24"/>
  <c r="Q40" i="24"/>
  <c r="Q64" i="24" s="1"/>
  <c r="P40" i="24"/>
  <c r="O40" i="24"/>
  <c r="N40" i="24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X39" i="24"/>
  <c r="W39" i="24"/>
  <c r="W63" i="24" s="1"/>
  <c r="V39" i="24"/>
  <c r="U39" i="24"/>
  <c r="T39" i="24"/>
  <c r="T63" i="24" s="1"/>
  <c r="S39" i="24"/>
  <c r="R39" i="24"/>
  <c r="R63" i="24" s="1"/>
  <c r="Q39" i="24"/>
  <c r="P39" i="24"/>
  <c r="O39" i="24"/>
  <c r="O63" i="24" s="1"/>
  <c r="N39" i="24"/>
  <c r="M39" i="24"/>
  <c r="L39" i="24"/>
  <c r="K39" i="24"/>
  <c r="J39" i="24"/>
  <c r="J63" i="24" s="1"/>
  <c r="I39" i="24"/>
  <c r="H39" i="24"/>
  <c r="G39" i="24"/>
  <c r="G63" i="24" s="1"/>
  <c r="F39" i="24"/>
  <c r="E39" i="24"/>
  <c r="D39" i="24"/>
  <c r="D63" i="24" s="1"/>
  <c r="C39" i="24"/>
  <c r="B39" i="24"/>
  <c r="B63" i="24" s="1"/>
  <c r="A39" i="24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0" s="1"/>
  <c r="AF7" i="30" s="1"/>
  <c r="L35" i="23"/>
  <c r="K36" i="23"/>
  <c r="AD8" i="30" s="1"/>
  <c r="AI8" i="30" s="1"/>
  <c r="AI16" i="30" s="1"/>
  <c r="L36" i="23"/>
  <c r="K37" i="23"/>
  <c r="AD9" i="30" s="1"/>
  <c r="L37" i="23"/>
  <c r="K38" i="23"/>
  <c r="AD10" i="30" s="1"/>
  <c r="L38" i="23"/>
  <c r="K39" i="23"/>
  <c r="AD11" i="30" s="1"/>
  <c r="L39" i="23"/>
  <c r="K40" i="23"/>
  <c r="AD12" i="30" s="1"/>
  <c r="L40" i="23"/>
  <c r="K41" i="23"/>
  <c r="AD13" i="30" s="1"/>
  <c r="L41" i="23"/>
  <c r="K42" i="23"/>
  <c r="AD14" i="30" s="1"/>
  <c r="L42" i="23"/>
  <c r="K43" i="23"/>
  <c r="AD15" i="30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AH8" i="30" l="1"/>
  <c r="AH16" i="30" s="1"/>
  <c r="AJ8" i="30"/>
  <c r="AF8" i="30"/>
  <c r="AF16" i="30" s="1"/>
  <c r="AG8" i="30"/>
  <c r="M49" i="24"/>
  <c r="CC26" i="25"/>
  <c r="AK26" i="25"/>
  <c r="CE28" i="25"/>
  <c r="AK28" i="25"/>
  <c r="BW26" i="26"/>
  <c r="AK26" i="26"/>
  <c r="CA30" i="26"/>
  <c r="AK30" i="26"/>
  <c r="CE25" i="25"/>
  <c r="AK25" i="25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Q11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111" i="26"/>
  <c r="P64" i="26"/>
  <c r="X49" i="26"/>
  <c r="X64" i="26"/>
  <c r="G65" i="26"/>
  <c r="O65" i="26"/>
  <c r="W65" i="26"/>
  <c r="F66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114" i="26"/>
  <c r="I67" i="26"/>
  <c r="Y67" i="26"/>
  <c r="H68" i="26"/>
  <c r="P68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G114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116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W119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118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117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1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AC18" i="30"/>
  <c r="AC20" i="30"/>
  <c r="AJ16" i="30"/>
  <c r="AG16" i="30"/>
  <c r="AC19" i="30"/>
  <c r="R73" i="24"/>
  <c r="V157" i="26"/>
  <c r="G157" i="26"/>
  <c r="J73" i="24"/>
  <c r="D151" i="26"/>
  <c r="BY54" i="26"/>
  <c r="CA54" i="25"/>
  <c r="BX54" i="24"/>
  <c r="CE54" i="25"/>
  <c r="AZ54" i="24"/>
  <c r="CD104" i="30" s="1"/>
  <c r="E97" i="30" s="1"/>
  <c r="L97" i="30" s="1"/>
  <c r="AS54" i="24"/>
  <c r="CD97" i="30" s="1"/>
  <c r="E90" i="30" s="1"/>
  <c r="L90" i="30" s="1"/>
  <c r="AT54" i="24"/>
  <c r="CD98" i="30" s="1"/>
  <c r="E91" i="30" s="1"/>
  <c r="L91" i="30" s="1"/>
  <c r="BB54" i="24"/>
  <c r="CD106" i="30" s="1"/>
  <c r="E99" i="30" s="1"/>
  <c r="L99" i="30" s="1"/>
  <c r="BL54" i="24"/>
  <c r="BA54" i="25"/>
  <c r="CE105" i="30" s="1"/>
  <c r="F98" i="30" s="1"/>
  <c r="M98" i="30" s="1"/>
  <c r="BR54" i="25"/>
  <c r="BE54" i="25"/>
  <c r="CE109" i="30" s="1"/>
  <c r="F102" i="30" s="1"/>
  <c r="M102" i="30" s="1"/>
  <c r="BV54" i="25"/>
  <c r="AQ54" i="24"/>
  <c r="CD95" i="30" s="1"/>
  <c r="E88" i="30" s="1"/>
  <c r="L88" i="30" s="1"/>
  <c r="AV54" i="24"/>
  <c r="CD100" i="30" s="1"/>
  <c r="E93" i="30" s="1"/>
  <c r="L93" i="30" s="1"/>
  <c r="BA54" i="24"/>
  <c r="CD105" i="30" s="1"/>
  <c r="E98" i="30" s="1"/>
  <c r="L98" i="30" s="1"/>
  <c r="BJ54" i="24"/>
  <c r="BR54" i="24"/>
  <c r="AO54" i="24"/>
  <c r="CD93" i="30" s="1"/>
  <c r="E86" i="30" s="1"/>
  <c r="L86" i="30" s="1"/>
  <c r="BI54" i="25"/>
  <c r="CE113" i="30" s="1"/>
  <c r="F106" i="30" s="1"/>
  <c r="M106" i="30" s="1"/>
  <c r="BZ54" i="25"/>
  <c r="AV54" i="25"/>
  <c r="CE100" i="30" s="1"/>
  <c r="F93" i="30" s="1"/>
  <c r="M93" i="30" s="1"/>
  <c r="BM54" i="25"/>
  <c r="CD54" i="25"/>
  <c r="AS54" i="25"/>
  <c r="CE97" i="30" s="1"/>
  <c r="F90" i="30" s="1"/>
  <c r="M90" i="30" s="1"/>
  <c r="AY54" i="24"/>
  <c r="CD103" i="30" s="1"/>
  <c r="E96" i="30" s="1"/>
  <c r="L96" i="30" s="1"/>
  <c r="CB54" i="24"/>
  <c r="BI54" i="24"/>
  <c r="CD113" i="30" s="1"/>
  <c r="E106" i="30" s="1"/>
  <c r="L106" i="30" s="1"/>
  <c r="BZ54" i="24"/>
  <c r="AW54" i="24"/>
  <c r="CD101" i="30" s="1"/>
  <c r="E94" i="30" s="1"/>
  <c r="L94" i="30" s="1"/>
  <c r="AR54" i="25"/>
  <c r="CE96" i="30" s="1"/>
  <c r="F89" i="30" s="1"/>
  <c r="M89" i="30" s="1"/>
  <c r="BQ54" i="25"/>
  <c r="BD54" i="25"/>
  <c r="CE108" i="30" s="1"/>
  <c r="F101" i="30" s="1"/>
  <c r="M101" i="30" s="1"/>
  <c r="BU54" i="25"/>
  <c r="BF54" i="26"/>
  <c r="BN54" i="24"/>
  <c r="AW54" i="25"/>
  <c r="CE101" i="30" s="1"/>
  <c r="F94" i="30" s="1"/>
  <c r="M94" i="30" s="1"/>
  <c r="BG54" i="24"/>
  <c r="CD111" i="30" s="1"/>
  <c r="E104" i="30" s="1"/>
  <c r="L104" i="30" s="1"/>
  <c r="AX54" i="24"/>
  <c r="CD102" i="30" s="1"/>
  <c r="E95" i="30" s="1"/>
  <c r="L95" i="30" s="1"/>
  <c r="BQ54" i="24"/>
  <c r="BT54" i="24"/>
  <c r="AU54" i="24"/>
  <c r="CD99" i="30" s="1"/>
  <c r="E92" i="30" s="1"/>
  <c r="L92" i="30" s="1"/>
  <c r="BE54" i="24"/>
  <c r="CD109" i="30" s="1"/>
  <c r="E102" i="30" s="1"/>
  <c r="L102" i="30" s="1"/>
  <c r="AZ54" i="25"/>
  <c r="CE104" i="30" s="1"/>
  <c r="F97" i="30" s="1"/>
  <c r="M97" i="30" s="1"/>
  <c r="BY54" i="25"/>
  <c r="AU54" i="25"/>
  <c r="CE99" i="30" s="1"/>
  <c r="F92" i="30" s="1"/>
  <c r="M92" i="30" s="1"/>
  <c r="BL54" i="25"/>
  <c r="CC54" i="25"/>
  <c r="AY54" i="25"/>
  <c r="CE103" i="30" s="1"/>
  <c r="F96" i="30" s="1"/>
  <c r="M96" i="30" s="1"/>
  <c r="BO54" i="24"/>
  <c r="BV54" i="24"/>
  <c r="BY54" i="24"/>
  <c r="BC54" i="24"/>
  <c r="CD107" i="30" s="1"/>
  <c r="E100" i="30" s="1"/>
  <c r="L100" i="30" s="1"/>
  <c r="BM54" i="24"/>
  <c r="BH54" i="25"/>
  <c r="CE112" i="30" s="1"/>
  <c r="F105" i="30" s="1"/>
  <c r="M105" i="30" s="1"/>
  <c r="BC54" i="25"/>
  <c r="CE107" i="30" s="1"/>
  <c r="F100" i="30" s="1"/>
  <c r="M100" i="30" s="1"/>
  <c r="BT54" i="25"/>
  <c r="BG54" i="25"/>
  <c r="CE111" i="30" s="1"/>
  <c r="F104" i="30" s="1"/>
  <c r="M104" i="30" s="1"/>
  <c r="CA54" i="24"/>
  <c r="BN54" i="25"/>
  <c r="BW54" i="24"/>
  <c r="AR54" i="24"/>
  <c r="CD96" i="30" s="1"/>
  <c r="E89" i="30" s="1"/>
  <c r="L89" i="30" s="1"/>
  <c r="BD54" i="24"/>
  <c r="CD108" i="30" s="1"/>
  <c r="E101" i="30" s="1"/>
  <c r="L101" i="30" s="1"/>
  <c r="BF54" i="24"/>
  <c r="CD110" i="30" s="1"/>
  <c r="E103" i="30" s="1"/>
  <c r="L103" i="30" s="1"/>
  <c r="BK54" i="24"/>
  <c r="BU54" i="24"/>
  <c r="BP54" i="25"/>
  <c r="AT54" i="25"/>
  <c r="CE98" i="30" s="1"/>
  <c r="F91" i="30" s="1"/>
  <c r="M91" i="30" s="1"/>
  <c r="BK54" i="25"/>
  <c r="CB54" i="25"/>
  <c r="BO54" i="25"/>
  <c r="BJ54" i="25"/>
  <c r="CE54" i="24"/>
  <c r="BP54" i="24"/>
  <c r="BH54" i="24"/>
  <c r="CD112" i="30" s="1"/>
  <c r="E105" i="30" s="1"/>
  <c r="L105" i="30" s="1"/>
  <c r="CD54" i="24"/>
  <c r="BS54" i="24"/>
  <c r="CC54" i="24"/>
  <c r="BX54" i="25"/>
  <c r="BB54" i="25"/>
  <c r="CE106" i="30" s="1"/>
  <c r="F99" i="30" s="1"/>
  <c r="M99" i="30" s="1"/>
  <c r="BS54" i="25"/>
  <c r="BF54" i="25"/>
  <c r="CE110" i="30" s="1"/>
  <c r="F103" i="30" s="1"/>
  <c r="M103" i="30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T54" i="18" l="1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0"/>
  <c r="D106" i="30" s="1"/>
  <c r="K106" i="30" s="1"/>
  <c r="J106" i="30" s="1"/>
  <c r="AA14" i="22"/>
  <c r="C31" i="22" s="1"/>
  <c r="CC109" i="30"/>
  <c r="D102" i="30" s="1"/>
  <c r="K102" i="30" s="1"/>
  <c r="J102" i="30" s="1"/>
  <c r="AD14" i="22"/>
  <c r="C34" i="22" s="1"/>
  <c r="CC112" i="30"/>
  <c r="D105" i="30" s="1"/>
  <c r="K105" i="30" s="1"/>
  <c r="J105" i="30" s="1"/>
  <c r="N14" i="22"/>
  <c r="C18" i="22" s="1"/>
  <c r="CC96" i="30"/>
  <c r="D89" i="30" s="1"/>
  <c r="K89" i="30" s="1"/>
  <c r="J89" i="30" s="1"/>
  <c r="O14" i="22"/>
  <c r="C19" i="22" s="1"/>
  <c r="CC97" i="30"/>
  <c r="D90" i="30" s="1"/>
  <c r="K90" i="30" s="1"/>
  <c r="J90" i="30" s="1"/>
  <c r="U14" i="22"/>
  <c r="C25" i="22" s="1"/>
  <c r="CC103" i="30"/>
  <c r="D96" i="30" s="1"/>
  <c r="K96" i="30" s="1"/>
  <c r="J96" i="30" s="1"/>
  <c r="Z14" i="22"/>
  <c r="C30" i="22" s="1"/>
  <c r="CC108" i="30"/>
  <c r="D101" i="30" s="1"/>
  <c r="K101" i="30" s="1"/>
  <c r="J101" i="30" s="1"/>
  <c r="P14" i="22"/>
  <c r="C20" i="22" s="1"/>
  <c r="CC98" i="30"/>
  <c r="D91" i="30" s="1"/>
  <c r="K91" i="30" s="1"/>
  <c r="J91" i="30" s="1"/>
  <c r="X14" i="22"/>
  <c r="C28" i="22" s="1"/>
  <c r="CC106" i="30"/>
  <c r="D99" i="30" s="1"/>
  <c r="K99" i="30" s="1"/>
  <c r="J99" i="30" s="1"/>
  <c r="Y14" i="22"/>
  <c r="C29" i="22" s="1"/>
  <c r="CC107" i="30"/>
  <c r="D100" i="30" s="1"/>
  <c r="K100" i="30" s="1"/>
  <c r="J100" i="30" s="1"/>
  <c r="V14" i="22"/>
  <c r="C26" i="22" s="1"/>
  <c r="CC104" i="30"/>
  <c r="D97" i="30" s="1"/>
  <c r="K97" i="30" s="1"/>
  <c r="J97" i="30" s="1"/>
  <c r="AB14" i="22"/>
  <c r="C32" i="22" s="1"/>
  <c r="CC110" i="30"/>
  <c r="D103" i="30" s="1"/>
  <c r="K103" i="30" s="1"/>
  <c r="J103" i="30" s="1"/>
  <c r="R14" i="22"/>
  <c r="C22" i="22" s="1"/>
  <c r="CC100" i="30"/>
  <c r="D93" i="30" s="1"/>
  <c r="K93" i="30" s="1"/>
  <c r="J93" i="30" s="1"/>
  <c r="W14" i="22"/>
  <c r="C27" i="22" s="1"/>
  <c r="CC105" i="30"/>
  <c r="D98" i="30" s="1"/>
  <c r="K98" i="30" s="1"/>
  <c r="J98" i="30" s="1"/>
  <c r="AC14" i="22"/>
  <c r="C33" i="22" s="1"/>
  <c r="CC111" i="30"/>
  <c r="D104" i="30" s="1"/>
  <c r="K104" i="30" s="1"/>
  <c r="J104" i="30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0" s="1"/>
  <c r="D88" i="30" s="1"/>
  <c r="K88" i="30" s="1"/>
  <c r="B74" i="15"/>
  <c r="AI20" i="18" s="1"/>
  <c r="B73" i="15"/>
  <c r="AI19" i="18" s="1"/>
  <c r="AK19" i="18" s="1"/>
  <c r="AM20" i="18" l="1"/>
  <c r="AM54" i="18" s="1"/>
  <c r="CC91" i="30" s="1"/>
  <c r="D84" i="30" s="1"/>
  <c r="K84" i="30" s="1"/>
  <c r="AW20" i="18"/>
  <c r="AW54" i="18" s="1"/>
  <c r="AL19" i="18"/>
  <c r="AU19" i="18"/>
  <c r="AL19" i="26"/>
  <c r="AN21" i="26"/>
  <c r="AQ21" i="26"/>
  <c r="AQ54" i="26" s="1"/>
  <c r="AM54" i="26"/>
  <c r="AM20" i="24"/>
  <c r="AM20" i="25"/>
  <c r="AM54" i="25" s="1"/>
  <c r="CE91" i="30" s="1"/>
  <c r="F84" i="30" s="1"/>
  <c r="M84" i="30" s="1"/>
  <c r="AN21" i="24"/>
  <c r="AN54" i="24" s="1"/>
  <c r="CD92" i="30" s="1"/>
  <c r="E85" i="30" s="1"/>
  <c r="L85" i="30" s="1"/>
  <c r="AQ21" i="25"/>
  <c r="AQ54" i="25" s="1"/>
  <c r="CE95" i="30" s="1"/>
  <c r="F88" i="30" s="1"/>
  <c r="M88" i="30" s="1"/>
  <c r="J88" i="30" s="1"/>
  <c r="AI18" i="24"/>
  <c r="AK18" i="25"/>
  <c r="AX22" i="18"/>
  <c r="AX22" i="26"/>
  <c r="AX54" i="26" s="1"/>
  <c r="AL21" i="18"/>
  <c r="AL21" i="26"/>
  <c r="AL21" i="25"/>
  <c r="AO19" i="18"/>
  <c r="AO54" i="18" s="1"/>
  <c r="CC93" i="30" s="1"/>
  <c r="D86" i="30" s="1"/>
  <c r="K86" i="30" s="1"/>
  <c r="AO19" i="26"/>
  <c r="AO54" i="26" s="1"/>
  <c r="AN27" i="26"/>
  <c r="AN54" i="26" s="1"/>
  <c r="L34" i="23"/>
  <c r="H9" i="23" s="1"/>
  <c r="K34" i="23"/>
  <c r="AD6" i="30" s="1"/>
  <c r="S14" i="22" l="1"/>
  <c r="C23" i="22" s="1"/>
  <c r="CC101" i="30"/>
  <c r="D94" i="30" s="1"/>
  <c r="K94" i="30" s="1"/>
  <c r="J94" i="30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0" s="1"/>
  <c r="F95" i="30" s="1"/>
  <c r="M95" i="30" s="1"/>
  <c r="AP22" i="25"/>
  <c r="AO19" i="25"/>
  <c r="AO54" i="25" s="1"/>
  <c r="CE93" i="30" s="1"/>
  <c r="F86" i="30" s="1"/>
  <c r="M86" i="30" s="1"/>
  <c r="J86" i="30" s="1"/>
  <c r="AL19" i="25"/>
  <c r="AM18" i="24"/>
  <c r="AM54" i="24" s="1"/>
  <c r="CD91" i="30" s="1"/>
  <c r="E84" i="30" s="1"/>
  <c r="L84" i="30" s="1"/>
  <c r="J84" i="30" s="1"/>
  <c r="AK18" i="24"/>
  <c r="BS12" i="23"/>
  <c r="I23" i="23" s="1"/>
  <c r="BS11" i="23"/>
  <c r="BS10" i="23"/>
  <c r="BS9" i="23"/>
  <c r="BS8" i="23"/>
  <c r="BS7" i="23"/>
  <c r="F23" i="23" l="1"/>
  <c r="F71" i="23"/>
  <c r="F91" i="23"/>
  <c r="F81" i="23"/>
  <c r="G23" i="23"/>
  <c r="G91" i="23"/>
  <c r="G81" i="23"/>
  <c r="G71" i="23"/>
  <c r="E23" i="23"/>
  <c r="E81" i="23"/>
  <c r="E71" i="23"/>
  <c r="E91" i="23"/>
  <c r="D23" i="23"/>
  <c r="D81" i="23"/>
  <c r="D71" i="23"/>
  <c r="D9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N11" i="23" l="1"/>
  <c r="O37" i="23"/>
  <c r="R18" i="30"/>
  <c r="AD20" i="30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E20" i="30" l="1"/>
  <c r="C21" i="30" s="1"/>
  <c r="AF20" i="30"/>
  <c r="D21" i="30" s="1"/>
  <c r="C156" i="31" s="1"/>
  <c r="T18" i="30"/>
  <c r="S18" i="30"/>
  <c r="I24" i="23"/>
  <c r="F24" i="23"/>
  <c r="G24" i="23"/>
  <c r="E24" i="23"/>
  <c r="K24" i="23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W178" i="18"/>
  <c r="V178" i="18"/>
  <c r="U178" i="18"/>
  <c r="T178" i="18"/>
  <c r="S178" i="18"/>
  <c r="R178" i="18"/>
  <c r="Q178" i="18"/>
  <c r="P178" i="18"/>
  <c r="O178" i="18"/>
  <c r="N178" i="18"/>
  <c r="A178" i="18"/>
  <c r="A177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0" s="1"/>
  <c r="AT78" i="30" s="1"/>
  <c r="M48" i="18"/>
  <c r="AS56" i="30" s="1"/>
  <c r="AS78" i="30" s="1"/>
  <c r="L48" i="18"/>
  <c r="AR56" i="30" s="1"/>
  <c r="AR78" i="30" s="1"/>
  <c r="K48" i="18"/>
  <c r="AQ56" i="30" s="1"/>
  <c r="AQ78" i="30" s="1"/>
  <c r="J48" i="18"/>
  <c r="AP56" i="30" s="1"/>
  <c r="AP78" i="30" s="1"/>
  <c r="I48" i="18"/>
  <c r="H48" i="18"/>
  <c r="AN56" i="30" s="1"/>
  <c r="AN78" i="30" s="1"/>
  <c r="G48" i="18"/>
  <c r="F48" i="18"/>
  <c r="AL56" i="30" s="1"/>
  <c r="AL78" i="30" s="1"/>
  <c r="E48" i="18"/>
  <c r="AK56" i="30" s="1"/>
  <c r="AK78" i="30" s="1"/>
  <c r="D48" i="18"/>
  <c r="AJ56" i="30" s="1"/>
  <c r="AJ78" i="30" s="1"/>
  <c r="C48" i="18"/>
  <c r="AI56" i="30" s="1"/>
  <c r="AI78" i="30" s="1"/>
  <c r="B48" i="18"/>
  <c r="AH56" i="30" s="1"/>
  <c r="AH78" i="30" s="1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0" s="1"/>
  <c r="AU72" i="30" s="1"/>
  <c r="N42" i="18"/>
  <c r="AT50" i="30" s="1"/>
  <c r="AT72" i="30" s="1"/>
  <c r="M42" i="18"/>
  <c r="AS50" i="30" s="1"/>
  <c r="AS72" i="30" s="1"/>
  <c r="L42" i="18"/>
  <c r="AR50" i="30" s="1"/>
  <c r="AR72" i="30" s="1"/>
  <c r="K42" i="18"/>
  <c r="AQ50" i="30" s="1"/>
  <c r="AQ72" i="30" s="1"/>
  <c r="J42" i="18"/>
  <c r="AP50" i="30" s="1"/>
  <c r="AP72" i="30" s="1"/>
  <c r="I42" i="18"/>
  <c r="AO50" i="30" s="1"/>
  <c r="AO72" i="30" s="1"/>
  <c r="H42" i="18"/>
  <c r="AN50" i="30" s="1"/>
  <c r="AN72" i="30" s="1"/>
  <c r="G42" i="18"/>
  <c r="F42" i="18"/>
  <c r="AL50" i="30" s="1"/>
  <c r="AL72" i="30" s="1"/>
  <c r="E42" i="18"/>
  <c r="AK50" i="30" s="1"/>
  <c r="AK72" i="30" s="1"/>
  <c r="D42" i="18"/>
  <c r="AJ50" i="30" s="1"/>
  <c r="AJ72" i="30" s="1"/>
  <c r="C42" i="18"/>
  <c r="AI50" i="30" s="1"/>
  <c r="AI72" i="30" s="1"/>
  <c r="B42" i="18"/>
  <c r="AH50" i="30" s="1"/>
  <c r="AH72" i="30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0" s="1"/>
  <c r="AU71" i="30" s="1"/>
  <c r="N41" i="18"/>
  <c r="AT49" i="30" s="1"/>
  <c r="AT71" i="30" s="1"/>
  <c r="M41" i="18"/>
  <c r="AS49" i="30" s="1"/>
  <c r="AS71" i="30" s="1"/>
  <c r="L41" i="18"/>
  <c r="AR49" i="30" s="1"/>
  <c r="AR71" i="30" s="1"/>
  <c r="K41" i="18"/>
  <c r="AQ49" i="30" s="1"/>
  <c r="AQ71" i="30" s="1"/>
  <c r="J41" i="18"/>
  <c r="AP49" i="30" s="1"/>
  <c r="AP71" i="30" s="1"/>
  <c r="I41" i="18"/>
  <c r="AO49" i="30" s="1"/>
  <c r="AO71" i="30" s="1"/>
  <c r="H41" i="18"/>
  <c r="G41" i="18"/>
  <c r="AM49" i="30" s="1"/>
  <c r="AM71" i="30" s="1"/>
  <c r="F41" i="18"/>
  <c r="AL49" i="30" s="1"/>
  <c r="AL71" i="30" s="1"/>
  <c r="E41" i="18"/>
  <c r="AK49" i="30" s="1"/>
  <c r="AK71" i="30" s="1"/>
  <c r="D41" i="18"/>
  <c r="AJ49" i="30" s="1"/>
  <c r="AJ71" i="30" s="1"/>
  <c r="C41" i="18"/>
  <c r="AI49" i="30" s="1"/>
  <c r="AI71" i="30" s="1"/>
  <c r="B41" i="18"/>
  <c r="AH49" i="30" s="1"/>
  <c r="AH71" i="30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0" s="1"/>
  <c r="AU70" i="30" s="1"/>
  <c r="N40" i="18"/>
  <c r="AT48" i="30" s="1"/>
  <c r="AT70" i="30" s="1"/>
  <c r="M40" i="18"/>
  <c r="AS48" i="30" s="1"/>
  <c r="AS70" i="30" s="1"/>
  <c r="L40" i="18"/>
  <c r="AR48" i="30" s="1"/>
  <c r="AR70" i="30" s="1"/>
  <c r="K40" i="18"/>
  <c r="AQ48" i="30" s="1"/>
  <c r="AQ70" i="30" s="1"/>
  <c r="J40" i="18"/>
  <c r="AP48" i="30" s="1"/>
  <c r="AP70" i="30" s="1"/>
  <c r="I40" i="18"/>
  <c r="H40" i="18"/>
  <c r="AN48" i="30" s="1"/>
  <c r="AN70" i="30" s="1"/>
  <c r="G40" i="18"/>
  <c r="AM48" i="30" s="1"/>
  <c r="AM70" i="30" s="1"/>
  <c r="F40" i="18"/>
  <c r="AL48" i="30" s="1"/>
  <c r="AL70" i="30" s="1"/>
  <c r="E40" i="18"/>
  <c r="AK48" i="30" s="1"/>
  <c r="AK70" i="30" s="1"/>
  <c r="D40" i="18"/>
  <c r="AJ48" i="30" s="1"/>
  <c r="AJ70" i="30" s="1"/>
  <c r="C40" i="18"/>
  <c r="AI48" i="30" s="1"/>
  <c r="AI70" i="30" s="1"/>
  <c r="B40" i="18"/>
  <c r="A40" i="18"/>
  <c r="Y39" i="18"/>
  <c r="BE47" i="30" s="1"/>
  <c r="BE69" i="30" s="1"/>
  <c r="X39" i="18"/>
  <c r="BD47" i="30" s="1"/>
  <c r="BD69" i="30" s="1"/>
  <c r="W39" i="18"/>
  <c r="BC47" i="30" s="1"/>
  <c r="BC69" i="30" s="1"/>
  <c r="V39" i="18"/>
  <c r="BB47" i="30" s="1"/>
  <c r="BB69" i="30" s="1"/>
  <c r="U39" i="18"/>
  <c r="BA47" i="30" s="1"/>
  <c r="BA69" i="30" s="1"/>
  <c r="T39" i="18"/>
  <c r="AZ47" i="30" s="1"/>
  <c r="AZ69" i="30" s="1"/>
  <c r="S39" i="18"/>
  <c r="AY47" i="30" s="1"/>
  <c r="AY69" i="30" s="1"/>
  <c r="R39" i="18"/>
  <c r="Q39" i="18"/>
  <c r="AW47" i="30" s="1"/>
  <c r="AW69" i="30" s="1"/>
  <c r="P39" i="18"/>
  <c r="AV47" i="30" s="1"/>
  <c r="AV69" i="30" s="1"/>
  <c r="O39" i="18"/>
  <c r="AU47" i="30" s="1"/>
  <c r="AU69" i="30" s="1"/>
  <c r="N39" i="18"/>
  <c r="AT47" i="30" s="1"/>
  <c r="AT69" i="30" s="1"/>
  <c r="M39" i="18"/>
  <c r="AS47" i="30" s="1"/>
  <c r="AS69" i="30" s="1"/>
  <c r="L39" i="18"/>
  <c r="AR47" i="30" s="1"/>
  <c r="AR69" i="30" s="1"/>
  <c r="K39" i="18"/>
  <c r="AQ47" i="30" s="1"/>
  <c r="AQ69" i="30" s="1"/>
  <c r="J39" i="18"/>
  <c r="I39" i="18"/>
  <c r="AO47" i="30" s="1"/>
  <c r="AO69" i="30" s="1"/>
  <c r="H39" i="18"/>
  <c r="AN47" i="30" s="1"/>
  <c r="AN69" i="30" s="1"/>
  <c r="G39" i="18"/>
  <c r="AM47" i="30" s="1"/>
  <c r="AM69" i="30" s="1"/>
  <c r="F39" i="18"/>
  <c r="AL47" i="30" s="1"/>
  <c r="AL69" i="30" s="1"/>
  <c r="E39" i="18"/>
  <c r="AK47" i="30" s="1"/>
  <c r="AK69" i="30" s="1"/>
  <c r="D39" i="18"/>
  <c r="AJ47" i="30" s="1"/>
  <c r="AJ69" i="30" s="1"/>
  <c r="C39" i="18"/>
  <c r="AI47" i="30" s="1"/>
  <c r="AI69" i="30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D156" i="31" l="1"/>
  <c r="B64" i="18"/>
  <c r="AH48" i="30"/>
  <c r="AH70" i="30" s="1"/>
  <c r="I64" i="18"/>
  <c r="AO48" i="30"/>
  <c r="AO70" i="30" s="1"/>
  <c r="H65" i="18"/>
  <c r="AN49" i="30"/>
  <c r="AN71" i="30" s="1"/>
  <c r="G66" i="18"/>
  <c r="AM50" i="30"/>
  <c r="AM72" i="30" s="1"/>
  <c r="J63" i="18"/>
  <c r="AP47" i="30"/>
  <c r="AP69" i="30" s="1"/>
  <c r="R63" i="18"/>
  <c r="AX47" i="30"/>
  <c r="AX69" i="30" s="1"/>
  <c r="G72" i="18"/>
  <c r="AM56" i="30"/>
  <c r="AM78" i="30" s="1"/>
  <c r="O72" i="18"/>
  <c r="AU56" i="30"/>
  <c r="AU78" i="30" s="1"/>
  <c r="I72" i="18"/>
  <c r="AO56" i="30"/>
  <c r="AO78" i="30" s="1"/>
  <c r="C169" i="31"/>
  <c r="K72" i="23"/>
  <c r="C171" i="31"/>
  <c r="C153" i="31"/>
  <c r="J21" i="30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0" l="1"/>
  <c r="C159" i="31"/>
  <c r="D153" i="31"/>
  <c r="D171" i="31"/>
  <c r="D169" i="31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1" l="1"/>
  <c r="AA121" i="18"/>
  <c r="C67" i="31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0" s="1"/>
  <c r="Y137" i="30" s="1"/>
  <c r="E22" i="15"/>
  <c r="Z137" i="30" s="1"/>
  <c r="AA137" i="30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29" s="1"/>
  <c r="C31" i="29" s="1"/>
  <c r="B22" i="15"/>
  <c r="T137" i="30" s="1"/>
  <c r="K115" i="30" s="1"/>
  <c r="B25" i="15"/>
  <c r="B26" i="15"/>
  <c r="B92" i="15" s="1"/>
  <c r="AI38" i="18" s="1"/>
  <c r="C70" i="31" l="1"/>
  <c r="D67" i="31"/>
  <c r="F31" i="29"/>
  <c r="M115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0" s="1"/>
  <c r="D87" i="30" s="1"/>
  <c r="K87" i="30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0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0" s="1"/>
  <c r="E24" i="15"/>
  <c r="E53" i="15" s="1"/>
  <c r="E51" i="15"/>
  <c r="E38" i="15"/>
  <c r="D51" i="15"/>
  <c r="D38" i="15"/>
  <c r="D15" i="30" s="1"/>
  <c r="D23" i="15"/>
  <c r="E37" i="15"/>
  <c r="W11" i="30" s="1"/>
  <c r="W12" i="30" s="1"/>
  <c r="Y85" i="30" s="1"/>
  <c r="E57" i="15"/>
  <c r="E44" i="15"/>
  <c r="E55" i="15"/>
  <c r="E42" i="15"/>
  <c r="D37" i="15"/>
  <c r="V11" i="30" s="1"/>
  <c r="D55" i="15"/>
  <c r="E41" i="15"/>
  <c r="E40" i="15"/>
  <c r="E46" i="15"/>
  <c r="B38" i="15"/>
  <c r="B15" i="30" s="1"/>
  <c r="B54" i="15"/>
  <c r="C55" i="15"/>
  <c r="C38" i="15"/>
  <c r="C15" i="30" s="1"/>
  <c r="D61" i="15"/>
  <c r="D57" i="15"/>
  <c r="D46" i="15"/>
  <c r="D60" i="15"/>
  <c r="D56" i="15"/>
  <c r="D59" i="15"/>
  <c r="D18" i="15"/>
  <c r="B33" i="29" s="1"/>
  <c r="C33" i="29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0" s="1"/>
  <c r="B30" i="15"/>
  <c r="B20" i="15"/>
  <c r="C84" i="31" l="1"/>
  <c r="D70" i="31"/>
  <c r="D84" i="31" s="1"/>
  <c r="C257" i="31"/>
  <c r="AG144" i="30"/>
  <c r="AG146" i="30" s="1"/>
  <c r="C16" i="30"/>
  <c r="L16" i="30" s="1"/>
  <c r="L15" i="30"/>
  <c r="B35" i="15"/>
  <c r="C35" i="29"/>
  <c r="V12" i="30"/>
  <c r="Y84" i="30" s="1"/>
  <c r="D14" i="30"/>
  <c r="D13" i="30" s="1"/>
  <c r="AH135" i="30"/>
  <c r="AH137" i="30" s="1"/>
  <c r="M12" i="30"/>
  <c r="D11" i="30"/>
  <c r="AF144" i="30"/>
  <c r="AF146" i="30" s="1"/>
  <c r="B16" i="30"/>
  <c r="J15" i="30"/>
  <c r="K15" i="30"/>
  <c r="AH144" i="30"/>
  <c r="AH146" i="30" s="1"/>
  <c r="M15" i="30"/>
  <c r="D16" i="30"/>
  <c r="M16" i="30" s="1"/>
  <c r="T14" i="22"/>
  <c r="C24" i="22" s="1"/>
  <c r="CC102" i="30"/>
  <c r="D95" i="30" s="1"/>
  <c r="K95" i="30" s="1"/>
  <c r="J95" i="30" s="1"/>
  <c r="B14" i="30"/>
  <c r="B13" i="30" s="1"/>
  <c r="C138" i="31" s="1"/>
  <c r="D138" i="31" s="1"/>
  <c r="T12" i="30"/>
  <c r="F33" i="29"/>
  <c r="AI39" i="24"/>
  <c r="AI41" i="24"/>
  <c r="AP41" i="24" s="1"/>
  <c r="AP54" i="24" s="1"/>
  <c r="CD94" i="30" s="1"/>
  <c r="E87" i="30" s="1"/>
  <c r="L87" i="30" s="1"/>
  <c r="AP41" i="25"/>
  <c r="AP54" i="25" s="1"/>
  <c r="CE94" i="30" s="1"/>
  <c r="F87" i="30" s="1"/>
  <c r="M87" i="30" s="1"/>
  <c r="AI40" i="24"/>
  <c r="AN27" i="18"/>
  <c r="AN54" i="18" s="1"/>
  <c r="CC92" i="30" s="1"/>
  <c r="D85" i="30" s="1"/>
  <c r="K85" i="30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J87" i="30" l="1"/>
  <c r="T125" i="30"/>
  <c r="T6" i="30"/>
  <c r="B5" i="30" s="1"/>
  <c r="C148" i="31" s="1"/>
  <c r="D148" i="31" s="1"/>
  <c r="B39" i="29"/>
  <c r="C39" i="29" s="1"/>
  <c r="M11" i="30"/>
  <c r="AH132" i="30"/>
  <c r="AH134" i="30" s="1"/>
  <c r="AH138" i="30"/>
  <c r="AH140" i="30" s="1"/>
  <c r="M13" i="30"/>
  <c r="D35" i="15"/>
  <c r="V125" i="30" s="1"/>
  <c r="C37" i="29"/>
  <c r="F37" i="29" s="1"/>
  <c r="B101" i="29" s="1"/>
  <c r="K13" i="30"/>
  <c r="AF138" i="30"/>
  <c r="AF140" i="30" s="1"/>
  <c r="AH141" i="30"/>
  <c r="AH143" i="30" s="1"/>
  <c r="M14" i="30"/>
  <c r="C259" i="31"/>
  <c r="D257" i="31"/>
  <c r="AF141" i="30"/>
  <c r="AF143" i="30" s="1"/>
  <c r="Y82" i="30"/>
  <c r="K14" i="30"/>
  <c r="K16" i="30"/>
  <c r="J16" i="30"/>
  <c r="F35" i="29"/>
  <c r="D260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0" s="1"/>
  <c r="D83" i="30" s="1"/>
  <c r="K83" i="30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0" s="1"/>
  <c r="B43" i="15"/>
  <c r="B9" i="30" s="1"/>
  <c r="C137" i="31" s="1"/>
  <c r="D137" i="31" s="1"/>
  <c r="D39" i="15"/>
  <c r="D10" i="30" s="1"/>
  <c r="D43" i="15"/>
  <c r="D9" i="30" s="1"/>
  <c r="B32" i="15"/>
  <c r="B60" i="15"/>
  <c r="B29" i="15"/>
  <c r="B45" i="15"/>
  <c r="AH126" i="30" l="1"/>
  <c r="AH128" i="30" s="1"/>
  <c r="M9" i="30"/>
  <c r="Z98" i="30"/>
  <c r="BM98" i="30" s="1"/>
  <c r="BM101" i="30" s="1"/>
  <c r="Z96" i="30"/>
  <c r="BK96" i="30" s="1"/>
  <c r="BK101" i="30" s="1"/>
  <c r="Z105" i="30"/>
  <c r="BM105" i="30" s="1"/>
  <c r="BM108" i="30" s="1"/>
  <c r="Z93" i="30"/>
  <c r="BO93" i="30" s="1"/>
  <c r="BO94" i="30" s="1"/>
  <c r="Z97" i="30"/>
  <c r="BL97" i="30" s="1"/>
  <c r="BL101" i="30" s="1"/>
  <c r="Z91" i="30"/>
  <c r="BM91" i="30" s="1"/>
  <c r="BM94" i="30" s="1"/>
  <c r="Z104" i="30"/>
  <c r="BL104" i="30" s="1"/>
  <c r="BL108" i="30" s="1"/>
  <c r="Z103" i="30"/>
  <c r="BK103" i="30" s="1"/>
  <c r="BK108" i="30" s="1"/>
  <c r="Z100" i="30"/>
  <c r="BO100" i="30" s="1"/>
  <c r="BO101" i="30" s="1"/>
  <c r="Z90" i="30"/>
  <c r="BL90" i="30" s="1"/>
  <c r="BL94" i="30" s="1"/>
  <c r="Z107" i="30"/>
  <c r="BO107" i="30" s="1"/>
  <c r="BO108" i="30" s="1"/>
  <c r="Z89" i="30"/>
  <c r="BK89" i="30" s="1"/>
  <c r="BK94" i="30" s="1"/>
  <c r="Z99" i="30"/>
  <c r="BN99" i="30" s="1"/>
  <c r="BN101" i="30" s="1"/>
  <c r="Z92" i="30"/>
  <c r="BN92" i="30" s="1"/>
  <c r="BN94" i="30" s="1"/>
  <c r="Z106" i="30"/>
  <c r="BN106" i="30" s="1"/>
  <c r="BN108" i="30" s="1"/>
  <c r="AH129" i="30"/>
  <c r="AH131" i="30" s="1"/>
  <c r="M10" i="30"/>
  <c r="AF126" i="30"/>
  <c r="AF128" i="30" s="1"/>
  <c r="K9" i="30"/>
  <c r="F39" i="29"/>
  <c r="AF129" i="30"/>
  <c r="AF131" i="30" s="1"/>
  <c r="K10" i="30"/>
  <c r="D101" i="29"/>
  <c r="B120" i="29"/>
  <c r="D120" i="29" s="1"/>
  <c r="B6" i="30"/>
  <c r="C149" i="31" s="1"/>
  <c r="D149" i="31" s="1"/>
  <c r="K5" i="30"/>
  <c r="J5" i="30"/>
  <c r="C260" i="31"/>
  <c r="B99" i="29"/>
  <c r="C283" i="31"/>
  <c r="D259" i="31"/>
  <c r="D283" i="31" s="1"/>
  <c r="AK54" i="26"/>
  <c r="B42" i="15"/>
  <c r="B12" i="30" s="1"/>
  <c r="B61" i="15"/>
  <c r="B46" i="15"/>
  <c r="B11" i="30" s="1"/>
  <c r="B58" i="15"/>
  <c r="AH147" i="30" l="1"/>
  <c r="V126" i="30" s="1"/>
  <c r="AF132" i="30"/>
  <c r="AF134" i="30" s="1"/>
  <c r="K11" i="30"/>
  <c r="B103" i="29"/>
  <c r="C261" i="31"/>
  <c r="D261" i="31" s="1"/>
  <c r="D281" i="31" s="1"/>
  <c r="D99" i="29"/>
  <c r="AF135" i="30"/>
  <c r="AF137" i="30" s="1"/>
  <c r="K12" i="30"/>
  <c r="K6" i="30"/>
  <c r="J6" i="30"/>
  <c r="C195" i="31" s="1"/>
  <c r="D195" i="31" s="1"/>
  <c r="T134" i="30"/>
  <c r="K112" i="30" s="1"/>
  <c r="B49" i="15"/>
  <c r="Y49" i="30" s="1"/>
  <c r="AC49" i="30" s="1"/>
  <c r="Y53" i="30" s="1"/>
  <c r="Z36" i="30" s="1"/>
  <c r="AJ39" i="30" l="1"/>
  <c r="AJ40" i="30" s="1"/>
  <c r="AE40" i="30" s="1"/>
  <c r="AC36" i="30"/>
  <c r="AF147" i="30"/>
  <c r="T126" i="30" s="1"/>
  <c r="C197" i="31"/>
  <c r="D197" i="31" s="1"/>
  <c r="D103" i="29"/>
  <c r="B106" i="29"/>
  <c r="D284" i="31"/>
  <c r="J112" i="30"/>
  <c r="C281" i="31"/>
  <c r="B118" i="29"/>
  <c r="U10" i="7"/>
  <c r="BC11" i="28" s="1"/>
  <c r="U12" i="7"/>
  <c r="BC13" i="28" s="1"/>
  <c r="U25" i="7"/>
  <c r="U26" i="7"/>
  <c r="U27" i="7"/>
  <c r="U28" i="7"/>
  <c r="U34" i="7"/>
  <c r="U35" i="7"/>
  <c r="S3" i="7"/>
  <c r="BA4" i="28" s="1"/>
  <c r="S4" i="7"/>
  <c r="BA5" i="28" s="1"/>
  <c r="S5" i="7"/>
  <c r="BA6" i="28" s="1"/>
  <c r="S6" i="7"/>
  <c r="BA7" i="28" s="1"/>
  <c r="S24" i="7"/>
  <c r="S29" i="7"/>
  <c r="S30" i="7"/>
  <c r="S31" i="7"/>
  <c r="S32" i="7"/>
  <c r="S33" i="7"/>
  <c r="S36" i="7"/>
  <c r="S37" i="7"/>
  <c r="S2" i="7"/>
  <c r="BA3" i="28" s="1"/>
  <c r="R3" i="7"/>
  <c r="R4" i="7"/>
  <c r="R5" i="7"/>
  <c r="R6" i="7"/>
  <c r="R24" i="7"/>
  <c r="R29" i="7"/>
  <c r="R30" i="7"/>
  <c r="R31" i="7"/>
  <c r="R32" i="7"/>
  <c r="R33" i="7"/>
  <c r="R36" i="7"/>
  <c r="R37" i="7"/>
  <c r="Y205" i="31" l="1"/>
  <c r="AC38" i="30"/>
  <c r="AD38" i="30" s="1"/>
  <c r="AC39" i="30"/>
  <c r="AD39" i="30" s="1"/>
  <c r="AE39" i="30" s="1"/>
  <c r="C284" i="31"/>
  <c r="D118" i="29"/>
  <c r="AD41" i="30" l="1"/>
  <c r="AE38" i="30"/>
  <c r="AE41" i="30" s="1"/>
  <c r="J45" i="30" s="1"/>
  <c r="C209" i="31" s="1"/>
  <c r="Y208" i="31"/>
  <c r="Z208" i="31" s="1"/>
  <c r="Y207" i="31"/>
  <c r="Z207" i="31" s="1"/>
  <c r="K33" i="7"/>
  <c r="L33" i="7" s="1"/>
  <c r="N33" i="7"/>
  <c r="C211" i="31" l="1"/>
  <c r="Z210" i="31"/>
  <c r="D209" i="31" s="1"/>
  <c r="D211" i="31" s="1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23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L23" i="7"/>
  <c r="K22" i="7"/>
  <c r="L22" i="7" s="1"/>
  <c r="T21" i="7"/>
  <c r="BB22" i="28" s="1"/>
  <c r="BH22" i="28" s="1"/>
  <c r="T20" i="7"/>
  <c r="BB21" i="28" s="1"/>
  <c r="BH21" i="28" s="1"/>
  <c r="T14" i="7"/>
  <c r="BB15" i="28" s="1"/>
  <c r="BH15" i="28" s="1"/>
  <c r="T13" i="7"/>
  <c r="BB14" i="28" s="1"/>
  <c r="V10" i="7"/>
  <c r="T7" i="7"/>
  <c r="BB8" i="28" s="1"/>
  <c r="T6" i="7"/>
  <c r="BB7" i="28" s="1"/>
  <c r="T5" i="7"/>
  <c r="BB6" i="28" s="1"/>
  <c r="V9" i="7" l="1"/>
  <c r="U9" i="7"/>
  <c r="BC10" i="28" s="1"/>
  <c r="V21" i="7"/>
  <c r="U21" i="7"/>
  <c r="BC22" i="28" s="1"/>
  <c r="V20" i="7"/>
  <c r="U20" i="7"/>
  <c r="BC21" i="28" s="1"/>
  <c r="V13" i="7"/>
  <c r="U13" i="7"/>
  <c r="BC14" i="28" s="1"/>
  <c r="V14" i="7"/>
  <c r="U14" i="7"/>
  <c r="BC15" i="28" s="1"/>
  <c r="V8" i="7"/>
  <c r="U8" i="7"/>
  <c r="BC9" i="28" s="1"/>
  <c r="K64" i="7"/>
  <c r="V7" i="7"/>
  <c r="U7" i="7"/>
  <c r="BC8" i="28" s="1"/>
  <c r="V15" i="7"/>
  <c r="U15" i="7"/>
  <c r="BC16" i="28" s="1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BA15" i="28" s="1"/>
  <c r="S7" i="7"/>
  <c r="BA8" i="28" s="1"/>
  <c r="S15" i="7"/>
  <c r="BA16" i="28" s="1"/>
  <c r="R15" i="7"/>
  <c r="S8" i="7"/>
  <c r="BA9" i="28" s="1"/>
  <c r="R8" i="7"/>
  <c r="S20" i="7"/>
  <c r="BA21" i="28" s="1"/>
  <c r="R20" i="7"/>
  <c r="R10" i="7"/>
  <c r="S10" i="7"/>
  <c r="BA11" i="28" s="1"/>
  <c r="R9" i="7"/>
  <c r="S9" i="7"/>
  <c r="BA10" i="28" s="1"/>
  <c r="R13" i="7"/>
  <c r="S13" i="7"/>
  <c r="BA14" i="28" s="1"/>
  <c r="R21" i="7"/>
  <c r="S21" i="7"/>
  <c r="BA22" i="28" s="1"/>
  <c r="U33" i="7"/>
  <c r="M23" i="7"/>
  <c r="T23" i="7" s="1"/>
  <c r="BB24" i="28" s="1"/>
  <c r="T4" i="7"/>
  <c r="BB5" i="28" s="1"/>
  <c r="BI5" i="28" s="1"/>
  <c r="L28" i="7"/>
  <c r="M24" i="7"/>
  <c r="M35" i="7"/>
  <c r="M30" i="7"/>
  <c r="M29" i="7"/>
  <c r="M31" i="7"/>
  <c r="M32" i="7"/>
  <c r="V5" i="7"/>
  <c r="M25" i="7"/>
  <c r="M27" i="7"/>
  <c r="M34" i="7"/>
  <c r="M22" i="7"/>
  <c r="T22" i="7" s="1"/>
  <c r="BB23" i="28" s="1"/>
  <c r="M26" i="7"/>
  <c r="V6" i="7"/>
  <c r="T11" i="7"/>
  <c r="BB12" i="28" s="1"/>
  <c r="BI12" i="28" s="1"/>
  <c r="M37" i="7"/>
  <c r="L2" i="7"/>
  <c r="BH31" i="28" l="1"/>
  <c r="BI31" i="28"/>
  <c r="AP5" i="28" s="1"/>
  <c r="L64" i="7"/>
  <c r="M2" i="7"/>
  <c r="V34" i="7"/>
  <c r="T34" i="7"/>
  <c r="V61" i="7"/>
  <c r="T61" i="7"/>
  <c r="V42" i="7"/>
  <c r="T42" i="7"/>
  <c r="V56" i="7"/>
  <c r="T56" i="7"/>
  <c r="V35" i="7"/>
  <c r="T35" i="7"/>
  <c r="V33" i="7"/>
  <c r="T33" i="7"/>
  <c r="V59" i="7"/>
  <c r="T59" i="7"/>
  <c r="V52" i="7"/>
  <c r="T52" i="7"/>
  <c r="V45" i="7"/>
  <c r="T45" i="7"/>
  <c r="V31" i="7"/>
  <c r="T31" i="7"/>
  <c r="V60" i="7"/>
  <c r="T60" i="7"/>
  <c r="V43" i="7"/>
  <c r="T43" i="7"/>
  <c r="V37" i="7"/>
  <c r="T37" i="7"/>
  <c r="V3" i="7"/>
  <c r="T3" i="7"/>
  <c r="BB4" i="28" s="1"/>
  <c r="V24" i="7"/>
  <c r="T24" i="7"/>
  <c r="V54" i="7"/>
  <c r="T54" i="7"/>
  <c r="V53" i="7"/>
  <c r="T53" i="7"/>
  <c r="V50" i="7"/>
  <c r="T50" i="7"/>
  <c r="V58" i="7"/>
  <c r="T58" i="7"/>
  <c r="V32" i="7"/>
  <c r="T32" i="7"/>
  <c r="V46" i="7"/>
  <c r="T46" i="7"/>
  <c r="V55" i="7"/>
  <c r="T55" i="7"/>
  <c r="V41" i="7"/>
  <c r="T41" i="7"/>
  <c r="V30" i="7"/>
  <c r="T30" i="7"/>
  <c r="V36" i="7"/>
  <c r="T36" i="7"/>
  <c r="V12" i="7"/>
  <c r="T12" i="7"/>
  <c r="BB13" i="28" s="1"/>
  <c r="V48" i="7"/>
  <c r="T48" i="7"/>
  <c r="V57" i="7"/>
  <c r="T57" i="7"/>
  <c r="V47" i="7"/>
  <c r="T47" i="7"/>
  <c r="V62" i="7"/>
  <c r="T62" i="7"/>
  <c r="V38" i="7"/>
  <c r="T38" i="7"/>
  <c r="V44" i="7"/>
  <c r="T44" i="7"/>
  <c r="V40" i="7"/>
  <c r="T40" i="7"/>
  <c r="V63" i="7"/>
  <c r="T63" i="7"/>
  <c r="V51" i="7"/>
  <c r="T51" i="7"/>
  <c r="V39" i="7"/>
  <c r="T39" i="7"/>
  <c r="V49" i="7"/>
  <c r="T49" i="7"/>
  <c r="V27" i="7"/>
  <c r="T27" i="7"/>
  <c r="V26" i="7"/>
  <c r="T26" i="7"/>
  <c r="V25" i="7"/>
  <c r="T25" i="7"/>
  <c r="V29" i="7"/>
  <c r="T29" i="7"/>
  <c r="V17" i="7"/>
  <c r="U17" i="7"/>
  <c r="BC18" i="28" s="1"/>
  <c r="V11" i="7"/>
  <c r="U11" i="7"/>
  <c r="BC12" i="28" s="1"/>
  <c r="V18" i="7"/>
  <c r="U18" i="7"/>
  <c r="BC19" i="28" s="1"/>
  <c r="V19" i="7"/>
  <c r="U19" i="7"/>
  <c r="BC20" i="28" s="1"/>
  <c r="V22" i="7"/>
  <c r="U22" i="7"/>
  <c r="BC23" i="28" s="1"/>
  <c r="V23" i="7"/>
  <c r="U23" i="7"/>
  <c r="BC24" i="28" s="1"/>
  <c r="V16" i="7"/>
  <c r="U16" i="7"/>
  <c r="BC17" i="28" s="1"/>
  <c r="V4" i="7"/>
  <c r="U4" i="7"/>
  <c r="BC5" i="28" s="1"/>
  <c r="R26" i="7"/>
  <c r="S26" i="7"/>
  <c r="U5" i="7"/>
  <c r="BC6" i="28" s="1"/>
  <c r="R19" i="7"/>
  <c r="S19" i="7"/>
  <c r="BA20" i="28" s="1"/>
  <c r="R22" i="7"/>
  <c r="S22" i="7"/>
  <c r="BA23" i="28" s="1"/>
  <c r="R18" i="7"/>
  <c r="S18" i="7"/>
  <c r="BA19" i="28" s="1"/>
  <c r="U37" i="7"/>
  <c r="R27" i="7"/>
  <c r="S27" i="7"/>
  <c r="U30" i="7"/>
  <c r="S23" i="7"/>
  <c r="BA24" i="28" s="1"/>
  <c r="R23" i="7"/>
  <c r="S12" i="7"/>
  <c r="BA13" i="28" s="1"/>
  <c r="R12" i="7"/>
  <c r="U3" i="7"/>
  <c r="BC4" i="28" s="1"/>
  <c r="U32" i="7"/>
  <c r="R35" i="7"/>
  <c r="S35" i="7"/>
  <c r="S16" i="7"/>
  <c r="BA17" i="28" s="1"/>
  <c r="R16" i="7"/>
  <c r="R11" i="7"/>
  <c r="S11" i="7"/>
  <c r="BA12" i="28" s="1"/>
  <c r="R25" i="7"/>
  <c r="S25" i="7"/>
  <c r="U31" i="7"/>
  <c r="U24" i="7"/>
  <c r="U6" i="7"/>
  <c r="BC7" i="28" s="1"/>
  <c r="R34" i="7"/>
  <c r="S34" i="7"/>
  <c r="R17" i="7"/>
  <c r="S17" i="7"/>
  <c r="BA18" i="28" s="1"/>
  <c r="U29" i="7"/>
  <c r="M28" i="7"/>
  <c r="T2" i="7"/>
  <c r="BB3" i="28" s="1"/>
  <c r="AP6" i="28" l="1"/>
  <c r="AD22" i="28" s="1"/>
  <c r="AF22" i="28" s="1"/>
  <c r="AP4" i="28"/>
  <c r="AD20" i="28" s="1"/>
  <c r="AF20" i="28" s="1"/>
  <c r="AK21" i="28" s="1"/>
  <c r="AK25" i="28" s="1"/>
  <c r="V28" i="7"/>
  <c r="T28" i="7"/>
  <c r="S64" i="7"/>
  <c r="AA18" i="7" s="1"/>
  <c r="R64" i="7"/>
  <c r="V2" i="7"/>
  <c r="V64" i="7" s="1"/>
  <c r="T64" i="7"/>
  <c r="AA17" i="7" s="1"/>
  <c r="M64" i="7"/>
  <c r="U2" i="7"/>
  <c r="S28" i="7"/>
  <c r="R28" i="7"/>
  <c r="C183" i="31" l="1"/>
  <c r="T234" i="30"/>
  <c r="B83" i="29"/>
  <c r="AK26" i="28"/>
  <c r="C184" i="31" s="1"/>
  <c r="U64" i="7"/>
  <c r="BC3" i="28"/>
  <c r="AA19" i="7"/>
  <c r="AI18" i="18"/>
  <c r="AU18" i="18" s="1"/>
  <c r="AU54" i="18" s="1"/>
  <c r="AD56" i="18"/>
  <c r="E65" i="15"/>
  <c r="D65" i="15"/>
  <c r="C65" i="15"/>
  <c r="B65" i="15"/>
  <c r="C18" i="15"/>
  <c r="B32" i="29" s="1"/>
  <c r="C32" i="29" s="1"/>
  <c r="C22" i="15"/>
  <c r="V137" i="30" s="1"/>
  <c r="W137" i="30" s="1"/>
  <c r="C185" i="31" l="1"/>
  <c r="D185" i="31" s="1"/>
  <c r="D184" i="31"/>
  <c r="F84" i="29"/>
  <c r="F83" i="29"/>
  <c r="T272" i="30"/>
  <c r="X272" i="30" s="1"/>
  <c r="J142" i="30" s="1"/>
  <c r="C220" i="31" s="1"/>
  <c r="X234" i="30"/>
  <c r="Q14" i="22"/>
  <c r="C21" i="22" s="1"/>
  <c r="CC99" i="30"/>
  <c r="D92" i="30" s="1"/>
  <c r="K92" i="30" s="1"/>
  <c r="J92" i="30" s="1"/>
  <c r="F32" i="29"/>
  <c r="C258" i="31" s="1"/>
  <c r="L115" i="30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0" s="1"/>
  <c r="C307" i="31" l="1"/>
  <c r="X237" i="30"/>
  <c r="C192" i="31"/>
  <c r="C276" i="31" s="1"/>
  <c r="B115" i="29"/>
  <c r="B126" i="29" s="1"/>
  <c r="B167" i="30"/>
  <c r="J167" i="30" s="1"/>
  <c r="D183" i="31"/>
  <c r="Q163" i="18"/>
  <c r="Q176" i="18"/>
  <c r="Q185" i="18" s="1"/>
  <c r="Q216" i="18" s="1"/>
  <c r="V6" i="22" s="1"/>
  <c r="BH16" i="23" s="1"/>
  <c r="BH28" i="23" s="1"/>
  <c r="D165" i="18"/>
  <c r="D178" i="18"/>
  <c r="D185" i="18" s="1"/>
  <c r="D216" i="18" s="1"/>
  <c r="I6" i="22" s="1"/>
  <c r="AU16" i="23" s="1"/>
  <c r="AU31" i="23" s="1"/>
  <c r="X165" i="18"/>
  <c r="X178" i="18"/>
  <c r="Y165" i="18"/>
  <c r="Y178" i="18"/>
  <c r="S163" i="18"/>
  <c r="S176" i="18"/>
  <c r="L165" i="18"/>
  <c r="L178" i="18"/>
  <c r="F165" i="18"/>
  <c r="F178" i="18"/>
  <c r="F185" i="18" s="1"/>
  <c r="F216" i="18" s="1"/>
  <c r="K6" i="22" s="1"/>
  <c r="AW16" i="23" s="1"/>
  <c r="AW31" i="23" s="1"/>
  <c r="J165" i="18"/>
  <c r="J178" i="18"/>
  <c r="O163" i="18"/>
  <c r="O176" i="18"/>
  <c r="O185" i="18" s="1"/>
  <c r="O216" i="18" s="1"/>
  <c r="T6" i="22" s="1"/>
  <c r="BF16" i="23" s="1"/>
  <c r="BF28" i="23" s="1"/>
  <c r="H165" i="18"/>
  <c r="H178" i="18"/>
  <c r="U12" i="30"/>
  <c r="Y83" i="30" s="1"/>
  <c r="C14" i="30"/>
  <c r="C13" i="30" s="1"/>
  <c r="C35" i="15"/>
  <c r="U125" i="30" s="1"/>
  <c r="C36" i="29"/>
  <c r="F36" i="29" s="1"/>
  <c r="B100" i="29" s="1"/>
  <c r="J115" i="30"/>
  <c r="D258" i="31"/>
  <c r="D282" i="31" s="1"/>
  <c r="D287" i="31" s="1"/>
  <c r="C282" i="31"/>
  <c r="C287" i="31" s="1"/>
  <c r="BR36" i="23"/>
  <c r="E93" i="23" s="1"/>
  <c r="E95" i="23" s="1"/>
  <c r="BR35" i="23"/>
  <c r="D93" i="23" s="1"/>
  <c r="D95" i="23" s="1"/>
  <c r="BR39" i="23"/>
  <c r="H93" i="23" s="1"/>
  <c r="H95" i="23" s="1"/>
  <c r="BR37" i="23"/>
  <c r="F93" i="23" s="1"/>
  <c r="F95" i="23" s="1"/>
  <c r="E165" i="18"/>
  <c r="E178" i="18"/>
  <c r="E185" i="18" s="1"/>
  <c r="E216" i="18" s="1"/>
  <c r="J6" i="22" s="1"/>
  <c r="AV16" i="23" s="1"/>
  <c r="AV31" i="23" s="1"/>
  <c r="P163" i="18"/>
  <c r="P176" i="18"/>
  <c r="P185" i="18" s="1"/>
  <c r="P216" i="18" s="1"/>
  <c r="U6" i="22" s="1"/>
  <c r="BG16" i="23" s="1"/>
  <c r="BG28" i="23" s="1"/>
  <c r="K165" i="18"/>
  <c r="K178" i="18"/>
  <c r="K163" i="18"/>
  <c r="K176" i="18"/>
  <c r="U163" i="18"/>
  <c r="U176" i="18"/>
  <c r="M165" i="18"/>
  <c r="M178" i="18"/>
  <c r="M163" i="18"/>
  <c r="M176" i="18"/>
  <c r="X163" i="18"/>
  <c r="X176" i="18"/>
  <c r="L163" i="18"/>
  <c r="L176" i="18"/>
  <c r="N163" i="18"/>
  <c r="N176" i="18"/>
  <c r="N185" i="18" s="1"/>
  <c r="N216" i="18" s="1"/>
  <c r="S6" i="22" s="1"/>
  <c r="BE16" i="23" s="1"/>
  <c r="BE28" i="23" s="1"/>
  <c r="W163" i="18"/>
  <c r="W176" i="18"/>
  <c r="T163" i="18"/>
  <c r="T176" i="18"/>
  <c r="I163" i="18"/>
  <c r="I176" i="18"/>
  <c r="R163" i="18"/>
  <c r="R176" i="18"/>
  <c r="R185" i="18" s="1"/>
  <c r="R216" i="18" s="1"/>
  <c r="W6" i="22" s="1"/>
  <c r="BI16" i="23" s="1"/>
  <c r="BI29" i="23" s="1"/>
  <c r="T175" i="18"/>
  <c r="T162" i="18"/>
  <c r="J163" i="18"/>
  <c r="J176" i="18"/>
  <c r="C165" i="18"/>
  <c r="C178" i="18"/>
  <c r="C185" i="18" s="1"/>
  <c r="C216" i="18" s="1"/>
  <c r="H6" i="22" s="1"/>
  <c r="AT16" i="23" s="1"/>
  <c r="AT30" i="23" s="1"/>
  <c r="G165" i="18"/>
  <c r="G178" i="18"/>
  <c r="G185" i="18" s="1"/>
  <c r="G216" i="18" s="1"/>
  <c r="L6" i="22" s="1"/>
  <c r="AX16" i="23" s="1"/>
  <c r="AX31" i="23" s="1"/>
  <c r="V163" i="18"/>
  <c r="V176" i="18"/>
  <c r="H163" i="18"/>
  <c r="H176" i="18"/>
  <c r="Y163" i="18"/>
  <c r="Y176" i="18"/>
  <c r="I165" i="18"/>
  <c r="I178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0" s="1"/>
  <c r="E83" i="30" s="1"/>
  <c r="L83" i="30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0" s="1"/>
  <c r="C43" i="15"/>
  <c r="C9" i="30" s="1"/>
  <c r="D192" i="31" l="1"/>
  <c r="AJ216" i="31"/>
  <c r="AN216" i="31" s="1"/>
  <c r="D220" i="31" s="1"/>
  <c r="AK225" i="31"/>
  <c r="AO225" i="31" s="1"/>
  <c r="AO228" i="31" s="1"/>
  <c r="AQ228" i="31" s="1"/>
  <c r="AR228" i="31" s="1"/>
  <c r="AS228" i="31" s="1"/>
  <c r="AT228" i="31" s="1"/>
  <c r="AW228" i="31" s="1"/>
  <c r="D240" i="31" s="1"/>
  <c r="C235" i="31"/>
  <c r="C236" i="31" s="1"/>
  <c r="J170" i="30"/>
  <c r="C290" i="31"/>
  <c r="C292" i="31" s="1"/>
  <c r="C293" i="31"/>
  <c r="C243" i="31"/>
  <c r="D243" i="31" s="1"/>
  <c r="Z237" i="30"/>
  <c r="AA237" i="30" s="1"/>
  <c r="H185" i="18"/>
  <c r="H216" i="18" s="1"/>
  <c r="M6" i="22" s="1"/>
  <c r="AY16" i="23" s="1"/>
  <c r="AY27" i="23" s="1"/>
  <c r="L185" i="18"/>
  <c r="L216" i="18" s="1"/>
  <c r="Q6" i="22" s="1"/>
  <c r="BC16" i="23" s="1"/>
  <c r="BC27" i="23" s="1"/>
  <c r="Y172" i="18"/>
  <c r="Y215" i="18" s="1"/>
  <c r="AD5" i="22" s="1"/>
  <c r="BP15" i="23" s="1"/>
  <c r="BP22" i="23" s="1"/>
  <c r="F172" i="18"/>
  <c r="F215" i="18" s="1"/>
  <c r="K5" i="22" s="1"/>
  <c r="BR28" i="23"/>
  <c r="E83" i="23" s="1"/>
  <c r="E85" i="23" s="1"/>
  <c r="AG126" i="30"/>
  <c r="AG128" i="30" s="1"/>
  <c r="L9" i="30"/>
  <c r="J9" i="30"/>
  <c r="C29" i="30"/>
  <c r="J29" i="30" s="1"/>
  <c r="B119" i="30"/>
  <c r="J119" i="30" s="1"/>
  <c r="D100" i="29"/>
  <c r="B119" i="29"/>
  <c r="B102" i="29"/>
  <c r="AG129" i="30"/>
  <c r="AG131" i="30" s="1"/>
  <c r="L10" i="30"/>
  <c r="J10" i="30"/>
  <c r="AG138" i="30"/>
  <c r="AG140" i="30" s="1"/>
  <c r="L13" i="30"/>
  <c r="J13" i="30"/>
  <c r="AG141" i="30"/>
  <c r="AG143" i="30" s="1"/>
  <c r="L14" i="30"/>
  <c r="J14" i="30"/>
  <c r="G172" i="18"/>
  <c r="G215" i="18" s="1"/>
  <c r="L5" i="22" s="1"/>
  <c r="BR31" i="23"/>
  <c r="H83" i="23" s="1"/>
  <c r="H85" i="23" s="1"/>
  <c r="H172" i="18"/>
  <c r="H215" i="18" s="1"/>
  <c r="M5" i="22" s="1"/>
  <c r="M185" i="18"/>
  <c r="M216" i="18" s="1"/>
  <c r="R6" i="22" s="1"/>
  <c r="BD16" i="23" s="1"/>
  <c r="BD27" i="23" s="1"/>
  <c r="I172" i="18"/>
  <c r="I215" i="18" s="1"/>
  <c r="N5" i="22" s="1"/>
  <c r="AZ15" i="23" s="1"/>
  <c r="AZ19" i="23" s="1"/>
  <c r="E172" i="18"/>
  <c r="E215" i="18" s="1"/>
  <c r="J5" i="22" s="1"/>
  <c r="Y185" i="18"/>
  <c r="Y216" i="18" s="1"/>
  <c r="AD6" i="22" s="1"/>
  <c r="I185" i="18"/>
  <c r="I216" i="18" s="1"/>
  <c r="N6" i="22" s="1"/>
  <c r="AZ16" i="23" s="1"/>
  <c r="AZ27" i="23" s="1"/>
  <c r="T185" i="18"/>
  <c r="T216" i="18" s="1"/>
  <c r="Y6" i="22" s="1"/>
  <c r="BK16" i="23" s="1"/>
  <c r="BK2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30" i="23" s="1"/>
  <c r="X162" i="18"/>
  <c r="X172" i="18" s="1"/>
  <c r="X215" i="18" s="1"/>
  <c r="AC5" i="22" s="1"/>
  <c r="BO15" i="23" s="1"/>
  <c r="BO22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M201" i="18"/>
  <c r="M211" i="18" s="1"/>
  <c r="M218" i="18" s="1"/>
  <c r="R9" i="22" s="1"/>
  <c r="M162" i="18"/>
  <c r="M172" i="18" s="1"/>
  <c r="M215" i="18" s="1"/>
  <c r="R5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C172" i="18"/>
  <c r="C215" i="18" s="1"/>
  <c r="H5" i="22" s="1"/>
  <c r="R201" i="18"/>
  <c r="R211" i="18" s="1"/>
  <c r="R218" i="18" s="1"/>
  <c r="W9" i="22" s="1"/>
  <c r="R162" i="18"/>
  <c r="R172" i="18" s="1"/>
  <c r="R215" i="18" s="1"/>
  <c r="W5" i="22" s="1"/>
  <c r="N201" i="18"/>
  <c r="N211" i="18" s="1"/>
  <c r="N218" i="18" s="1"/>
  <c r="S9" i="22" s="1"/>
  <c r="N162" i="18"/>
  <c r="N172" i="18" s="1"/>
  <c r="N215" i="18" s="1"/>
  <c r="S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0" s="1"/>
  <c r="F85" i="30" s="1"/>
  <c r="M85" i="30" s="1"/>
  <c r="J85" i="30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0" s="1"/>
  <c r="F83" i="30" s="1"/>
  <c r="M83" i="30" s="1"/>
  <c r="J83" i="30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C294" i="31" l="1"/>
  <c r="AB237" i="30"/>
  <c r="AC237" i="30" s="1"/>
  <c r="AF237" i="30" s="1"/>
  <c r="B178" i="30" s="1"/>
  <c r="C240" i="31" s="1"/>
  <c r="C244" i="31"/>
  <c r="D244" i="31" s="1"/>
  <c r="D235" i="31"/>
  <c r="D236" i="31" s="1"/>
  <c r="D276" i="31"/>
  <c r="D290" i="31" s="1"/>
  <c r="D291" i="31" s="1"/>
  <c r="D293" i="31" s="1"/>
  <c r="D119" i="29"/>
  <c r="B122" i="29"/>
  <c r="B128" i="29" s="1"/>
  <c r="B130" i="29" s="1"/>
  <c r="B165" i="18"/>
  <c r="B172" i="18" s="1"/>
  <c r="B215" i="18" s="1"/>
  <c r="B178" i="18"/>
  <c r="B185" i="18" s="1"/>
  <c r="B216" i="18" s="1"/>
  <c r="G6" i="22" s="1"/>
  <c r="AS16" i="23" s="1"/>
  <c r="AS30" i="23" s="1"/>
  <c r="BR27" i="23"/>
  <c r="D83" i="23" s="1"/>
  <c r="D85" i="23" s="1"/>
  <c r="BR29" i="23"/>
  <c r="F83" i="23" s="1"/>
  <c r="F85" i="23" s="1"/>
  <c r="T8" i="22"/>
  <c r="BF5" i="23" s="1"/>
  <c r="BF8" i="23" s="1"/>
  <c r="BF15" i="23"/>
  <c r="BF20" i="23" s="1"/>
  <c r="L8" i="22"/>
  <c r="AX5" i="23" s="1"/>
  <c r="AX11" i="23" s="1"/>
  <c r="AX15" i="23"/>
  <c r="AX23" i="23" s="1"/>
  <c r="R8" i="22"/>
  <c r="BD5" i="23" s="1"/>
  <c r="BD7" i="23" s="1"/>
  <c r="BD15" i="23"/>
  <c r="BD19" i="23" s="1"/>
  <c r="U8" i="22"/>
  <c r="BG5" i="23" s="1"/>
  <c r="BG8" i="23" s="1"/>
  <c r="BG15" i="23"/>
  <c r="BG2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I8" i="22"/>
  <c r="AU5" i="23" s="1"/>
  <c r="AU11" i="23" s="1"/>
  <c r="AU15" i="23"/>
  <c r="AU23" i="23" s="1"/>
  <c r="S8" i="22"/>
  <c r="BE5" i="23" s="1"/>
  <c r="BE8" i="23" s="1"/>
  <c r="BE15" i="23"/>
  <c r="BE20" i="23" s="1"/>
  <c r="H8" i="22"/>
  <c r="AT5" i="23" s="1"/>
  <c r="AT10" i="23" s="1"/>
  <c r="AT15" i="23"/>
  <c r="AT22" i="23" s="1"/>
  <c r="J8" i="22"/>
  <c r="AV5" i="23" s="1"/>
  <c r="AV11" i="23" s="1"/>
  <c r="AV15" i="23"/>
  <c r="AV23" i="23" s="1"/>
  <c r="W8" i="22"/>
  <c r="BI5" i="23" s="1"/>
  <c r="BI9" i="23" s="1"/>
  <c r="BI15" i="23"/>
  <c r="BI21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AT9" i="23"/>
  <c r="AU9" i="23"/>
  <c r="AV9" i="23"/>
  <c r="AX9" i="23"/>
  <c r="BP9" i="23"/>
  <c r="AW9" i="23"/>
  <c r="BI8" i="23"/>
  <c r="N8" i="22"/>
  <c r="AZ5" i="23" s="1"/>
  <c r="AZ7" i="23" s="1"/>
  <c r="Z8" i="22"/>
  <c r="BL5" i="23" s="1"/>
  <c r="BL9" i="23" s="1"/>
  <c r="X8" i="22"/>
  <c r="BJ5" i="23" s="1"/>
  <c r="AC8" i="22"/>
  <c r="BO5" i="23" s="1"/>
  <c r="AB8" i="22"/>
  <c r="BN5" i="23" s="1"/>
  <c r="BN9" i="23" s="1"/>
  <c r="O8" i="22"/>
  <c r="BA5" i="23" s="1"/>
  <c r="BA7" i="23" s="1"/>
  <c r="P8" i="22"/>
  <c r="BB5" i="23" s="1"/>
  <c r="BB7" i="23" s="1"/>
  <c r="AA8" i="22"/>
  <c r="BM5" i="23" s="1"/>
  <c r="BM9" i="23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0" s="1"/>
  <c r="D82" i="30" s="1"/>
  <c r="AI52" i="24"/>
  <c r="AI47" i="24"/>
  <c r="AI49" i="24"/>
  <c r="C29" i="15"/>
  <c r="C60" i="15"/>
  <c r="C32" i="15"/>
  <c r="AA146" i="18"/>
  <c r="AA147" i="18" s="1"/>
  <c r="AF9" i="22"/>
  <c r="AA221" i="18"/>
  <c r="C299" i="31" s="1"/>
  <c r="AA159" i="18"/>
  <c r="C161" i="31" s="1"/>
  <c r="D161" i="31" s="1"/>
  <c r="T215" i="18"/>
  <c r="Y5" i="22" s="1"/>
  <c r="AA185" i="18" l="1"/>
  <c r="BR30" i="23"/>
  <c r="G83" i="23" s="1"/>
  <c r="G85" i="23" s="1"/>
  <c r="C4" i="22"/>
  <c r="C7" i="22" s="1"/>
  <c r="K25" i="23" s="1"/>
  <c r="C172" i="31" s="1"/>
  <c r="C162" i="31"/>
  <c r="D162" i="31" s="1"/>
  <c r="AD19" i="30"/>
  <c r="R17" i="30"/>
  <c r="K82" i="30"/>
  <c r="BR23" i="23"/>
  <c r="H73" i="23" s="1"/>
  <c r="H75" i="23" s="1"/>
  <c r="Y8" i="22"/>
  <c r="BK15" i="23"/>
  <c r="BK21" i="23" s="1"/>
  <c r="BR21" i="23" s="1"/>
  <c r="F73" i="23" s="1"/>
  <c r="F75" i="23" s="1"/>
  <c r="BR20" i="23"/>
  <c r="E73" i="23" s="1"/>
  <c r="E75" i="23" s="1"/>
  <c r="BR19" i="23"/>
  <c r="D73" i="23" s="1"/>
  <c r="D75" i="23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0" s="1"/>
  <c r="C61" i="15"/>
  <c r="C42" i="15"/>
  <c r="C12" i="30" s="1"/>
  <c r="AK54" i="25"/>
  <c r="CE89" i="30" s="1"/>
  <c r="F82" i="30" s="1"/>
  <c r="M82" i="30" s="1"/>
  <c r="G5" i="22"/>
  <c r="AA172" i="18"/>
  <c r="AA220" i="18"/>
  <c r="C298" i="31" s="1"/>
  <c r="AA219" i="18"/>
  <c r="AG132" i="30" l="1"/>
  <c r="AG134" i="30" s="1"/>
  <c r="L11" i="30"/>
  <c r="J11" i="30"/>
  <c r="D172" i="31"/>
  <c r="C175" i="31"/>
  <c r="T112" i="30"/>
  <c r="M116" i="30"/>
  <c r="T110" i="30"/>
  <c r="K116" i="30"/>
  <c r="C212" i="31" s="1"/>
  <c r="AG135" i="30"/>
  <c r="AG137" i="30" s="1"/>
  <c r="L12" i="30"/>
  <c r="J12" i="30"/>
  <c r="S17" i="30"/>
  <c r="T17" i="30"/>
  <c r="AE19" i="30"/>
  <c r="C20" i="30" s="1"/>
  <c r="AF19" i="30"/>
  <c r="D20" i="30" s="1"/>
  <c r="C155" i="31" s="1"/>
  <c r="D27" i="23"/>
  <c r="G8" i="22"/>
  <c r="AS5" i="23" s="1"/>
  <c r="AS15" i="23"/>
  <c r="AS22" i="23" s="1"/>
  <c r="BR22" i="23" s="1"/>
  <c r="G73" i="23" s="1"/>
  <c r="G75" i="23" s="1"/>
  <c r="K27" i="23"/>
  <c r="K73" i="23"/>
  <c r="AS9" i="23"/>
  <c r="AS10" i="23"/>
  <c r="BR10" i="23" s="1"/>
  <c r="G25" i="23" s="1"/>
  <c r="G27" i="23" s="1"/>
  <c r="C49" i="15"/>
  <c r="AK54" i="24"/>
  <c r="CD89" i="30" s="1"/>
  <c r="E82" i="30" s="1"/>
  <c r="BK5" i="23"/>
  <c r="BK9" i="23" s="1"/>
  <c r="AF8" i="22"/>
  <c r="AF5" i="22" s="1"/>
  <c r="D155" i="31" l="1"/>
  <c r="D175" i="31"/>
  <c r="C216" i="31"/>
  <c r="D216" i="31" s="1"/>
  <c r="D212" i="31"/>
  <c r="C152" i="31"/>
  <c r="J20" i="30"/>
  <c r="K75" i="23"/>
  <c r="C30" i="30"/>
  <c r="B118" i="30"/>
  <c r="L82" i="30"/>
  <c r="C179" i="31"/>
  <c r="D179" i="31" s="1"/>
  <c r="AG147" i="30"/>
  <c r="U126" i="30" s="1"/>
  <c r="BR9" i="23"/>
  <c r="F25" i="23" s="1"/>
  <c r="G14" i="22"/>
  <c r="C11" i="22" s="1"/>
  <c r="F13" i="23" s="1"/>
  <c r="K13" i="23" s="1"/>
  <c r="T111" i="30" l="1"/>
  <c r="L116" i="30"/>
  <c r="J82" i="30"/>
  <c r="J30" i="30"/>
  <c r="C177" i="31"/>
  <c r="C160" i="31"/>
  <c r="AD18" i="30"/>
  <c r="R16" i="30"/>
  <c r="F27" i="23"/>
  <c r="C170" i="31"/>
  <c r="J118" i="30"/>
  <c r="C218" i="31" s="1"/>
  <c r="C176" i="31"/>
  <c r="C158" i="31"/>
  <c r="D152" i="31"/>
  <c r="D158" i="31" l="1"/>
  <c r="D160" i="31"/>
  <c r="D176" i="31"/>
  <c r="D177" i="31"/>
  <c r="S16" i="30"/>
  <c r="T16" i="30"/>
  <c r="AE18" i="30"/>
  <c r="C19" i="30" s="1"/>
  <c r="AF18" i="30"/>
  <c r="D19" i="30" s="1"/>
  <c r="D218" i="31"/>
  <c r="D221" i="31" s="1"/>
  <c r="C221" i="31"/>
  <c r="J145" i="30"/>
  <c r="C178" i="31"/>
  <c r="D170" i="31"/>
  <c r="D178" i="31" s="1"/>
  <c r="C173" i="31"/>
  <c r="C180" i="31" l="1"/>
  <c r="C154" i="31"/>
  <c r="C174" i="31"/>
  <c r="D173" i="31"/>
  <c r="C151" i="31"/>
  <c r="J19" i="30"/>
  <c r="D154" i="31" l="1"/>
  <c r="D174" i="31"/>
  <c r="C194" i="31"/>
  <c r="J48" i="30"/>
  <c r="B174" i="30" s="1"/>
  <c r="C157" i="31"/>
  <c r="D151" i="31"/>
  <c r="C181" i="31"/>
  <c r="D180" i="31"/>
  <c r="D181" i="31" s="1"/>
  <c r="D157" i="31" l="1"/>
  <c r="B175" i="30"/>
  <c r="B180" i="30"/>
  <c r="B181" i="30" s="1"/>
  <c r="D194" i="31"/>
  <c r="D237" i="31" s="1"/>
  <c r="C237" i="31"/>
  <c r="C238" i="31" l="1"/>
  <c r="C241" i="31"/>
  <c r="D238" i="31"/>
  <c r="D241" i="31"/>
  <c r="D242" i="31" s="1"/>
  <c r="C242" i="31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14)
-10 vides
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13)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+57 agnelles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12 morts à répartir en 9 
6*1 +3*2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-16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N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O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+13 vides
+5 béliers
-16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-16 ref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béliers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bascule dans le lot principal 
remplacé par agnelles jeunes pas de période à 0 car différenciation marqué dans la repro adulte primipare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 jeunes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1,35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Correc N 10T + maïs grain 20T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1,35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luzerne 10 à 18 T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sharedStrings.xml><?xml version="1.0" encoding="utf-8"?>
<sst xmlns="http://schemas.openxmlformats.org/spreadsheetml/2006/main" count="3006" uniqueCount="1450">
  <si>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</si>
  <si>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</si>
  <si>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</si>
  <si>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</si>
  <si>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</si>
  <si>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</si>
  <si>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</si>
  <si>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</si>
  <si>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</si>
  <si>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</si>
  <si>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</si>
  <si>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</si>
  <si>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</si>
  <si>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</si>
  <si>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</si>
  <si>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</si>
  <si>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</si>
  <si>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</si>
  <si>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</si>
  <si>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</si>
  <si>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</si>
  <si>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</si>
  <si>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</si>
  <si>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</si>
  <si>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</si>
  <si>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</si>
  <si>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</si>
  <si>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</si>
  <si>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</si>
  <si>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</si>
  <si>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</si>
  <si>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</si>
  <si>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</si>
  <si>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</si>
  <si>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</si>
  <si>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</si>
  <si>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</si>
  <si>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</si>
  <si>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</si>
  <si>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</si>
  <si>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</si>
  <si>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</si>
  <si>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</si>
  <si>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</si>
  <si>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</si>
  <si>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</si>
  <si>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</si>
  <si>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</si>
  <si>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</si>
  <si>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</si>
  <si>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</si>
  <si>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</si>
  <si>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</si>
  <si>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</si>
  <si>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</si>
  <si>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</si>
  <si>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</si>
  <si>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</si>
  <si>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</si>
  <si>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</si>
  <si>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</si>
  <si>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</si>
  <si>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</si>
  <si>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</si>
  <si>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</si>
  <si>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</si>
  <si>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</si>
  <si>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</si>
  <si>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</si>
  <si>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</si>
  <si>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</si>
  <si>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</si>
  <si>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</si>
  <si>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</si>
  <si>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</si>
  <si>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</si>
  <si>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</si>
  <si>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</si>
  <si>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</si>
  <si>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</si>
  <si>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</si>
  <si>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</si>
  <si>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</si>
  <si>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</si>
  <si>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</si>
  <si>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</si>
  <si>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</si>
  <si>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</si>
  <si>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</si>
  <si>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</si>
  <si>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</si>
  <si>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</si>
  <si>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</si>
  <si>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</si>
  <si>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</si>
  <si>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</si>
  <si>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</si>
  <si>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</si>
  <si>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</si>
  <si>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</si>
  <si>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</si>
  <si>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</si>
  <si>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</si>
  <si>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</si>
  <si>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</si>
  <si>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</si>
  <si>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</si>
  <si>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</si>
  <si>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</si>
  <si>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</si>
  <si>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</si>
  <si>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</si>
  <si>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</si>
  <si>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</si>
  <si>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</si>
  <si>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</si>
  <si>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</si>
  <si>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</si>
  <si>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</si>
  <si>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</si>
  <si>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</si>
  <si>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</si>
  <si>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</si>
  <si>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</si>
  <si>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</si>
  <si>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</si>
  <si>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</si>
  <si>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</si>
  <si>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</si>
  <si>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</si>
  <si>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</si>
  <si>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</si>
  <si>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</si>
  <si>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</si>
  <si>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</si>
  <si>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</si>
  <si>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</si>
  <si>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</si>
  <si>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</si>
  <si>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</si>
  <si>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</si>
  <si>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</si>
  <si>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</si>
  <si>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</si>
  <si>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</si>
  <si>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</si>
  <si>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</si>
  <si>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</si>
  <si>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</si>
  <si>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</si>
  <si>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</si>
  <si>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</si>
  <si>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</si>
  <si>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</si>
  <si>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</si>
  <si>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</si>
  <si>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</si>
  <si>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</si>
  <si>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</si>
  <si>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</si>
  <si>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</si>
  <si>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</si>
  <si>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</si>
  <si>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</si>
  <si>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</si>
  <si>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</si>
  <si>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</si>
  <si>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</si>
  <si>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</si>
  <si>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</si>
  <si>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</si>
  <si>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</si>
  <si>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</si>
  <si>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</si>
  <si>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</si>
  <si>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</si>
  <si>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</si>
  <si>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</si>
  <si>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</si>
  <si>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</si>
  <si>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</si>
  <si>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</si>
  <si>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</si>
  <si>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</si>
  <si>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</si>
  <si>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</si>
  <si>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</si>
  <si>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</si>
  <si>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</si>
  <si>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</si>
  <si>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</si>
  <si>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</si>
  <si>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</si>
  <si>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</si>
  <si>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</si>
  <si>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</si>
  <si>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</si>
  <si>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</si>
  <si>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</si>
  <si>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</si>
  <si>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</si>
  <si>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</si>
  <si>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</si>
  <si>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</si>
  <si>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</si>
  <si>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</si>
  <si>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</si>
  <si>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</si>
  <si>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</si>
  <si>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</si>
  <si>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</si>
  <si>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</si>
  <si>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</si>
  <si>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</si>
  <si>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</si>
  <si>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</si>
  <si>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</si>
  <si>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</si>
  <si>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</si>
  <si>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</si>
  <si>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</si>
  <si>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</si>
  <si>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</si>
  <si>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</si>
  <si>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</si>
  <si>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</si>
  <si>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</si>
  <si>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</si>
  <si>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</si>
  <si>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</si>
  <si>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</si>
  <si>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</si>
  <si>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</si>
  <si>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</si>
  <si>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</si>
  <si>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</si>
  <si>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</si>
  <si>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</si>
  <si>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</si>
  <si>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</si>
  <si>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</si>
  <si>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</si>
  <si>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</si>
  <si>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</si>
  <si>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</si>
  <si>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</si>
  <si>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</si>
  <si>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</si>
  <si>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</si>
  <si>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</si>
  <si>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</si>
  <si>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</si>
  <si>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</si>
  <si>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</si>
  <si>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</si>
  <si>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</si>
  <si>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</si>
  <si>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</si>
  <si>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</si>
  <si>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</si>
  <si>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</si>
  <si>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</si>
  <si>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</si>
  <si>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</si>
  <si>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</si>
  <si>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</si>
  <si>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</si>
  <si>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</si>
  <si>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</si>
  <si>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</si>
  <si>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</si>
  <si>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</si>
  <si>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</si>
  <si>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</si>
  <si>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</si>
  <si>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</si>
  <si>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</si>
  <si>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</si>
  <si>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</si>
  <si>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</si>
  <si>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</si>
  <si>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</si>
  <si>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</si>
  <si>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</si>
  <si>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</si>
  <si>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</si>
  <si>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</si>
  <si>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</si>
  <si>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</si>
  <si>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</si>
  <si>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</si>
  <si>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</si>
  <si>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</si>
  <si>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</si>
  <si>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</si>
  <si>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</si>
  <si>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</si>
  <si>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</si>
  <si>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</si>
  <si>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</si>
  <si>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</si>
  <si>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</si>
  <si>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</si>
  <si>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</si>
  <si>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</si>
  <si>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</si>
  <si>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</si>
  <si>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</si>
  <si>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</si>
  <si>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</si>
  <si>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</si>
  <si>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</si>
  <si>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</si>
  <si>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</si>
  <si>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</si>
  <si>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</si>
  <si>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</si>
  <si>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</si>
  <si>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</si>
  <si>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</si>
  <si>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</si>
  <si>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</si>
  <si>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</si>
  <si>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</si>
  <si>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</si>
  <si>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</si>
  <si>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</si>
  <si>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</si>
  <si>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</si>
  <si>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</si>
  <si>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</si>
  <si>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</si>
  <si>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</si>
  <si>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</si>
  <si>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</si>
  <si>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</si>
  <si>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</si>
  <si>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</si>
  <si>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</si>
  <si>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</si>
  <si>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</si>
  <si>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</si>
  <si>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</si>
  <si>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</si>
  <si>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</si>
  <si>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</si>
  <si>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</si>
  <si>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</si>
  <si>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</si>
  <si>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</si>
  <si>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</si>
  <si>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</si>
  <si>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</si>
  <si>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</si>
  <si>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</si>
  <si>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</si>
  <si>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</si>
  <si>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</si>
  <si>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</si>
  <si>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</si>
  <si>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</si>
  <si>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</si>
  <si>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</si>
  <si>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</si>
  <si>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</si>
  <si>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</si>
  <si>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</si>
  <si>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</si>
  <si>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</si>
  <si>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</si>
  <si>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</si>
  <si>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</si>
  <si>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</si>
  <si>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</si>
  <si>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</si>
  <si>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</si>
  <si>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</si>
  <si>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</si>
  <si>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</si>
  <si>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</si>
  <si>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</si>
  <si>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</si>
  <si>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</si>
  <si>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</si>
  <si>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</si>
  <si>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</si>
  <si>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</si>
  <si>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</si>
  <si>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</si>
  <si>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</si>
  <si>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</si>
  <si>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</si>
  <si>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</si>
  <si>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</si>
  <si>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</si>
  <si>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</si>
  <si>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</si>
  <si>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</si>
  <si>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</si>
  <si>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</si>
  <si>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</si>
  <si>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</si>
  <si>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</si>
  <si>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</si>
  <si>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</si>
  <si>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</si>
  <si>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</si>
  <si>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</si>
  <si>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</si>
  <si>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</si>
  <si>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</si>
  <si>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</si>
  <si>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</si>
  <si>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</si>
  <si>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</si>
  <si>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</si>
  <si>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</si>
  <si>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</si>
  <si>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</si>
  <si>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</si>
  <si>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</si>
  <si>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</si>
  <si>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</si>
  <si>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</si>
  <si>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</si>
  <si>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</si>
  <si>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</si>
  <si>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</si>
  <si>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</si>
  <si>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</si>
  <si>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achat fourrage : 12 T luzerne + 10 T pailles </t>
  </si>
  <si>
    <t>autoconso C : 0</t>
  </si>
  <si>
    <t>achat C : Correc N 10T + maïs grain 20T</t>
  </si>
  <si>
    <t>vide + mammite 17à20 (compris dans 283)</t>
  </si>
  <si>
    <t xml:space="preserve">ovin lait </t>
  </si>
  <si>
    <t>réforme</t>
  </si>
  <si>
    <t>laitiéres</t>
  </si>
  <si>
    <t>agnelles</t>
  </si>
  <si>
    <t>vides + mammites</t>
  </si>
  <si>
    <t>béliers</t>
  </si>
  <si>
    <t>2 ou 3</t>
  </si>
  <si>
    <t>14.1</t>
  </si>
  <si>
    <t>14.2</t>
  </si>
  <si>
    <t>15.1</t>
  </si>
  <si>
    <t>15.2</t>
  </si>
  <si>
    <t>distance</t>
  </si>
  <si>
    <t>type ancien codage enquête complémentaire</t>
  </si>
  <si>
    <t>proche</t>
  </si>
  <si>
    <t>cult28</t>
  </si>
  <si>
    <t>2(1coupe)</t>
  </si>
  <si>
    <t>2(3coupes)</t>
  </si>
  <si>
    <t>que fauché 3 coupes</t>
  </si>
  <si>
    <t>2(1 coupe)</t>
  </si>
  <si>
    <t>PT que fauché 2 coupes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</si>
  <si>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</si>
  <si>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</si>
  <si>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</si>
  <si>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</si>
  <si>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</si>
  <si>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</si>
  <si>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</si>
  <si>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</si>
  <si>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</si>
  <si>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</si>
  <si>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</si>
  <si>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</si>
  <si>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</si>
  <si>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</si>
  <si>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</si>
  <si>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</si>
  <si>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</si>
  <si>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</si>
  <si>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</si>
  <si>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</si>
  <si>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</si>
  <si>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</si>
  <si>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</si>
  <si>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</si>
  <si>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</si>
  <si>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</si>
  <si>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</si>
  <si>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</si>
  <si>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</si>
  <si>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</si>
  <si>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</si>
  <si>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</si>
  <si>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</si>
  <si>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</si>
  <si>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</si>
  <si>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</si>
  <si>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</si>
  <si>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</si>
  <si>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</si>
  <si>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</si>
  <si>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</si>
  <si>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</si>
  <si>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</si>
  <si>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</si>
  <si>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</si>
  <si>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</si>
  <si>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</si>
  <si>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</si>
  <si>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</si>
  <si>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</si>
  <si>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</si>
  <si>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</si>
  <si>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</si>
  <si>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</si>
  <si>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</si>
  <si>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</si>
  <si>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</si>
  <si>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</si>
  <si>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</si>
  <si>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</si>
  <si>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</si>
  <si>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</si>
  <si>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</si>
  <si>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</si>
  <si>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</si>
  <si>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</si>
  <si>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</si>
  <si>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</si>
  <si>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</si>
  <si>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</si>
  <si>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</si>
  <si>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</si>
  <si>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</si>
  <si>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</si>
  <si>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</si>
  <si>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</si>
  <si>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</si>
  <si>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</si>
  <si>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</si>
  <si>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</si>
  <si>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</si>
  <si>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</si>
  <si>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</si>
  <si>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</si>
  <si>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</si>
  <si>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</si>
  <si>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</si>
  <si>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</si>
  <si>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</si>
  <si>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</si>
  <si>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</si>
  <si>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</si>
  <si>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</si>
  <si>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</si>
  <si>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</si>
  <si>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</si>
  <si>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</si>
  <si>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</si>
  <si>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</si>
  <si>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</si>
  <si>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</si>
  <si>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</si>
  <si>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</si>
  <si>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</si>
  <si>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</si>
  <si>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</si>
  <si>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</si>
  <si>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</si>
  <si>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</si>
  <si>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</si>
  <si>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</si>
  <si>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</si>
  <si>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</si>
  <si>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</si>
  <si>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</si>
  <si>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</si>
  <si>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</si>
  <si>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</si>
  <si>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</si>
  <si>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</si>
  <si>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</si>
  <si>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</si>
  <si>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</si>
  <si>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</si>
  <si>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</si>
  <si>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</si>
  <si>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</si>
  <si>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</si>
  <si>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</si>
  <si>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</si>
  <si>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</si>
  <si>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</si>
  <si>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</si>
  <si>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</si>
  <si>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</si>
  <si>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</si>
  <si>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</si>
  <si>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</si>
  <si>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</si>
  <si>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</si>
  <si>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</si>
  <si>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</si>
  <si>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</si>
  <si>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</si>
  <si>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</si>
  <si>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</si>
  <si>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</si>
  <si>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</si>
  <si>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</si>
  <si>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</si>
  <si>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</si>
  <si>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</si>
  <si>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</si>
  <si>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</si>
  <si>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</si>
  <si>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</si>
  <si>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</si>
  <si>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</si>
  <si>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</si>
  <si>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</si>
  <si>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</si>
  <si>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</si>
  <si>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</si>
  <si>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</si>
  <si>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</si>
  <si>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</si>
  <si>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</si>
  <si>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</si>
  <si>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</si>
  <si>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</si>
  <si>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</si>
  <si>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</si>
  <si>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</si>
  <si>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</si>
  <si>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</si>
  <si>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</si>
  <si>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</si>
  <si>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</si>
  <si>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</si>
  <si>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</si>
  <si>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</si>
  <si>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</si>
  <si>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</si>
  <si>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</si>
  <si>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</si>
  <si>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</si>
  <si>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</si>
  <si>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</si>
  <si>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</si>
  <si>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</si>
  <si>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</si>
  <si>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</si>
  <si>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</si>
  <si>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</si>
  <si>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</si>
  <si>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</si>
  <si>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</si>
  <si>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</si>
  <si>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</si>
  <si>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</si>
  <si>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</si>
  <si>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</si>
  <si>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</si>
  <si>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</si>
  <si>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</si>
  <si>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</si>
  <si>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</si>
  <si>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</si>
  <si>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</si>
  <si>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</si>
  <si>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</si>
  <si>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</si>
  <si>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</si>
  <si>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</si>
  <si>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</si>
  <si>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</si>
  <si>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</si>
  <si>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</si>
  <si>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</si>
  <si>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</si>
  <si>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</si>
  <si>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</si>
  <si>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</si>
  <si>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</si>
  <si>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</si>
  <si>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</si>
  <si>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</si>
  <si>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</si>
  <si>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</si>
  <si>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</si>
  <si>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</si>
  <si>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</si>
  <si>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</si>
  <si>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</si>
  <si>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</si>
  <si>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</si>
  <si>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</si>
  <si>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</si>
  <si>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</si>
  <si>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</si>
  <si>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</si>
  <si>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</si>
  <si>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</si>
  <si>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</si>
  <si>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</si>
  <si>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</si>
  <si>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</si>
  <si>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</si>
  <si>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</si>
  <si>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</si>
  <si>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</si>
  <si>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</si>
  <si>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</si>
  <si>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</si>
  <si>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</si>
  <si>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</si>
  <si>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</si>
  <si>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</si>
  <si>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</si>
  <si>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</si>
  <si>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</si>
  <si>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</si>
  <si>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</si>
  <si>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</si>
  <si>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</si>
  <si>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</si>
  <si>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</si>
  <si>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</si>
  <si>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</si>
  <si>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</si>
  <si>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</si>
  <si>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</si>
  <si>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</si>
  <si>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</si>
  <si>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</si>
  <si>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</si>
  <si>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</si>
  <si>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</si>
  <si>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</si>
  <si>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</si>
  <si>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</si>
  <si>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</si>
  <si>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</si>
  <si>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</si>
  <si>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</si>
  <si>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</si>
  <si>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</si>
  <si>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</si>
  <si>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</si>
  <si>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</si>
  <si>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</si>
  <si>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</si>
  <si>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</si>
  <si>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</si>
  <si>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</si>
  <si>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</si>
  <si>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</si>
  <si>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</si>
  <si>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</si>
  <si>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</si>
  <si>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</si>
  <si>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</si>
  <si>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</si>
  <si>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</si>
  <si>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</si>
  <si>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</si>
  <si>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</si>
  <si>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</si>
  <si>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</si>
  <si>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</si>
  <si>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</si>
  <si>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</si>
  <si>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</si>
  <si>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</si>
  <si>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</si>
  <si>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</si>
  <si>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</si>
  <si>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</si>
  <si>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</si>
  <si>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</si>
  <si>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</si>
  <si>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</si>
  <si>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</si>
  <si>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</si>
  <si>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</si>
  <si>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</si>
  <si>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</si>
  <si>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</si>
  <si>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</si>
  <si>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</si>
  <si>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</si>
  <si>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</si>
  <si>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</si>
  <si>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</si>
  <si>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</si>
  <si>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</si>
  <si>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</si>
  <si>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</si>
  <si>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</si>
  <si>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</si>
  <si>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</si>
  <si>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</si>
  <si>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</si>
  <si>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</si>
  <si>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</si>
  <si>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</si>
  <si>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</si>
  <si>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</si>
  <si>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</si>
  <si>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</si>
  <si>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</si>
  <si>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</si>
  <si>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</si>
  <si>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</si>
  <si>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</si>
  <si>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</si>
  <si>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</si>
  <si>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</si>
  <si>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</si>
  <si>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</si>
  <si>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</si>
  <si>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</si>
  <si>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</si>
  <si>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</si>
  <si>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</si>
  <si>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</si>
  <si>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</si>
  <si>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</si>
  <si>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</si>
  <si>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</si>
  <si>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</si>
  <si>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</si>
  <si>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</si>
  <si>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</si>
  <si>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</si>
  <si>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</si>
  <si>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</si>
  <si>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</si>
  <si>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</si>
  <si>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</si>
  <si>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</si>
  <si>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</si>
  <si>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</si>
  <si>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</si>
  <si>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</si>
  <si>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</si>
  <si>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</si>
  <si>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</si>
  <si>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</si>
  <si>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</si>
  <si>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</si>
  <si>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</si>
  <si>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</si>
  <si>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</si>
  <si>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</si>
  <si>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</si>
  <si>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</si>
  <si>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</si>
  <si>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</si>
  <si>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</si>
  <si>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</si>
  <si>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</si>
  <si>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</si>
  <si>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</si>
  <si>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</si>
  <si>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</si>
  <si>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</si>
  <si>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</si>
  <si>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</si>
  <si>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</si>
  <si>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</si>
  <si>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</si>
  <si>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</si>
  <si>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</si>
  <si>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</si>
  <si>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</si>
  <si>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</si>
  <si>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</si>
  <si>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</si>
  <si>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</si>
  <si>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</si>
  <si>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</si>
  <si>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</si>
  <si>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</si>
  <si>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</si>
  <si>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</si>
  <si>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</si>
  <si>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</si>
  <si>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</si>
  <si>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</si>
  <si>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</si>
  <si>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</si>
  <si>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</si>
  <si>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</si>
  <si>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</si>
  <si>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</si>
  <si>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</si>
  <si>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</si>
  <si>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</si>
  <si>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</si>
  <si>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</si>
  <si>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</si>
  <si>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</si>
  <si>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</si>
  <si>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</si>
  <si>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</si>
  <si>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</si>
  <si>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</si>
  <si>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</si>
  <si>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</si>
  <si>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</si>
  <si>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</si>
  <si>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</si>
  <si>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</si>
  <si>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</si>
  <si>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</si>
  <si>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</si>
  <si>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</si>
  <si>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</si>
  <si>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</si>
  <si>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</si>
  <si>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</si>
  <si>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</si>
  <si>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</si>
  <si>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</si>
  <si>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</si>
  <si>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</si>
  <si>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</si>
  <si>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</si>
  <si>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</si>
  <si>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</si>
  <si>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</si>
  <si>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</si>
  <si>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</si>
  <si>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</si>
  <si>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</si>
  <si>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</si>
  <si>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</si>
  <si>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</si>
  <si>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</si>
  <si>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</si>
  <si>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</si>
  <si>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</si>
  <si>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</si>
  <si>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</si>
  <si>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</si>
  <si>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</si>
  <si>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</si>
  <si>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</si>
  <si>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</si>
  <si>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</si>
  <si>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</si>
  <si>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</si>
  <si>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</si>
  <si>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</si>
  <si>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</si>
  <si>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</si>
  <si>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</si>
  <si>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</si>
  <si>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</si>
  <si>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</si>
  <si>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</si>
  <si>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</si>
  <si>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</si>
  <si>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</si>
  <si>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</si>
  <si>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</si>
  <si>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</si>
  <si>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</si>
  <si>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</si>
  <si>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</si>
  <si>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</si>
  <si>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</si>
  <si>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</si>
  <si>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</si>
  <si>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</si>
  <si>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</si>
  <si>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Calcul UGB PAC</t>
  </si>
  <si>
    <t>Chargement</t>
  </si>
  <si>
    <t>Primes</t>
  </si>
  <si>
    <t>CP</t>
  </si>
  <si>
    <t>adultes</t>
  </si>
  <si>
    <t>jeunes</t>
  </si>
  <si>
    <t>UGB / ha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</si>
  <si>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</si>
  <si>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</si>
  <si>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</si>
  <si>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</si>
  <si>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</si>
  <si>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</si>
  <si>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</si>
  <si>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</si>
  <si>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</si>
  <si>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Total</t>
  </si>
  <si>
    <t>Ovine</t>
  </si>
  <si>
    <t>Calcul de la surface pour DPB</t>
  </si>
  <si>
    <t>Surf. Réelle</t>
  </si>
  <si>
    <t>taux</t>
  </si>
  <si>
    <t>Surf. Admissble</t>
  </si>
  <si>
    <t>ha primable</t>
  </si>
  <si>
    <t>Modulation selon le chargement</t>
  </si>
  <si>
    <t xml:space="preserve">Seuil chargement </t>
  </si>
  <si>
    <t>Caprine</t>
  </si>
  <si>
    <t>Terres Arables (hors PT et dérobée)</t>
  </si>
  <si>
    <t>surface admissible</t>
  </si>
  <si>
    <t>0-25 ha</t>
  </si>
  <si>
    <t>seuil1</t>
  </si>
  <si>
    <t>Légumineuse fourragère</t>
  </si>
  <si>
    <t>surface par associé</t>
  </si>
  <si>
    <t>25-50 ha</t>
  </si>
  <si>
    <t>seuil2</t>
  </si>
  <si>
    <t>50-75 ha</t>
  </si>
  <si>
    <t>Modulation (%)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</si>
  <si>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</si>
  <si>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</si>
  <si>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</si>
  <si>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</si>
  <si>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</si>
  <si>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</si>
  <si>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</si>
  <si>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</si>
  <si>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</si>
  <si>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</si>
  <si>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</si>
  <si>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</si>
  <si>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</si>
  <si>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</si>
  <si>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</si>
  <si>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</si>
  <si>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</si>
  <si>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</si>
  <si>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</si>
  <si>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</si>
  <si>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</si>
  <si>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</si>
  <si>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</si>
  <si>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</si>
  <si>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</si>
  <si>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</si>
  <si>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</si>
  <si>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</si>
  <si>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</si>
  <si>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</si>
  <si>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</si>
  <si>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</si>
  <si>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</si>
  <si>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</si>
  <si>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</si>
  <si>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</si>
  <si>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</si>
  <si>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</si>
  <si>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</si>
  <si>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</si>
  <si>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</si>
  <si>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</si>
  <si>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</si>
  <si>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</si>
  <si>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</si>
  <si>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</si>
  <si>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</si>
  <si>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</si>
  <si>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</si>
  <si>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</si>
  <si>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</si>
  <si>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</si>
  <si>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</si>
  <si>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</si>
  <si>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</si>
  <si>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</si>
  <si>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</si>
  <si>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</si>
  <si>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</si>
  <si>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</si>
  <si>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</si>
  <si>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</si>
  <si>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</si>
  <si>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</si>
  <si>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</si>
  <si>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</si>
  <si>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</si>
  <si>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</si>
  <si>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</si>
  <si>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</si>
  <si>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</si>
  <si>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</si>
  <si>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</si>
  <si>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</si>
  <si>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</si>
  <si>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</si>
  <si>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</si>
  <si>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</si>
  <si>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</si>
  <si>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</si>
  <si>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</si>
  <si>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</si>
  <si>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</si>
  <si>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</si>
  <si>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</si>
  <si>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</si>
  <si>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</si>
  <si>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</si>
  <si>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</si>
  <si>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</si>
  <si>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</si>
  <si>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</si>
  <si>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</si>
  <si>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</si>
  <si>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</si>
  <si>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</si>
  <si>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</si>
  <si>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</si>
  <si>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</si>
  <si>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</si>
  <si>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</si>
  <si>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</si>
  <si>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</si>
  <si>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</si>
  <si>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</si>
  <si>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</si>
  <si>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</si>
  <si>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bergers pour surveillance</t>
  </si>
  <si>
    <t>manipulation - entreten  clôtures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</si>
  <si>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</si>
  <si>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</si>
  <si>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</si>
  <si>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</si>
  <si>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</si>
  <si>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</si>
  <si>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</si>
  <si>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</si>
  <si>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</si>
  <si>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</si>
  <si>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</si>
  <si>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</si>
  <si>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</si>
  <si>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</si>
  <si>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</si>
  <si>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</si>
  <si>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</si>
  <si>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</si>
  <si>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</si>
  <si>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</si>
  <si>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</si>
  <si>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</si>
  <si>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</si>
  <si>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</si>
  <si>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</si>
  <si>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</si>
  <si>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</si>
  <si>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</si>
  <si>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</si>
  <si>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</si>
  <si>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</si>
  <si>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</si>
  <si>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</si>
  <si>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</si>
  <si>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</si>
  <si>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</si>
  <si>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</si>
  <si>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</si>
  <si>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</si>
  <si>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</si>
  <si>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</si>
  <si>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</si>
  <si>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</si>
  <si>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</si>
  <si>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</si>
  <si>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</si>
  <si>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</si>
  <si>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</si>
  <si>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</si>
  <si>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</si>
  <si>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</si>
  <si>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</si>
  <si>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</si>
  <si>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</si>
  <si>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</si>
  <si>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</si>
  <si>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</si>
  <si>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</si>
  <si>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</si>
  <si>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</si>
  <si>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</si>
  <si>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</si>
  <si>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</si>
  <si>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</si>
  <si>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</si>
  <si>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</si>
  <si>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</si>
  <si>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</si>
  <si>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</si>
  <si>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</si>
  <si>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</si>
  <si>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</si>
  <si>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</si>
  <si>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</si>
  <si>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</si>
  <si>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</si>
  <si>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</si>
  <si>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</si>
  <si>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</si>
  <si>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</si>
  <si>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</si>
  <si>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</si>
  <si>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</si>
  <si>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</si>
  <si>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</si>
  <si>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</si>
  <si>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</si>
  <si>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</si>
  <si>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</si>
  <si>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</si>
  <si>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</si>
  <si>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</si>
  <si>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</si>
  <si>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</si>
  <si>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</si>
  <si>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</si>
  <si>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</si>
  <si>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</si>
  <si>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</si>
  <si>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</si>
  <si>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</si>
  <si>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</si>
  <si>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</si>
  <si>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</si>
  <si>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</si>
  <si>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</si>
  <si>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</si>
  <si>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</si>
  <si>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</si>
  <si>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</si>
  <si>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</si>
  <si>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</si>
  <si>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</si>
  <si>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</si>
  <si>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</si>
  <si>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</si>
  <si>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</si>
  <si>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</si>
  <si>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</si>
  <si>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</si>
  <si>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</si>
  <si>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</si>
  <si>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</si>
  <si>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</si>
  <si>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</si>
  <si>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</si>
  <si>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</si>
  <si>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</si>
  <si>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</si>
  <si>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</si>
  <si>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</si>
  <si>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</si>
  <si>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</si>
  <si>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</si>
  <si>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</si>
  <si>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</si>
  <si>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</si>
  <si>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</si>
  <si>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</si>
  <si>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</si>
  <si>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</si>
  <si>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</si>
  <si>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</si>
  <si>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</si>
  <si>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</si>
  <si>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</si>
  <si>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</si>
  <si>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</si>
  <si>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</si>
  <si>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</si>
  <si>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</si>
  <si>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</si>
  <si>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</si>
  <si>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</si>
  <si>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</si>
  <si>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</si>
  <si>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</si>
  <si>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</si>
  <si>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</si>
  <si>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</si>
  <si>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</si>
  <si>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</si>
  <si>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</si>
  <si>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</si>
  <si>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</si>
  <si>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</si>
  <si>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</si>
  <si>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</si>
  <si>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</si>
  <si>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</si>
  <si>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</si>
  <si>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</si>
  <si>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</si>
  <si>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</si>
  <si>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</si>
  <si>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</si>
  <si>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</si>
  <si>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</si>
  <si>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</si>
  <si>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</si>
  <si>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</si>
  <si>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</si>
  <si>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</si>
  <si>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</si>
  <si>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</si>
  <si>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</si>
  <si>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</si>
  <si>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</si>
  <si>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</si>
  <si>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</si>
  <si>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</si>
  <si>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</si>
  <si>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</si>
  <si>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</si>
  <si>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</si>
  <si>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</si>
  <si>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</si>
  <si>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</si>
  <si>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</si>
  <si>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</si>
  <si>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</si>
  <si>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</si>
  <si>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</si>
  <si>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</si>
  <si>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</si>
  <si>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</si>
  <si>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</si>
  <si>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</si>
  <si>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</si>
  <si>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</si>
  <si>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</si>
  <si>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</si>
  <si>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</si>
  <si>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</si>
  <si>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</si>
  <si>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</si>
  <si>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</si>
  <si>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</si>
  <si>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</si>
  <si>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</si>
  <si>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</si>
  <si>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</si>
  <si>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</si>
  <si>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</si>
  <si>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</si>
  <si>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</si>
  <si>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</si>
  <si>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</si>
  <si>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</si>
  <si>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</si>
  <si>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</si>
  <si>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</si>
  <si>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</si>
  <si>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</si>
  <si>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</si>
  <si>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</si>
  <si>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</si>
  <si>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</si>
  <si>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</si>
  <si>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</si>
  <si>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</si>
  <si>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</si>
  <si>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</si>
  <si>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</si>
  <si>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</si>
  <si>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</si>
  <si>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</si>
  <si>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</si>
  <si>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</si>
  <si>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</si>
  <si>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</si>
  <si>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</si>
  <si>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</si>
  <si>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</si>
  <si>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</si>
  <si>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</si>
  <si>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</si>
  <si>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</si>
  <si>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</si>
  <si>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</si>
  <si>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</si>
  <si>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</si>
  <si>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</si>
  <si>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</si>
  <si>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</si>
  <si>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</si>
  <si>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</si>
  <si>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</si>
  <si>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</si>
  <si>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</si>
  <si>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</si>
  <si>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</si>
  <si>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</si>
  <si>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</si>
  <si>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</si>
  <si>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</si>
  <si>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</si>
  <si>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</si>
  <si>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</si>
  <si>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</si>
  <si>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</si>
  <si>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</si>
  <si>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</si>
  <si>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</si>
  <si>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</si>
  <si>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</si>
  <si>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</si>
  <si>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</si>
  <si>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</si>
  <si>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</si>
  <si>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</si>
  <si>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</si>
  <si>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</si>
  <si>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</si>
  <si>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</si>
  <si>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</si>
  <si>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</si>
  <si>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</si>
  <si>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</si>
  <si>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</si>
  <si>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</si>
  <si>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</si>
  <si>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</si>
  <si>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</si>
  <si>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</si>
  <si>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</si>
  <si>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</si>
  <si>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Étiquettes de lignes</t>
  </si>
  <si>
    <t>(vide)</t>
  </si>
  <si>
    <t>Total général</t>
  </si>
  <si>
    <t>Somme de surface</t>
  </si>
  <si>
    <t>PP</t>
  </si>
  <si>
    <t>Landes</t>
  </si>
  <si>
    <t>Étiquettes de colonnes</t>
  </si>
  <si>
    <t>surface2</t>
  </si>
  <si>
    <t>Travail Protection Ferme</t>
  </si>
  <si>
    <t>Travail Protection UP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</si>
  <si>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</si>
  <si>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</si>
  <si>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</si>
  <si>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</si>
  <si>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</si>
  <si>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</si>
  <si>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</si>
  <si>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</si>
  <si>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</si>
  <si>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</si>
  <si>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</si>
  <si>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</si>
  <si>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</si>
  <si>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</si>
  <si>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</si>
  <si>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</si>
  <si>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Z1_OL_B_s2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</si>
</sst>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3" borderId="0" xfId="0" applyFill="1"/>
    <xf numFmtId="0" fontId="1" fillId="13" borderId="0" xfId="0" applyFont="1" applyFill="1"/>
    <xf numFmtId="0" fontId="0" fillId="13" borderId="0" xfId="0" applyFill="1" applyAlignment="1">
      <alignment horizontal="center"/>
    </xf>
    <xf numFmtId="0" fontId="0" fillId="13" borderId="0" xfId="0" applyFill="1" applyAlignment="1">
      <alignment horizontal="left"/>
    </xf>
    <xf numFmtId="0" fontId="0" fillId="13" borderId="0" xfId="0" applyFill="1" applyAlignment="1">
      <alignment horizontal="right"/>
    </xf>
    <xf numFmtId="0" fontId="0" fillId="11" borderId="0" xfId="0" applyFill="1"/>
    <xf numFmtId="0" fontId="1" fillId="13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2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9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20" fillId="2" borderId="2" xfId="0" applyFont="1" applyFill="1" applyBorder="1" applyAlignment="1">
      <alignment horizontal="center"/>
    </xf>
    <xf numFmtId="0" fontId="0" fillId="15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2.72202465278" createdVersion="6" refreshedVersion="6" minRefreshableVersion="3" recordCount="63">
  <cacheSource type="worksheet">
    <worksheetSource ref="A1:V64" sheet="Parcellaire"/>
  </cacheSource>
  <cacheFields count="21">
    <cacheField name="Numéro_x000a_Parcelle" numFmtId="0">
      <sharedItems containsBlank="1" containsMixedTypes="1" containsNumber="1" containsInteger="1" minValue="1" maxValue="62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ête complémentaire" numFmtId="0">
      <sharedItems containsBlank="1" containsMixedTypes="1" containsNumber="1" containsInteger="1" minValue="2" maxValue="3" count="6">
        <s v="PP"/>
        <m/>
        <s v="Landes"/>
        <s v="PT"/>
        <n v="2" u="1"/>
        <n v="3" u="1"/>
      </sharedItems>
    </cacheField>
    <cacheField name="MEP" numFmtId="0">
      <sharedItems containsBlank="1" containsMixedTypes="1" containsNumber="1" containsInteger="1" minValue="2" maxValue="148"/>
    </cacheField>
    <cacheField name="surface" numFmtId="0">
      <sharedItems containsString="0" containsBlank="1" containsNumber="1" minValue="0.15" maxValue="33.550000000000004"/>
    </cacheField>
    <cacheField name="forme" numFmtId="0">
      <sharedItems containsString="0" containsBlank="1" containsNumber="1" containsInteger="1" minValue="1" maxValue="48"/>
    </cacheField>
    <cacheField name="dénivelé" numFmtId="0">
      <sharedItems containsString="0" containsBlank="1" containsNumber="1" minValue="0" maxValue="12.5"/>
    </cacheField>
    <cacheField name="surface _x000a_corrigée forme" numFmtId="0">
      <sharedItems containsBlank="1" containsMixedTypes="1" containsNumber="1" minValue="0.16500000000000001" maxValue="36.480000000000004"/>
    </cacheField>
    <cacheField name="surface _x000a_corrigée dénivé + forme" numFmtId="0">
      <sharedItems containsBlank="1" containsMixedTypes="1" containsNumber="1" minValue="0.16500000000000001" maxValue="42.397500000000001"/>
    </cacheField>
    <cacheField name="petit côté _x000a_(m)" numFmtId="0">
      <sharedItems containsBlank="1" containsMixedTypes="1" containsNumber="1" minValue="0" maxValue="1464.5234869700485"/>
    </cacheField>
    <cacheField name="nb côté max" numFmtId="0">
      <sharedItems containsString="0" containsBlank="1" containsNumber="1" containsInteger="1" minValue="4" maxValue="106"/>
    </cacheField>
    <cacheField name="nombre côtés" numFmtId="0">
      <sharedItems containsString="0" containsBlank="1" containsNumber="1" containsInteger="1" minValue="0" maxValue="70"/>
    </cacheField>
    <cacheField name="dont nb_x000a_côtés  lisière fermée (bois, haie)" numFmtId="0">
      <sharedItems containsString="0" containsBlank="1" containsNumber="1" containsInteger="1" minValue="0" maxValue="0"/>
    </cacheField>
    <cacheField name="dont nb côtés lisière voisins " numFmtId="0">
      <sharedItems containsString="0" containsBlank="1" containsNumber="1" containsInteger="1" minValue="0" maxValue="28"/>
    </cacheField>
    <cacheField name="linéaire filet (m)" numFmtId="0">
      <sharedItems containsSemiMixedTypes="0" containsString="0" containsNumber="1" containsInteger="1" minValue="0" maxValue="0"/>
    </cacheField>
    <cacheField name="dont lisière fermé (m)" numFmtId="0">
      <sharedItems containsSemiMixedTypes="0" containsString="0" containsNumber="1" containsInteger="1" minValue="0" maxValue="0"/>
    </cacheField>
    <cacheField name="linéaire fixe (m)" numFmtId="0">
      <sharedItems containsMixedTypes="1" containsNumber="1" minValue="0" maxValue="6922.5803999050404"/>
    </cacheField>
    <cacheField name="dont partage voisin (m)" numFmtId="0">
      <sharedItems containsSemiMixedTypes="0" containsString="0" containsNumber="1" minValue="0" maxValue="3072.9764625436937"/>
    </cacheField>
    <cacheField name="Total linéaire (m)" numFmtId="0">
      <sharedItems containsMixedTypes="1" containsNumber="1" minValue="0" maxValue="8617.43529433552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22.486460300926" createdVersion="6" refreshedVersion="6" minRefreshableVersion="3" recordCount="20">
  <cacheSource type="worksheet">
    <worksheetSource ref="B1:J21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m/>
        <s v="éloigné"/>
        <s v="proche"/>
        <s v="eloigné" u="1"/>
      </sharedItems>
    </cacheField>
    <cacheField name="type ancien codage enquête complémentaire" numFmtId="0">
      <sharedItems containsBlank="1"/>
    </cacheField>
    <cacheField name="MEP" numFmtId="0">
      <sharedItems containsString="0" containsBlank="1" containsNumber="1" containsInteger="1" minValue="194" maxValue="269" count="8">
        <m/>
        <n v="269"/>
        <n v="194"/>
        <n v="265"/>
        <n v="266"/>
        <n v="264"/>
        <n v="241" u="1"/>
        <n v="267" u="1"/>
      </sharedItems>
    </cacheField>
    <cacheField name="surface" numFmtId="0">
      <sharedItems containsString="0" containsBlank="1" containsNumber="1" minValue="0.5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">
  <r>
    <n v="1"/>
    <n v="1"/>
    <n v="2"/>
    <s v="proche"/>
    <x v="0"/>
    <n v="130"/>
    <n v="0.15"/>
    <n v="3"/>
    <n v="0"/>
    <n v="0.16500000000000001"/>
    <n v="0.16500000000000001"/>
    <n v="28.722813232690143"/>
    <n v="6"/>
    <n v="6"/>
    <m/>
    <n v="2"/>
    <n v="0"/>
    <n v="0"/>
    <n v="143.61406616345073"/>
    <n v="57.445626465380286"/>
    <n v="172.33687939614086"/>
  </r>
  <r>
    <n v="2"/>
    <n v="1"/>
    <m/>
    <m/>
    <x v="1"/>
    <m/>
    <m/>
    <m/>
    <m/>
    <m/>
    <m/>
    <m/>
    <m/>
    <m/>
    <m/>
    <m/>
    <n v="0"/>
    <n v="0"/>
    <n v="0"/>
    <n v="0"/>
    <n v="0"/>
  </r>
  <r>
    <n v="3"/>
    <n v="1"/>
    <n v="2"/>
    <s v="proche"/>
    <x v="0"/>
    <n v="129"/>
    <n v="1.4"/>
    <n v="3"/>
    <n v="0"/>
    <n v="1.54"/>
    <n v="1.54"/>
    <n v="87.749643873921215"/>
    <n v="6"/>
    <n v="6"/>
    <m/>
    <n v="2"/>
    <n v="0"/>
    <n v="0"/>
    <n v="438.74821936960603"/>
    <n v="175.49928774784243"/>
    <n v="526.49786324352726"/>
  </r>
  <r>
    <n v="4"/>
    <n v="1"/>
    <n v="2"/>
    <s v="éloigné"/>
    <x v="0"/>
    <n v="60"/>
    <n v="1.2"/>
    <n v="3"/>
    <n v="0"/>
    <n v="1.32"/>
    <n v="1.32"/>
    <n v="188.9"/>
    <n v="6"/>
    <n v="6"/>
    <m/>
    <n v="2"/>
    <n v="0"/>
    <n v="0"/>
    <n v="944.50000000000011"/>
    <n v="377.8"/>
    <n v="1133.4000000000001"/>
  </r>
  <r>
    <n v="5"/>
    <n v="1"/>
    <n v="2"/>
    <s v="éloigné"/>
    <x v="0"/>
    <n v="130"/>
    <n v="1.2"/>
    <n v="2"/>
    <n v="0"/>
    <n v="1.2"/>
    <n v="1.2"/>
    <n v="0"/>
    <n v="6"/>
    <n v="0"/>
    <m/>
    <n v="0"/>
    <n v="0"/>
    <n v="0"/>
    <n v="0"/>
    <n v="0"/>
    <n v="0"/>
  </r>
  <r>
    <n v="6"/>
    <n v="1"/>
    <n v="2"/>
    <s v="éloigné"/>
    <x v="0"/>
    <n v="60"/>
    <n v="3.5"/>
    <n v="3"/>
    <n v="1"/>
    <n v="3.8500000000000005"/>
    <n v="4.62"/>
    <n v="0"/>
    <n v="6"/>
    <n v="0"/>
    <m/>
    <n v="0"/>
    <n v="0"/>
    <n v="0"/>
    <n v="0"/>
    <n v="0"/>
    <n v="0"/>
  </r>
  <r>
    <n v="7"/>
    <n v="2"/>
    <n v="2"/>
    <s v="éloigné"/>
    <x v="0"/>
    <n v="55"/>
    <n v="1.23"/>
    <n v="2"/>
    <n v="0"/>
    <n v="1.23"/>
    <n v="1.23"/>
    <n v="119.49895397031725"/>
    <n v="6"/>
    <n v="6"/>
    <m/>
    <n v="4"/>
    <n v="0"/>
    <n v="0"/>
    <n v="477.99581588126898"/>
    <n v="477.99581588126898"/>
    <n v="716.99372382190347"/>
  </r>
  <r>
    <n v="8"/>
    <n v="1"/>
    <n v="2"/>
    <s v="éloigné"/>
    <x v="0"/>
    <n v="2"/>
    <n v="1.1499999999999999"/>
    <n v="2"/>
    <n v="1"/>
    <n v="1.1499999999999999"/>
    <n v="1.38"/>
    <n v="0"/>
    <n v="6"/>
    <n v="0"/>
    <m/>
    <n v="0"/>
    <n v="0"/>
    <n v="0"/>
    <n v="0"/>
    <n v="0"/>
    <n v="0"/>
  </r>
  <r>
    <n v="9"/>
    <n v="1"/>
    <m/>
    <m/>
    <x v="1"/>
    <m/>
    <m/>
    <m/>
    <m/>
    <m/>
    <m/>
    <m/>
    <m/>
    <m/>
    <m/>
    <m/>
    <n v="0"/>
    <n v="0"/>
    <n v="0"/>
    <n v="0"/>
    <n v="0"/>
  </r>
  <r>
    <n v="10"/>
    <n v="2"/>
    <n v="2"/>
    <s v="éloigné"/>
    <x v="0"/>
    <n v="55"/>
    <n v="0.74"/>
    <n v="3"/>
    <n v="0"/>
    <n v="0.81400000000000006"/>
    <n v="0.81400000000000006"/>
    <n v="63.796551630946318"/>
    <n v="6"/>
    <n v="6"/>
    <m/>
    <n v="3"/>
    <n v="0"/>
    <n v="0"/>
    <n v="287.08448233925844"/>
    <n v="191.38965489283896"/>
    <n v="382.77930978567792"/>
  </r>
  <r>
    <n v="11"/>
    <n v="1"/>
    <n v="0"/>
    <s v="éloigné"/>
    <x v="2"/>
    <s v="cult28"/>
    <n v="3.8"/>
    <n v="3"/>
    <n v="1"/>
    <n v="4.18"/>
    <n v="5.0159999999999991"/>
    <n v="158.3666631586332"/>
    <n v="6"/>
    <n v="6"/>
    <m/>
    <n v="2"/>
    <n v="0"/>
    <n v="0"/>
    <n v="791.83331579316609"/>
    <n v="0"/>
    <n v="950.19997895179927"/>
  </r>
  <r>
    <n v="12"/>
    <n v="1"/>
    <n v="2"/>
    <s v="proche"/>
    <x v="0"/>
    <n v="129"/>
    <n v="1.85"/>
    <n v="3"/>
    <n v="0.5"/>
    <n v="2.0350000000000001"/>
    <n v="2.2385000000000002"/>
    <n v="105.79461233919238"/>
    <n v="6"/>
    <n v="6"/>
    <m/>
    <n v="4"/>
    <n v="0"/>
    <n v="0"/>
    <n v="423.17844935676953"/>
    <n v="423.17844935676953"/>
    <n v="634.7676740351543"/>
  </r>
  <r>
    <n v="13"/>
    <n v="1"/>
    <n v="2"/>
    <s v="proche"/>
    <x v="0"/>
    <n v="128"/>
    <n v="7.4"/>
    <n v="3"/>
    <n v="1"/>
    <n v="8.14"/>
    <n v="9.7680000000000007"/>
    <n v="220.99773754498031"/>
    <n v="6"/>
    <n v="6"/>
    <m/>
    <n v="3"/>
    <n v="0"/>
    <n v="0"/>
    <n v="994.4898189524115"/>
    <n v="662.99321263494096"/>
    <n v="1325.9864252698819"/>
  </r>
  <r>
    <s v="14.1"/>
    <n v="1"/>
    <n v="2"/>
    <s v="proche"/>
    <x v="0"/>
    <n v="2"/>
    <n v="1.5"/>
    <n v="3"/>
    <n v="1"/>
    <n v="1.6500000000000001"/>
    <n v="1.98"/>
    <n v="134.69999999999999"/>
    <n v="6"/>
    <n v="6"/>
    <m/>
    <n v="1"/>
    <n v="0"/>
    <n v="0"/>
    <n v="740.84999999999991"/>
    <n v="134.69999999999999"/>
    <n v="808.19999999999993"/>
  </r>
  <r>
    <s v="14.2"/>
    <n v="1"/>
    <n v="2"/>
    <s v="proche"/>
    <x v="0"/>
    <n v="128"/>
    <n v="1.5"/>
    <n v="3"/>
    <n v="0"/>
    <n v="1.6500000000000001"/>
    <n v="1.6500000000000001"/>
    <n v="0"/>
    <n v="6"/>
    <n v="0"/>
    <m/>
    <n v="0"/>
    <n v="0"/>
    <n v="0"/>
    <n v="0"/>
    <n v="0"/>
    <n v="0"/>
  </r>
  <r>
    <s v="15.1"/>
    <n v="1"/>
    <n v="2"/>
    <s v="proche"/>
    <x v="0"/>
    <n v="131"/>
    <n v="1.39"/>
    <n v="3"/>
    <n v="1"/>
    <n v="1.5289999999999999"/>
    <n v="1.8347999999999998"/>
    <n v="114.60366486286551"/>
    <n v="6"/>
    <n v="6"/>
    <m/>
    <n v="2"/>
    <n v="0"/>
    <n v="0"/>
    <n v="573.01832431432763"/>
    <n v="229.20732972573103"/>
    <n v="687.62198917719309"/>
  </r>
  <r>
    <s v="15.2"/>
    <n v="1"/>
    <n v="2"/>
    <s v="proche"/>
    <x v="3"/>
    <n v="148"/>
    <n v="0.6"/>
    <n v="2"/>
    <n v="1"/>
    <n v="0.6"/>
    <n v="0.72"/>
    <n v="0"/>
    <n v="6"/>
    <n v="0"/>
    <m/>
    <n v="0"/>
    <n v="0"/>
    <n v="0"/>
    <n v="0"/>
    <n v="0"/>
    <n v="0"/>
  </r>
  <r>
    <n v="17"/>
    <n v="1"/>
    <n v="2"/>
    <s v="proche"/>
    <x v="0"/>
    <n v="60"/>
    <n v="3"/>
    <n v="3"/>
    <n v="1"/>
    <n v="3.3000000000000003"/>
    <n v="3.96"/>
    <n v="156.30000000000001"/>
    <n v="6"/>
    <n v="6"/>
    <m/>
    <n v="2"/>
    <n v="0"/>
    <n v="0"/>
    <n v="781.5"/>
    <n v="312.60000000000002"/>
    <n v="937.80000000000007"/>
  </r>
  <r>
    <n v="18"/>
    <n v="1"/>
    <n v="2"/>
    <s v="proche"/>
    <x v="0"/>
    <n v="2"/>
    <n v="0.7"/>
    <n v="2"/>
    <n v="1"/>
    <n v="0.7"/>
    <n v="0.84"/>
    <n v="0"/>
    <n v="6"/>
    <n v="0"/>
    <m/>
    <n v="0"/>
    <n v="0"/>
    <n v="0"/>
    <n v="0"/>
    <n v="0"/>
    <n v="0"/>
  </r>
  <r>
    <n v="19"/>
    <n v="1"/>
    <n v="2"/>
    <s v="proche"/>
    <x v="0"/>
    <n v="131"/>
    <n v="0.6"/>
    <n v="1"/>
    <n v="1"/>
    <n v="0.6"/>
    <n v="0.72"/>
    <n v="84.852813742385706"/>
    <n v="4"/>
    <n v="4"/>
    <m/>
    <n v="3"/>
    <n v="0"/>
    <n v="0"/>
    <n v="212.13203435596427"/>
    <n v="254.55844122715712"/>
    <n v="339.41125496954282"/>
  </r>
  <r>
    <n v="20"/>
    <n v="1"/>
    <n v="2"/>
    <s v="proche"/>
    <x v="0"/>
    <n v="129"/>
    <n v="0.92"/>
    <n v="3"/>
    <n v="1"/>
    <n v="1.0120000000000002"/>
    <n v="1.2144000000000001"/>
    <n v="77.923038955112631"/>
    <n v="6"/>
    <n v="6"/>
    <m/>
    <n v="3"/>
    <n v="0"/>
    <n v="0"/>
    <n v="350.65367529800682"/>
    <n v="233.76911686533788"/>
    <n v="467.53823373067576"/>
  </r>
  <r>
    <n v="16"/>
    <n v="1"/>
    <n v="2"/>
    <s v="proche"/>
    <x v="0"/>
    <n v="60"/>
    <n v="1.69"/>
    <n v="3"/>
    <n v="1"/>
    <n v="1.859"/>
    <n v="2.2307999999999999"/>
    <n v="105.61249926026748"/>
    <n v="6"/>
    <n v="6"/>
    <m/>
    <n v="2"/>
    <n v="0"/>
    <n v="0"/>
    <n v="528.06249630133743"/>
    <n v="211.22499852053497"/>
    <n v="633.67499556160487"/>
  </r>
  <r>
    <m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4"/>
    <m/>
    <m/>
    <m/>
    <x v="1"/>
    <m/>
    <n v="2.38"/>
    <n v="2"/>
    <n v="1"/>
    <n v="2.38"/>
    <n v="2.8559999999999999"/>
    <n v="119.49895397031725"/>
    <n v="6"/>
    <m/>
    <m/>
    <n v="0"/>
    <n v="0"/>
    <n v="0"/>
    <n v="0"/>
    <n v="0"/>
    <n v="0"/>
  </r>
  <r>
    <n v="25"/>
    <m/>
    <m/>
    <m/>
    <x v="1"/>
    <m/>
    <n v="1.99"/>
    <n v="3"/>
    <n v="1"/>
    <n v="2.1890000000000001"/>
    <n v="2.6267999999999998"/>
    <n v="114.60366486286551"/>
    <n v="6"/>
    <m/>
    <m/>
    <n v="0"/>
    <n v="0"/>
    <n v="0"/>
    <n v="0"/>
    <n v="0"/>
    <n v="0"/>
  </r>
  <r>
    <n v="2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s v="TOTAL"/>
    <m/>
    <m/>
    <m/>
    <x v="1"/>
    <m/>
    <n v="33.550000000000004"/>
    <n v="48"/>
    <n v="12.5"/>
    <n v="36.480000000000004"/>
    <n v="42.397500000000001"/>
    <n v="1464.5234869700485"/>
    <n v="106"/>
    <n v="70"/>
    <n v="0"/>
    <n v="28"/>
    <n v="0"/>
    <n v="0"/>
    <n v="6922.5803999050404"/>
    <n v="3072.9764625436937"/>
    <n v="8617.435294335520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">
  <r>
    <m/>
    <m/>
    <x v="0"/>
    <m/>
    <x v="0"/>
    <m/>
    <m/>
    <m/>
  </r>
  <r>
    <n v="1"/>
    <m/>
    <x v="0"/>
    <m/>
    <x v="0"/>
    <m/>
    <m/>
    <m/>
  </r>
  <r>
    <n v="1"/>
    <n v="2"/>
    <x v="1"/>
    <s v="PP"/>
    <x v="1"/>
    <n v="1.8"/>
    <n v="3"/>
    <n v="0"/>
  </r>
  <r>
    <m/>
    <m/>
    <x v="0"/>
    <m/>
    <x v="0"/>
    <m/>
    <m/>
    <m/>
  </r>
  <r>
    <m/>
    <m/>
    <x v="0"/>
    <m/>
    <x v="0"/>
    <m/>
    <m/>
    <m/>
  </r>
  <r>
    <m/>
    <m/>
    <x v="0"/>
    <m/>
    <x v="0"/>
    <m/>
    <m/>
    <m/>
  </r>
  <r>
    <n v="1"/>
    <n v="2"/>
    <x v="1"/>
    <s v="PP"/>
    <x v="2"/>
    <n v="1.3"/>
    <n v="2"/>
    <n v="0"/>
  </r>
  <r>
    <n v="1"/>
    <n v="2"/>
    <x v="1"/>
    <s v="PP"/>
    <x v="3"/>
    <n v="1.4"/>
    <n v="2"/>
    <n v="1"/>
  </r>
  <r>
    <m/>
    <m/>
    <x v="0"/>
    <m/>
    <x v="0"/>
    <m/>
    <m/>
    <m/>
  </r>
  <r>
    <n v="1"/>
    <n v="2"/>
    <x v="1"/>
    <s v="PP"/>
    <x v="4"/>
    <n v="1"/>
    <n v="3"/>
    <n v="0"/>
  </r>
  <r>
    <n v="2"/>
    <n v="0"/>
    <x v="1"/>
    <s v="Landes"/>
    <x v="0"/>
    <n v="3.8"/>
    <n v="3"/>
    <n v="1"/>
  </r>
  <r>
    <m/>
    <m/>
    <x v="0"/>
    <m/>
    <x v="0"/>
    <m/>
    <m/>
    <m/>
  </r>
  <r>
    <n v="1"/>
    <n v="2"/>
    <x v="2"/>
    <s v="PP"/>
    <x v="4"/>
    <n v="5"/>
    <n v="3"/>
    <n v="1"/>
  </r>
  <r>
    <n v="1"/>
    <n v="2"/>
    <x v="2"/>
    <s v="PP"/>
    <x v="3"/>
    <n v="1.5"/>
    <n v="3"/>
    <n v="1"/>
  </r>
  <r>
    <n v="1"/>
    <n v="2"/>
    <x v="2"/>
    <s v="PP"/>
    <x v="5"/>
    <n v="1.5"/>
    <n v="3"/>
    <n v="0"/>
  </r>
  <r>
    <n v="1"/>
    <n v="2"/>
    <x v="2"/>
    <s v="PP"/>
    <x v="3"/>
    <n v="1.4"/>
    <n v="3"/>
    <n v="1"/>
  </r>
  <r>
    <n v="1"/>
    <n v="2"/>
    <x v="2"/>
    <s v="PP"/>
    <x v="3"/>
    <n v="1.1000000000000001"/>
    <n v="2"/>
    <n v="1"/>
  </r>
  <r>
    <n v="1"/>
    <m/>
    <x v="2"/>
    <s v="PP"/>
    <x v="5"/>
    <n v="1"/>
    <n v="3"/>
    <n v="1"/>
  </r>
  <r>
    <n v="1"/>
    <n v="2"/>
    <x v="2"/>
    <s v="PP"/>
    <x v="3"/>
    <n v="0.9"/>
    <n v="2"/>
    <n v="0.5"/>
  </r>
  <r>
    <n v="1"/>
    <n v="2"/>
    <x v="2"/>
    <s v="PP"/>
    <x v="4"/>
    <n v="0.5"/>
    <n v="1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eau croisé dynamique2" cacheId="3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8" firstHeaderRow="1" firstDataRow="1" firstDataCol="1"/>
  <pivotFields count="21">
    <pivotField showAll="0"/>
    <pivotField showAll="0"/>
    <pivotField showAll="0"/>
    <pivotField showAll="0"/>
    <pivotField axis="axisRow" showAll="0">
      <items count="7">
        <item m="1" x="4"/>
        <item m="1" x="5"/>
        <item x="1"/>
        <item x="0"/>
        <item x="2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5"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5" cacheId="3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9:E27" firstHeaderRow="1" firstDataRow="2" firstDataCol="1"/>
  <pivotFields count="8">
    <pivotField showAll="0"/>
    <pivotField showAll="0"/>
    <pivotField axis="axisCol" showAll="0">
      <items count="5">
        <item x="1"/>
        <item x="2"/>
        <item x="0"/>
        <item m="1" x="3"/>
        <item t="default"/>
      </items>
    </pivotField>
    <pivotField showAll="0"/>
    <pivotField axis="axisRow" showAll="0">
      <items count="9">
        <item m="1" x="6"/>
        <item x="3"/>
        <item x="4"/>
        <item x="0"/>
        <item x="1"/>
        <item x="2"/>
        <item x="5"/>
        <item m="1" x="7"/>
        <item t="default"/>
      </items>
    </pivotField>
    <pivotField dataField="1" showAll="0"/>
    <pivotField showAll="0"/>
    <pivotField showAll="0"/>
  </pivotFields>
  <rowFields count="1">
    <field x="4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428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324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316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315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314</v>
      </c>
    </row>
    <row r="22" spans="1:10" x14ac:dyDescent="0.25">
      <c r="A22" t="s">
        <v>68</v>
      </c>
      <c r="B22" t="s">
        <v>314</v>
      </c>
    </row>
    <row r="23" spans="1:10" x14ac:dyDescent="0.25">
      <c r="A23" t="s">
        <v>69</v>
      </c>
      <c r="B23" t="s">
        <v>314</v>
      </c>
    </row>
    <row r="24" spans="1:10" x14ac:dyDescent="0.25">
      <c r="A24" t="s">
        <v>61</v>
      </c>
      <c r="B24" t="s">
        <v>314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X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413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319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E1" s="21"/>
      <c r="AF1" t="s">
        <v>178</v>
      </c>
    </row>
    <row r="2" spans="1:53" x14ac:dyDescent="0.25">
      <c r="A2" s="2" t="s">
        <v>301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40.113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295</v>
      </c>
      <c r="C4" s="143">
        <f>CdTrp1!AA147+CdTrp2!AA147+CdTrp3!AA147+CdTrp4!AA147</f>
        <v>126.91094833423999</v>
      </c>
      <c r="D4" t="s">
        <v>249</v>
      </c>
      <c r="F4" s="2" t="s">
        <v>424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286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1.2246167807999999</v>
      </c>
      <c r="K5" s="143">
        <f>CdTrp1!F215+CdTrp2!F215+CdTrp3!F215+CdTrp4!F215</f>
        <v>2.6777558001600008</v>
      </c>
      <c r="L5" s="143">
        <f>CdTrp1!G215+CdTrp2!G215+CdTrp3!G215+CdTrp4!G215</f>
        <v>3.5552763366400013</v>
      </c>
      <c r="M5" s="143">
        <f>CdTrp1!H215+CdTrp2!H215+CdTrp3!H215+CdTrp4!H215</f>
        <v>3.8542626359999996</v>
      </c>
      <c r="N5" s="143">
        <f>CdTrp1!I215+CdTrp2!I215+CdTrp3!I215+CdTrp4!I215</f>
        <v>5.1171486912000006</v>
      </c>
      <c r="O5" s="143">
        <f>CdTrp1!J215+CdTrp2!J215+CdTrp3!J215+CdTrp4!J215</f>
        <v>4.9035696931200015</v>
      </c>
      <c r="P5" s="143">
        <f>CdTrp1!K215+CdTrp2!K215+CdTrp3!K215+CdTrp4!K215</f>
        <v>4.8809725977600014</v>
      </c>
      <c r="Q5" s="143">
        <f>CdTrp1!L215+CdTrp2!L215+CdTrp3!L215+CdTrp4!L215</f>
        <v>5.4852626640000004</v>
      </c>
      <c r="R5" s="143">
        <f>CdTrp1!M215+CdTrp2!M215+CdTrp3!M215+CdTrp4!M215</f>
        <v>5.4342369648000002</v>
      </c>
      <c r="S5" s="143">
        <f>CdTrp1!N215+CdTrp2!N215+CdTrp3!N215+CdTrp4!N215</f>
        <v>5.5626516411200004</v>
      </c>
      <c r="T5" s="143">
        <f>CdTrp1!O215+CdTrp2!O215+CdTrp3!O215+CdTrp4!O215</f>
        <v>5.5099250852800008</v>
      </c>
      <c r="U5" s="143">
        <f>CdTrp1!P215+CdTrp2!P215+CdTrp3!P215+CdTrp4!P215</f>
        <v>3.4599074753600005</v>
      </c>
      <c r="V5" s="143">
        <f>CdTrp1!Q215+CdTrp2!Q215+CdTrp3!Q215+CdTrp4!Q215</f>
        <v>3.4599074753600005</v>
      </c>
      <c r="W5" s="143">
        <f>CdTrp1!R215+CdTrp2!R215+CdTrp3!R215+CdTrp4!R215</f>
        <v>2.3916411120000003</v>
      </c>
      <c r="X5" s="143">
        <f>CdTrp1!S215+CdTrp2!S215+CdTrp3!S215+CdTrp4!S215</f>
        <v>2.2102844400000006</v>
      </c>
      <c r="Y5" s="143">
        <f>CdTrp1!T215+CdTrp2!T215+CdTrp3!T215+CdTrp4!T215</f>
        <v>2.2839605880000002</v>
      </c>
      <c r="Z5" s="143">
        <f>CdTrp1!U215+CdTrp2!U215+CdTrp3!U215+CdTrp4!U215</f>
        <v>2.2839605880000002</v>
      </c>
      <c r="AA5" s="143">
        <f>CdTrp1!V215+CdTrp2!V215+CdTrp3!V215+CdTrp4!V215</f>
        <v>2.2102844400000006</v>
      </c>
      <c r="AB5" s="143">
        <f>CdTrp1!W215+CdTrp2!W215+CdTrp3!W215+CdTrp4!W215</f>
        <v>2.1536104800000002</v>
      </c>
      <c r="AC5" s="143">
        <f>CdTrp1!X215+CdTrp2!X215+CdTrp3!X215+CdTrp4!X215</f>
        <v>2.2253974960000003</v>
      </c>
      <c r="AD5" s="143">
        <f>CdTrp1!Y215+CdTrp2!Y215+CdTrp3!Y215+CdTrp4!Y215</f>
        <v>0</v>
      </c>
      <c r="AE5" s="153"/>
      <c r="AF5" s="144">
        <f>AF8+AF9</f>
        <v>75.916365145599997</v>
      </c>
      <c r="AG5" t="s">
        <v>224</v>
      </c>
    </row>
    <row r="6" spans="1:53" x14ac:dyDescent="0.25">
      <c r="B6" s="14" t="s">
        <v>294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0.30241120000000005</v>
      </c>
      <c r="H6" s="143">
        <f>CdTrp1!C216+CdTrp2!C216+CdTrp3!C216+CdTrp4!C216</f>
        <v>0.30241120000000005</v>
      </c>
      <c r="I6" s="143">
        <f>CdTrp1!D216+CdTrp2!D216+CdTrp3!D216+CdTrp4!D216</f>
        <v>0.27314560000000004</v>
      </c>
      <c r="J6" s="143">
        <f>CdTrp1!E216+CdTrp2!E216+CdTrp3!E216+CdTrp4!E216</f>
        <v>0.27314560000000004</v>
      </c>
      <c r="K6" s="143">
        <f>CdTrp1!F216+CdTrp2!F216+CdTrp3!F216+CdTrp4!F216</f>
        <v>0.39313456000000002</v>
      </c>
      <c r="L6" s="143">
        <f>CdTrp1!G216+CdTrp2!G216+CdTrp3!G216+CdTrp4!G216</f>
        <v>0.39313456000000002</v>
      </c>
      <c r="M6" s="143">
        <f>CdTrp1!H216+CdTrp2!H216+CdTrp3!H216+CdTrp4!H216</f>
        <v>0.38045280000000004</v>
      </c>
      <c r="N6" s="143">
        <f>CdTrp1!I216+CdTrp2!I216+CdTrp3!I216+CdTrp4!I216</f>
        <v>0.38045280000000004</v>
      </c>
      <c r="O6" s="143">
        <f>CdTrp1!J216+CdTrp2!J216+CdTrp3!J216+CdTrp4!J216</f>
        <v>0.39313456000000002</v>
      </c>
      <c r="P6" s="143">
        <f>CdTrp1!K216+CdTrp2!K216+CdTrp3!K216+CdTrp4!K216</f>
        <v>0.39313456000000002</v>
      </c>
      <c r="Q6" s="143">
        <f>CdTrp1!L216+CdTrp2!L216+CdTrp3!L216+CdTrp4!L216</f>
        <v>0.38045280000000004</v>
      </c>
      <c r="R6" s="143">
        <f>CdTrp1!M216+CdTrp2!M216+CdTrp3!M216+CdTrp4!M216</f>
        <v>0.38045280000000004</v>
      </c>
      <c r="S6" s="143">
        <f>CdTrp1!N216+CdTrp2!N216+CdTrp3!N216+CdTrp4!N216</f>
        <v>0.39313456000000002</v>
      </c>
      <c r="T6" s="143">
        <f>CdTrp1!O216+CdTrp2!O216+CdTrp3!O216+CdTrp4!O216</f>
        <v>0.39313456000000002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296</v>
      </c>
      <c r="C7" s="144">
        <f>ROUNDUP(C4-C6-0.9*C5,1)</f>
        <v>127</v>
      </c>
      <c r="D7" t="s">
        <v>249</v>
      </c>
      <c r="F7" s="38" t="s">
        <v>221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0.30241120000000005</v>
      </c>
      <c r="H8" s="143">
        <f t="shared" ref="H8:AD8" si="0">SUM(H5:H7)</f>
        <v>0.30241120000000005</v>
      </c>
      <c r="I8" s="143">
        <f t="shared" si="0"/>
        <v>0.27314560000000004</v>
      </c>
      <c r="J8" s="143">
        <f t="shared" si="0"/>
        <v>1.4977623808</v>
      </c>
      <c r="K8" s="143">
        <f t="shared" si="0"/>
        <v>3.0708903601600008</v>
      </c>
      <c r="L8" s="143">
        <f t="shared" si="0"/>
        <v>3.9484108966400013</v>
      </c>
      <c r="M8" s="143">
        <f t="shared" si="0"/>
        <v>4.2347154360000001</v>
      </c>
      <c r="N8" s="143">
        <f t="shared" si="0"/>
        <v>5.4976014912000011</v>
      </c>
      <c r="O8" s="143">
        <f t="shared" si="0"/>
        <v>5.2967042531200015</v>
      </c>
      <c r="P8" s="143">
        <f t="shared" si="0"/>
        <v>5.2741071577600014</v>
      </c>
      <c r="Q8" s="143">
        <f t="shared" si="0"/>
        <v>5.8657154640000009</v>
      </c>
      <c r="R8" s="143">
        <f t="shared" si="0"/>
        <v>5.8146897648000007</v>
      </c>
      <c r="S8" s="143">
        <f t="shared" si="0"/>
        <v>5.9557862011200005</v>
      </c>
      <c r="T8" s="143">
        <f t="shared" si="0"/>
        <v>5.9030596452800008</v>
      </c>
      <c r="U8" s="143">
        <f t="shared" si="0"/>
        <v>3.4599074753600005</v>
      </c>
      <c r="V8" s="143">
        <f t="shared" si="0"/>
        <v>3.4599074753600005</v>
      </c>
      <c r="W8" s="143">
        <f t="shared" si="0"/>
        <v>2.3916411120000003</v>
      </c>
      <c r="X8" s="143">
        <f t="shared" si="0"/>
        <v>2.2102844400000006</v>
      </c>
      <c r="Y8" s="143">
        <f t="shared" si="0"/>
        <v>2.2839605880000002</v>
      </c>
      <c r="Z8" s="143">
        <f t="shared" si="0"/>
        <v>2.2839605880000002</v>
      </c>
      <c r="AA8" s="143">
        <f t="shared" si="0"/>
        <v>2.2102844400000006</v>
      </c>
      <c r="AB8" s="143">
        <f t="shared" si="0"/>
        <v>2.1536104800000002</v>
      </c>
      <c r="AC8" s="143">
        <f t="shared" si="0"/>
        <v>2.2253974960000003</v>
      </c>
      <c r="AD8" s="143">
        <f t="shared" si="0"/>
        <v>0</v>
      </c>
      <c r="AE8" s="153"/>
      <c r="AF8" s="144">
        <f>SUM(G8:AD8)</f>
        <v>75.916365145599997</v>
      </c>
      <c r="AG8" t="s">
        <v>323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226</v>
      </c>
    </row>
    <row r="10" spans="1:53" x14ac:dyDescent="0.25">
      <c r="A10" s="2" t="s">
        <v>425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36.400000000000006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8.1</v>
      </c>
      <c r="D12" t="s">
        <v>191</v>
      </c>
      <c r="G12" t="s">
        <v>426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36.400000000000006</v>
      </c>
      <c r="H14" s="145">
        <f>CdTrp1!AL54+CdTrp2!AL54+CdTrp3!AL54+CdTrp4!AL54</f>
        <v>8.1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5.8</v>
      </c>
      <c r="R14" s="145">
        <f>CdTrp1!AV54+CdTrp2!AV54+CdTrp3!AV54+CdTrp4!AV54</f>
        <v>0</v>
      </c>
      <c r="S14" s="145">
        <f>CdTrp1!AW54+CdTrp2!AW54+CdTrp3!AW54+CdTrp4!AW54</f>
        <v>5</v>
      </c>
      <c r="T14" s="145">
        <f>CdTrp1!AX54+CdTrp2!AX54+CdTrp3!AX54+CdTrp4!AX54</f>
        <v>8.5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5.8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8.5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64" zoomScale="80" zoomScaleNormal="80" workbookViewId="0">
      <selection activeCell="R32" sqref="R3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7109375" customWidth="1"/>
    <col min="16" max="16" width="4.7109375" customWidth="1"/>
    <col min="17" max="17" width="6.28515625" style="58" customWidth="1"/>
    <col min="18" max="18" width="6.28515625" customWidth="1"/>
    <col min="19" max="19" width="41.57031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414</v>
      </c>
      <c r="Q1" s="140"/>
      <c r="AA1" s="140"/>
      <c r="AR1" s="37" t="s">
        <v>267</v>
      </c>
      <c r="AS1" s="59" t="s">
        <v>268</v>
      </c>
    </row>
    <row r="2" spans="2:71" x14ac:dyDescent="0.25">
      <c r="B2" s="146" t="s">
        <v>419</v>
      </c>
      <c r="Q2" s="140"/>
      <c r="AA2" s="140"/>
      <c r="AS2" s="285" t="s">
        <v>252</v>
      </c>
      <c r="AT2" s="285"/>
      <c r="AU2" s="284" t="s">
        <v>253</v>
      </c>
      <c r="AV2" s="284"/>
      <c r="AW2" s="284" t="s">
        <v>254</v>
      </c>
      <c r="AX2" s="284"/>
      <c r="AY2" s="284" t="s">
        <v>255</v>
      </c>
      <c r="AZ2" s="284"/>
      <c r="BA2" s="284" t="s">
        <v>256</v>
      </c>
      <c r="BB2" s="284"/>
      <c r="BC2" s="284" t="s">
        <v>257</v>
      </c>
      <c r="BD2" s="284"/>
      <c r="BE2" s="284" t="s">
        <v>258</v>
      </c>
      <c r="BF2" s="284"/>
      <c r="BG2" s="284" t="s">
        <v>259</v>
      </c>
      <c r="BH2" s="284"/>
      <c r="BI2" s="284" t="s">
        <v>260</v>
      </c>
      <c r="BJ2" s="284"/>
      <c r="BK2" s="284" t="s">
        <v>261</v>
      </c>
      <c r="BL2" s="284"/>
      <c r="BM2" s="284" t="s">
        <v>262</v>
      </c>
      <c r="BN2" s="284"/>
      <c r="BO2" s="284" t="s">
        <v>263</v>
      </c>
      <c r="BP2" s="284"/>
    </row>
    <row r="3" spans="2:71" x14ac:dyDescent="0.25">
      <c r="B3" s="146" t="s">
        <v>415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266</v>
      </c>
    </row>
    <row r="5" spans="2:71" ht="15" customHeight="1" x14ac:dyDescent="0.3">
      <c r="B5" s="94" t="s">
        <v>416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T5" s="58"/>
      <c r="V5" s="2" t="s">
        <v>422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0.30241120000000005</v>
      </c>
      <c r="AT5" s="13">
        <f>'Conduite Trp'!H8</f>
        <v>0.30241120000000005</v>
      </c>
      <c r="AU5" s="13">
        <f>'Conduite Trp'!I8</f>
        <v>0.27314560000000004</v>
      </c>
      <c r="AV5" s="13">
        <f>'Conduite Trp'!J8</f>
        <v>1.4977623808</v>
      </c>
      <c r="AW5" s="13">
        <f>'Conduite Trp'!K8</f>
        <v>3.0708903601600008</v>
      </c>
      <c r="AX5" s="13">
        <f>'Conduite Trp'!L8</f>
        <v>3.9484108966400013</v>
      </c>
      <c r="AY5" s="13">
        <f>'Conduite Trp'!M8</f>
        <v>4.2347154360000001</v>
      </c>
      <c r="AZ5" s="13">
        <f>'Conduite Trp'!N8</f>
        <v>5.4976014912000011</v>
      </c>
      <c r="BA5" s="13">
        <f>'Conduite Trp'!O8</f>
        <v>5.2967042531200015</v>
      </c>
      <c r="BB5" s="13">
        <f>'Conduite Trp'!P8</f>
        <v>5.2741071577600014</v>
      </c>
      <c r="BC5" s="13">
        <f>'Conduite Trp'!Q8</f>
        <v>5.8657154640000009</v>
      </c>
      <c r="BD5" s="13">
        <f>'Conduite Trp'!R8</f>
        <v>5.8146897648000007</v>
      </c>
      <c r="BE5" s="13">
        <f>'Conduite Trp'!S8</f>
        <v>5.9557862011200005</v>
      </c>
      <c r="BF5" s="13">
        <f>'Conduite Trp'!T8</f>
        <v>5.9030596452800008</v>
      </c>
      <c r="BG5" s="13">
        <f>'Conduite Trp'!U8</f>
        <v>3.4599074753600005</v>
      </c>
      <c r="BH5" s="13">
        <f>'Conduite Trp'!V8</f>
        <v>3.4599074753600005</v>
      </c>
      <c r="BI5" s="13">
        <f>'Conduite Trp'!W8</f>
        <v>2.3916411120000003</v>
      </c>
      <c r="BJ5" s="13">
        <f>'Conduite Trp'!X8</f>
        <v>2.2102844400000006</v>
      </c>
      <c r="BK5" s="13">
        <f>'Conduite Trp'!Y8</f>
        <v>2.2839605880000002</v>
      </c>
      <c r="BL5" s="13">
        <f>'Conduite Trp'!Z8</f>
        <v>2.2839605880000002</v>
      </c>
      <c r="BM5" s="13">
        <f>'Conduite Trp'!AA8</f>
        <v>2.2102844400000006</v>
      </c>
      <c r="BN5" s="13">
        <f>'Conduite Trp'!AB8</f>
        <v>2.1536104800000002</v>
      </c>
      <c r="BO5" s="13">
        <f>'Conduite Trp'!AC8</f>
        <v>2.2253974960000003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304</v>
      </c>
      <c r="G6" s="102"/>
      <c r="H6" s="102" t="s">
        <v>81</v>
      </c>
      <c r="I6" s="102"/>
      <c r="J6" s="102"/>
      <c r="K6" s="102" t="s">
        <v>309</v>
      </c>
      <c r="L6" s="81"/>
      <c r="M6" s="100"/>
      <c r="O6" s="58" t="s">
        <v>88</v>
      </c>
      <c r="Q6" s="151" t="s">
        <v>76</v>
      </c>
      <c r="R6" s="33" t="s">
        <v>52</v>
      </c>
      <c r="S6" s="279" t="s">
        <v>420</v>
      </c>
      <c r="T6" s="33" t="s">
        <v>421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273</v>
      </c>
      <c r="BS6" s="74" t="s">
        <v>274</v>
      </c>
    </row>
    <row r="7" spans="2:71" x14ac:dyDescent="0.25">
      <c r="B7" s="98" t="s">
        <v>305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12.9</v>
      </c>
      <c r="P7">
        <v>1</v>
      </c>
      <c r="Q7" s="158">
        <v>265</v>
      </c>
      <c r="R7" s="158">
        <v>4.9000000000000004</v>
      </c>
      <c r="S7" s="280" t="str">
        <f>VLOOKUP($Q7,[1]MEP!$A$5:$D$300,3)</f>
        <v>PP EXCELLENTE 2 COUPES</v>
      </c>
      <c r="T7" s="76" t="str">
        <f>VLOOKUP($Q7,[1]MEP!$A$5:$D$300,4)</f>
        <v>zone 1</v>
      </c>
      <c r="U7" s="76" t="str">
        <f>VLOOKUP($Q7,[1]MEP!$A$4:$K$300,2)</f>
        <v>F/P</v>
      </c>
      <c r="V7" s="76">
        <f>VLOOKUP($Q7,[1]MEP!$A$4:$K$300,5)</f>
        <v>1.5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6.3</v>
      </c>
      <c r="AE7" s="61">
        <f t="shared" ref="AE7:AE26" si="0">$R7*V7</f>
        <v>7.3500000000000005</v>
      </c>
      <c r="AF7" s="61">
        <f t="shared" ref="AF7:AF26" si="1">$R7*W7</f>
        <v>0</v>
      </c>
      <c r="AG7" s="61">
        <f t="shared" ref="AG7:AG26" si="2">$R7*X7</f>
        <v>3.9200000000000004</v>
      </c>
      <c r="AH7" s="61">
        <f t="shared" ref="AH7:AH26" si="3">$R7*Y7</f>
        <v>2.4500000000000002</v>
      </c>
      <c r="AI7" s="61">
        <f t="shared" ref="AI7:AI26" si="4">$R7*Z7</f>
        <v>3.43</v>
      </c>
      <c r="AJ7" s="61">
        <f t="shared" ref="AJ7:AJ26" si="5">$R7*AA7</f>
        <v>0</v>
      </c>
      <c r="AK7" s="141"/>
      <c r="AL7" s="61">
        <f t="shared" ref="AL7:AL26" si="6">R7*AC7</f>
        <v>30.87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4.2347154360000001</v>
      </c>
      <c r="AZ7" s="61">
        <f t="shared" si="7"/>
        <v>5.4976014912000011</v>
      </c>
      <c r="BA7" s="61">
        <f t="shared" si="7"/>
        <v>5.2967042531200015</v>
      </c>
      <c r="BB7" s="61">
        <f t="shared" si="7"/>
        <v>5.2741071577600014</v>
      </c>
      <c r="BC7" s="61">
        <f t="shared" si="7"/>
        <v>5.8657154640000009</v>
      </c>
      <c r="BD7" s="61">
        <f t="shared" si="7"/>
        <v>5.8146897648000007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31.983533566880006</v>
      </c>
      <c r="BS7" s="61">
        <f>COUNTIF($AS$4:$BP$4,1)/2</f>
        <v>3</v>
      </c>
    </row>
    <row r="8" spans="2:71" x14ac:dyDescent="0.25">
      <c r="B8" s="98" t="s">
        <v>306</v>
      </c>
      <c r="C8" s="103" t="s">
        <v>87</v>
      </c>
      <c r="D8" s="99"/>
      <c r="E8" s="99"/>
      <c r="F8" s="76">
        <f>'Conduite Trp'!C3</f>
        <v>40.113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12.9</v>
      </c>
      <c r="P8">
        <v>2</v>
      </c>
      <c r="Q8" s="39">
        <v>264</v>
      </c>
      <c r="R8" s="39">
        <v>2.5</v>
      </c>
      <c r="S8" s="280" t="str">
        <f>VLOOKUP($Q8,[1]MEP!$A$5:$D$300,3)</f>
        <v>PP EXCELLENTE 1  COUPE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1.8</v>
      </c>
      <c r="W8" s="76">
        <f>VLOOKUP($Q8,[1]MEP!$A$4:$K$300,6)</f>
        <v>1.2</v>
      </c>
      <c r="X8" s="76">
        <f>VLOOKUP($Q8,[1]MEP!$A$4:$K$300,7)</f>
        <v>1.8</v>
      </c>
      <c r="Y8" s="76">
        <f>VLOOKUP($Q8,[1]MEP!$A$4:$K$300,8)</f>
        <v>0.5</v>
      </c>
      <c r="Z8" s="76">
        <f>VLOOKUP($Q8,[1]MEP!$A$4:$K$300,9)</f>
        <v>0.7</v>
      </c>
      <c r="AA8" s="76">
        <f>VLOOKUP($Q8,[1]MEP!$A$4:$K$300,10)</f>
        <v>0</v>
      </c>
      <c r="AC8" s="76">
        <f>VLOOKUP($Q8,[1]MEP!$A$4:$K$300,11)</f>
        <v>3.8</v>
      </c>
      <c r="AE8" s="61">
        <f t="shared" si="0"/>
        <v>4.5</v>
      </c>
      <c r="AF8" s="61">
        <f t="shared" si="1"/>
        <v>3</v>
      </c>
      <c r="AG8" s="61">
        <f t="shared" si="2"/>
        <v>4.5</v>
      </c>
      <c r="AH8" s="61">
        <f t="shared" si="3"/>
        <v>1.25</v>
      </c>
      <c r="AI8" s="61">
        <f t="shared" si="4"/>
        <v>1.75</v>
      </c>
      <c r="AJ8" s="61">
        <f t="shared" si="5"/>
        <v>0</v>
      </c>
      <c r="AK8" s="141"/>
      <c r="AL8" s="61">
        <f t="shared" si="6"/>
        <v>9.5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5.9557862011200005</v>
      </c>
      <c r="BF8" s="61">
        <f t="shared" si="8"/>
        <v>5.9030596452800008</v>
      </c>
      <c r="BG8" s="61">
        <f t="shared" si="8"/>
        <v>3.4599074753600005</v>
      </c>
      <c r="BH8" s="61">
        <f t="shared" si="8"/>
        <v>3.4599074753600005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18.778660797120004</v>
      </c>
      <c r="BS8" s="61">
        <f>COUNTIF($AS$4:$BP$4,2)/2</f>
        <v>2</v>
      </c>
    </row>
    <row r="9" spans="2:71" x14ac:dyDescent="0.25">
      <c r="B9" s="98" t="s">
        <v>307</v>
      </c>
      <c r="C9" s="103" t="s">
        <v>87</v>
      </c>
      <c r="D9" s="99"/>
      <c r="E9" s="99"/>
      <c r="F9" s="61">
        <f>F7+F8</f>
        <v>40.113</v>
      </c>
      <c r="G9" s="81"/>
      <c r="H9" s="61">
        <f>SUM(L34:L43)</f>
        <v>30</v>
      </c>
      <c r="I9" s="81"/>
      <c r="J9" s="81"/>
      <c r="K9" s="93">
        <f>H9-F9</f>
        <v>-10.113</v>
      </c>
      <c r="L9" s="81"/>
      <c r="M9" s="100"/>
      <c r="P9">
        <v>3</v>
      </c>
      <c r="Q9" s="39">
        <v>266</v>
      </c>
      <c r="R9" s="39">
        <v>5.5</v>
      </c>
      <c r="S9" s="280" t="str">
        <f>VLOOKUP($Q9,[1]MEP!$A$5:$D$300,3)</f>
        <v>PP EXCELLENTE PATUREE</v>
      </c>
      <c r="T9" s="76" t="str">
        <f>VLOOKUP($Q9,[1]MEP!$A$5:$D$300,4)</f>
        <v>zone 1</v>
      </c>
      <c r="U9" s="76" t="str">
        <f>VLOOKUP($Q9,[1]MEP!$A$4:$K$300,2)</f>
        <v>P</v>
      </c>
      <c r="V9" s="76">
        <f>VLOOKUP($Q9,[1]MEP!$A$4:$K$300,5)</f>
        <v>3.3</v>
      </c>
      <c r="W9" s="76">
        <f>VLOOKUP($Q9,[1]MEP!$A$4:$K$300,6)</f>
        <v>3</v>
      </c>
      <c r="X9" s="76">
        <f>VLOOKUP($Q9,[1]MEP!$A$4:$K$300,7)</f>
        <v>2.2999999999999998</v>
      </c>
      <c r="Y9" s="76">
        <f>VLOOKUP($Q9,[1]MEP!$A$4:$K$300,8)</f>
        <v>0.5</v>
      </c>
      <c r="Z9" s="76">
        <f>VLOOKUP($Q9,[1]MEP!$A$4:$K$300,9)</f>
        <v>0.7</v>
      </c>
      <c r="AA9" s="76">
        <f>VLOOKUP($Q9,[1]MEP!$A$4:$K$300,10)</f>
        <v>0</v>
      </c>
      <c r="AC9" s="76">
        <f>VLOOKUP($Q9,[1]MEP!$A$4:$K$300,11)</f>
        <v>0</v>
      </c>
      <c r="AE9" s="61">
        <f t="shared" ref="AE9:AJ16" si="10">$R9*V9</f>
        <v>18.149999999999999</v>
      </c>
      <c r="AF9" s="61">
        <f t="shared" si="10"/>
        <v>16.5</v>
      </c>
      <c r="AG9" s="61">
        <f t="shared" si="10"/>
        <v>12.649999999999999</v>
      </c>
      <c r="AH9" s="61">
        <f t="shared" si="10"/>
        <v>2.75</v>
      </c>
      <c r="AI9" s="61">
        <f t="shared" si="10"/>
        <v>3.8499999999999996</v>
      </c>
      <c r="AJ9" s="61">
        <f t="shared" si="10"/>
        <v>0</v>
      </c>
      <c r="AK9" s="141"/>
      <c r="AL9" s="61">
        <f t="shared" ref="AL9:AL16" si="11">R9*AC9</f>
        <v>0</v>
      </c>
      <c r="AQ9" s="32"/>
      <c r="AR9" s="69">
        <v>3</v>
      </c>
      <c r="AS9" s="61">
        <f>IF(AS$4=3,AS$5,0)</f>
        <v>0</v>
      </c>
      <c r="AT9" s="61">
        <f t="shared" ref="AT9:BP9" si="12">IF(AT$4=3,AT$5,0)</f>
        <v>0</v>
      </c>
      <c r="AU9" s="61">
        <f t="shared" si="12"/>
        <v>0</v>
      </c>
      <c r="AV9" s="61">
        <f t="shared" si="12"/>
        <v>0</v>
      </c>
      <c r="AW9" s="61">
        <f t="shared" si="12"/>
        <v>0</v>
      </c>
      <c r="AX9" s="61">
        <f t="shared" si="12"/>
        <v>0</v>
      </c>
      <c r="AY9" s="61">
        <f t="shared" si="12"/>
        <v>0</v>
      </c>
      <c r="AZ9" s="61">
        <f t="shared" si="12"/>
        <v>0</v>
      </c>
      <c r="BA9" s="61">
        <f t="shared" si="12"/>
        <v>0</v>
      </c>
      <c r="BB9" s="61">
        <f t="shared" si="12"/>
        <v>0</v>
      </c>
      <c r="BC9" s="61">
        <f t="shared" si="12"/>
        <v>0</v>
      </c>
      <c r="BD9" s="61">
        <f t="shared" si="12"/>
        <v>0</v>
      </c>
      <c r="BE9" s="61">
        <f t="shared" si="12"/>
        <v>0</v>
      </c>
      <c r="BF9" s="61">
        <f t="shared" si="12"/>
        <v>0</v>
      </c>
      <c r="BG9" s="61">
        <f t="shared" si="12"/>
        <v>0</v>
      </c>
      <c r="BH9" s="61">
        <f t="shared" si="12"/>
        <v>0</v>
      </c>
      <c r="BI9" s="61">
        <f t="shared" si="12"/>
        <v>2.3916411120000003</v>
      </c>
      <c r="BJ9" s="61">
        <f t="shared" si="12"/>
        <v>2.2102844400000006</v>
      </c>
      <c r="BK9" s="61">
        <f t="shared" si="12"/>
        <v>2.2839605880000002</v>
      </c>
      <c r="BL9" s="61">
        <f t="shared" si="12"/>
        <v>2.2839605880000002</v>
      </c>
      <c r="BM9" s="61">
        <f t="shared" si="12"/>
        <v>2.2102844400000006</v>
      </c>
      <c r="BN9" s="61">
        <f t="shared" si="12"/>
        <v>2.1536104800000002</v>
      </c>
      <c r="BO9" s="61">
        <f t="shared" si="12"/>
        <v>0</v>
      </c>
      <c r="BP9" s="61">
        <f t="shared" si="12"/>
        <v>0</v>
      </c>
      <c r="BR9" s="61">
        <f t="shared" si="9"/>
        <v>13.533741648000003</v>
      </c>
      <c r="BS9" s="61">
        <f>COUNTIF($AS$4:$BP$4,3)/2</f>
        <v>3</v>
      </c>
    </row>
    <row r="10" spans="2:71" ht="15" customHeight="1" x14ac:dyDescent="0.25">
      <c r="B10" s="98" t="s">
        <v>308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/>
      <c r="R10" s="39"/>
      <c r="S10" s="280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10"/>
        <v>0</v>
      </c>
      <c r="AF10" s="61">
        <f t="shared" si="10"/>
        <v>0</v>
      </c>
      <c r="AG10" s="61">
        <f t="shared" si="10"/>
        <v>0</v>
      </c>
      <c r="AH10" s="61">
        <f t="shared" si="10"/>
        <v>0</v>
      </c>
      <c r="AI10" s="61">
        <f t="shared" si="10"/>
        <v>0</v>
      </c>
      <c r="AJ10" s="61">
        <f t="shared" si="10"/>
        <v>0</v>
      </c>
      <c r="AK10" s="141"/>
      <c r="AL10" s="61">
        <f t="shared" si="11"/>
        <v>0</v>
      </c>
      <c r="AQ10" s="32"/>
      <c r="AR10" s="70">
        <v>4</v>
      </c>
      <c r="AS10" s="61">
        <f>IF(AS$4=4,AS$5,0)</f>
        <v>0.30241120000000005</v>
      </c>
      <c r="AT10" s="61">
        <f t="shared" ref="AT10:BP10" si="13">IF(AT$4=4,AT$5,0)</f>
        <v>0.30241120000000005</v>
      </c>
      <c r="AU10" s="61">
        <f t="shared" si="13"/>
        <v>0</v>
      </c>
      <c r="AV10" s="61">
        <f t="shared" si="13"/>
        <v>0</v>
      </c>
      <c r="AW10" s="61">
        <f t="shared" si="13"/>
        <v>0</v>
      </c>
      <c r="AX10" s="61">
        <f t="shared" si="13"/>
        <v>0</v>
      </c>
      <c r="AY10" s="61">
        <f t="shared" si="13"/>
        <v>0</v>
      </c>
      <c r="AZ10" s="61">
        <f t="shared" si="13"/>
        <v>0</v>
      </c>
      <c r="BA10" s="61">
        <f t="shared" si="13"/>
        <v>0</v>
      </c>
      <c r="BB10" s="61">
        <f t="shared" si="13"/>
        <v>0</v>
      </c>
      <c r="BC10" s="61">
        <f t="shared" si="13"/>
        <v>0</v>
      </c>
      <c r="BD10" s="61">
        <f t="shared" si="13"/>
        <v>0</v>
      </c>
      <c r="BE10" s="61">
        <f t="shared" si="13"/>
        <v>0</v>
      </c>
      <c r="BF10" s="61">
        <f t="shared" si="13"/>
        <v>0</v>
      </c>
      <c r="BG10" s="61">
        <f t="shared" si="13"/>
        <v>0</v>
      </c>
      <c r="BH10" s="61">
        <f t="shared" si="13"/>
        <v>0</v>
      </c>
      <c r="BI10" s="61">
        <f t="shared" si="13"/>
        <v>0</v>
      </c>
      <c r="BJ10" s="61">
        <f t="shared" si="13"/>
        <v>0</v>
      </c>
      <c r="BK10" s="61">
        <f t="shared" si="13"/>
        <v>0</v>
      </c>
      <c r="BL10" s="61">
        <f t="shared" si="13"/>
        <v>0</v>
      </c>
      <c r="BM10" s="61">
        <f t="shared" si="13"/>
        <v>0</v>
      </c>
      <c r="BN10" s="61">
        <f t="shared" si="13"/>
        <v>0</v>
      </c>
      <c r="BO10" s="61">
        <f t="shared" si="13"/>
        <v>2.2253974960000003</v>
      </c>
      <c r="BP10" s="61">
        <f t="shared" si="13"/>
        <v>0</v>
      </c>
      <c r="BR10" s="61">
        <f t="shared" si="9"/>
        <v>2.8302198960000005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N11">
        <f>O8+O30</f>
        <v>18.399999999999999</v>
      </c>
      <c r="P11">
        <v>5</v>
      </c>
      <c r="Q11" s="158"/>
      <c r="R11" s="158"/>
      <c r="S11" s="280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10"/>
        <v>0</v>
      </c>
      <c r="AF11" s="61">
        <f t="shared" si="10"/>
        <v>0</v>
      </c>
      <c r="AG11" s="61">
        <f t="shared" si="10"/>
        <v>0</v>
      </c>
      <c r="AH11" s="61">
        <f t="shared" si="10"/>
        <v>0</v>
      </c>
      <c r="AI11" s="61">
        <f t="shared" si="10"/>
        <v>0</v>
      </c>
      <c r="AJ11" s="61">
        <f t="shared" si="10"/>
        <v>0</v>
      </c>
      <c r="AK11" s="141"/>
      <c r="AL11" s="61">
        <f t="shared" si="11"/>
        <v>0</v>
      </c>
      <c r="AR11" s="69">
        <v>5</v>
      </c>
      <c r="AS11" s="61">
        <f>IF(AS$4=5,AS$5,0)</f>
        <v>0</v>
      </c>
      <c r="AT11" s="61">
        <f t="shared" ref="AT11:BP11" si="14">IF(AT$4=5,AT$5,0)</f>
        <v>0</v>
      </c>
      <c r="AU11" s="61">
        <f t="shared" si="14"/>
        <v>0.27314560000000004</v>
      </c>
      <c r="AV11" s="61">
        <f t="shared" si="14"/>
        <v>1.4977623808</v>
      </c>
      <c r="AW11" s="61">
        <f t="shared" si="14"/>
        <v>3.0708903601600008</v>
      </c>
      <c r="AX11" s="61">
        <f t="shared" si="14"/>
        <v>3.9484108966400013</v>
      </c>
      <c r="AY11" s="61">
        <f t="shared" si="14"/>
        <v>0</v>
      </c>
      <c r="AZ11" s="61">
        <f t="shared" si="14"/>
        <v>0</v>
      </c>
      <c r="BA11" s="61">
        <f t="shared" si="14"/>
        <v>0</v>
      </c>
      <c r="BB11" s="61">
        <f t="shared" si="14"/>
        <v>0</v>
      </c>
      <c r="BC11" s="61">
        <f t="shared" si="14"/>
        <v>0</v>
      </c>
      <c r="BD11" s="61">
        <f t="shared" si="14"/>
        <v>0</v>
      </c>
      <c r="BE11" s="61">
        <f t="shared" si="14"/>
        <v>0</v>
      </c>
      <c r="BF11" s="61">
        <f t="shared" si="14"/>
        <v>0</v>
      </c>
      <c r="BG11" s="61">
        <f t="shared" si="14"/>
        <v>0</v>
      </c>
      <c r="BH11" s="61">
        <f t="shared" si="14"/>
        <v>0</v>
      </c>
      <c r="BI11" s="61">
        <f t="shared" si="14"/>
        <v>0</v>
      </c>
      <c r="BJ11" s="61">
        <f t="shared" si="14"/>
        <v>0</v>
      </c>
      <c r="BK11" s="61">
        <f t="shared" si="14"/>
        <v>0</v>
      </c>
      <c r="BL11" s="61">
        <f t="shared" si="14"/>
        <v>0</v>
      </c>
      <c r="BM11" s="61">
        <f t="shared" si="14"/>
        <v>0</v>
      </c>
      <c r="BN11" s="61">
        <f t="shared" si="14"/>
        <v>0</v>
      </c>
      <c r="BO11" s="61">
        <f t="shared" si="14"/>
        <v>0</v>
      </c>
      <c r="BP11" s="61">
        <f t="shared" si="14"/>
        <v>0</v>
      </c>
      <c r="BR11" s="61">
        <f t="shared" si="9"/>
        <v>8.7902092376000027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158"/>
      <c r="R12" s="158"/>
      <c r="S12" s="280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10"/>
        <v>0</v>
      </c>
      <c r="AF12" s="61">
        <f t="shared" si="10"/>
        <v>0</v>
      </c>
      <c r="AG12" s="61">
        <f t="shared" si="10"/>
        <v>0</v>
      </c>
      <c r="AH12" s="61">
        <f t="shared" si="10"/>
        <v>0</v>
      </c>
      <c r="AI12" s="61">
        <f t="shared" si="10"/>
        <v>0</v>
      </c>
      <c r="AJ12" s="61">
        <f t="shared" si="10"/>
        <v>0</v>
      </c>
      <c r="AK12" s="141"/>
      <c r="AL12" s="61">
        <f t="shared" si="11"/>
        <v>0</v>
      </c>
      <c r="AR12" s="69">
        <v>6</v>
      </c>
      <c r="AS12" s="61">
        <f>IF(AS$4=6,AS$5,0)</f>
        <v>0</v>
      </c>
      <c r="AT12" s="61">
        <f t="shared" ref="AT12:BP12" si="15">IF(AT$4=6,AT$5,0)</f>
        <v>0</v>
      </c>
      <c r="AU12" s="61">
        <f t="shared" si="15"/>
        <v>0</v>
      </c>
      <c r="AV12" s="61">
        <f t="shared" si="15"/>
        <v>0</v>
      </c>
      <c r="AW12" s="61">
        <f t="shared" si="15"/>
        <v>0</v>
      </c>
      <c r="AX12" s="61">
        <f t="shared" si="15"/>
        <v>0</v>
      </c>
      <c r="AY12" s="61">
        <f t="shared" si="15"/>
        <v>0</v>
      </c>
      <c r="AZ12" s="61">
        <f t="shared" si="15"/>
        <v>0</v>
      </c>
      <c r="BA12" s="61">
        <f t="shared" si="15"/>
        <v>0</v>
      </c>
      <c r="BB12" s="61">
        <f t="shared" si="15"/>
        <v>0</v>
      </c>
      <c r="BC12" s="61">
        <f t="shared" si="15"/>
        <v>0</v>
      </c>
      <c r="BD12" s="61">
        <f t="shared" si="15"/>
        <v>0</v>
      </c>
      <c r="BE12" s="61">
        <f t="shared" si="15"/>
        <v>0</v>
      </c>
      <c r="BF12" s="61">
        <f t="shared" si="15"/>
        <v>0</v>
      </c>
      <c r="BG12" s="61">
        <f t="shared" si="15"/>
        <v>0</v>
      </c>
      <c r="BH12" s="61">
        <f t="shared" si="15"/>
        <v>0</v>
      </c>
      <c r="BI12" s="61">
        <f t="shared" si="15"/>
        <v>0</v>
      </c>
      <c r="BJ12" s="61">
        <f t="shared" si="15"/>
        <v>0</v>
      </c>
      <c r="BK12" s="61">
        <f t="shared" si="15"/>
        <v>0</v>
      </c>
      <c r="BL12" s="61">
        <f t="shared" si="15"/>
        <v>0</v>
      </c>
      <c r="BM12" s="61">
        <f t="shared" si="15"/>
        <v>0</v>
      </c>
      <c r="BN12" s="61">
        <f t="shared" si="15"/>
        <v>0</v>
      </c>
      <c r="BO12" s="61">
        <f t="shared" si="15"/>
        <v>0</v>
      </c>
      <c r="BP12" s="61">
        <f t="shared" si="15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36.400000000000006</v>
      </c>
      <c r="G13" s="81"/>
      <c r="H13" s="61">
        <f>F61</f>
        <v>0</v>
      </c>
      <c r="I13" s="81"/>
      <c r="J13" s="81"/>
      <c r="K13" s="93">
        <f>H13-F13</f>
        <v>-36.400000000000006</v>
      </c>
      <c r="L13" s="81"/>
      <c r="M13" s="100"/>
      <c r="P13">
        <v>7</v>
      </c>
      <c r="Q13" s="158"/>
      <c r="R13" s="158"/>
      <c r="S13" s="280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10"/>
        <v>0</v>
      </c>
      <c r="AF13" s="61">
        <f t="shared" si="10"/>
        <v>0</v>
      </c>
      <c r="AG13" s="61">
        <f t="shared" si="10"/>
        <v>0</v>
      </c>
      <c r="AH13" s="61">
        <f t="shared" si="10"/>
        <v>0</v>
      </c>
      <c r="AI13" s="61">
        <f t="shared" si="10"/>
        <v>0</v>
      </c>
      <c r="AJ13" s="61">
        <f t="shared" si="10"/>
        <v>0</v>
      </c>
      <c r="AK13" s="141"/>
      <c r="AL13" s="61">
        <f t="shared" si="11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8.1</v>
      </c>
      <c r="G14" s="81"/>
      <c r="H14" s="61">
        <f>G61</f>
        <v>0</v>
      </c>
      <c r="I14" s="81"/>
      <c r="J14" s="81"/>
      <c r="K14" s="93">
        <f t="shared" ref="K14:K17" si="16">H14-F14</f>
        <v>-8.1</v>
      </c>
      <c r="L14" s="81"/>
      <c r="M14" s="100"/>
      <c r="P14">
        <v>8</v>
      </c>
      <c r="Q14" s="39"/>
      <c r="R14" s="39"/>
      <c r="S14" s="28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10"/>
        <v>0</v>
      </c>
      <c r="AF14" s="61">
        <f t="shared" si="10"/>
        <v>0</v>
      </c>
      <c r="AG14" s="61">
        <f t="shared" si="10"/>
        <v>0</v>
      </c>
      <c r="AH14" s="61">
        <f t="shared" si="10"/>
        <v>0</v>
      </c>
      <c r="AI14" s="61">
        <f t="shared" si="10"/>
        <v>0</v>
      </c>
      <c r="AJ14" s="61">
        <f t="shared" si="10"/>
        <v>0</v>
      </c>
      <c r="AK14" s="141"/>
      <c r="AL14" s="61">
        <f t="shared" si="11"/>
        <v>0</v>
      </c>
      <c r="AP14" s="163"/>
      <c r="AQ14" s="163"/>
      <c r="AR14" s="164" t="s">
        <v>459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6"/>
        <v>0</v>
      </c>
      <c r="L15" s="81"/>
      <c r="M15" s="100"/>
      <c r="P15">
        <v>9</v>
      </c>
      <c r="Q15" s="39"/>
      <c r="R15" s="39"/>
      <c r="S15" s="28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10"/>
        <v>0</v>
      </c>
      <c r="AF15" s="61">
        <f t="shared" si="10"/>
        <v>0</v>
      </c>
      <c r="AG15" s="61">
        <f t="shared" si="10"/>
        <v>0</v>
      </c>
      <c r="AH15" s="61">
        <f t="shared" si="10"/>
        <v>0</v>
      </c>
      <c r="AI15" s="61">
        <f t="shared" si="10"/>
        <v>0</v>
      </c>
      <c r="AJ15" s="61">
        <f t="shared" si="10"/>
        <v>0</v>
      </c>
      <c r="AK15" s="141"/>
      <c r="AL15" s="61">
        <f t="shared" si="11"/>
        <v>0</v>
      </c>
      <c r="AR15" s="32" t="s">
        <v>460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1.2246167807999999</v>
      </c>
      <c r="AW15" s="13">
        <f>'Conduite Trp'!K5</f>
        <v>2.6777558001600008</v>
      </c>
      <c r="AX15" s="13">
        <f>'Conduite Trp'!L5</f>
        <v>3.5552763366400013</v>
      </c>
      <c r="AY15" s="13">
        <f>'Conduite Trp'!M5</f>
        <v>3.8542626359999996</v>
      </c>
      <c r="AZ15" s="13">
        <f>'Conduite Trp'!N5</f>
        <v>5.1171486912000006</v>
      </c>
      <c r="BA15" s="13">
        <f>'Conduite Trp'!O5</f>
        <v>4.9035696931200015</v>
      </c>
      <c r="BB15" s="13">
        <f>'Conduite Trp'!P5</f>
        <v>4.8809725977600014</v>
      </c>
      <c r="BC15" s="13">
        <f>'Conduite Trp'!Q5</f>
        <v>5.4852626640000004</v>
      </c>
      <c r="BD15" s="13">
        <f>'Conduite Trp'!R5</f>
        <v>5.4342369648000002</v>
      </c>
      <c r="BE15" s="13">
        <f>'Conduite Trp'!S5</f>
        <v>5.5626516411200004</v>
      </c>
      <c r="BF15" s="13">
        <f>'Conduite Trp'!T5</f>
        <v>5.5099250852800008</v>
      </c>
      <c r="BG15" s="13">
        <f>'Conduite Trp'!U5</f>
        <v>3.4599074753600005</v>
      </c>
      <c r="BH15" s="13">
        <f>'Conduite Trp'!V5</f>
        <v>3.4599074753600005</v>
      </c>
      <c r="BI15" s="13">
        <f>'Conduite Trp'!W5</f>
        <v>2.3916411120000003</v>
      </c>
      <c r="BJ15" s="13">
        <f>'Conduite Trp'!X5</f>
        <v>2.2102844400000006</v>
      </c>
      <c r="BK15" s="13">
        <f>'Conduite Trp'!Y5</f>
        <v>2.2839605880000002</v>
      </c>
      <c r="BL15" s="13">
        <f>'Conduite Trp'!Z5</f>
        <v>2.2839605880000002</v>
      </c>
      <c r="BM15" s="13">
        <f>'Conduite Trp'!AA5</f>
        <v>2.2102844400000006</v>
      </c>
      <c r="BN15" s="13">
        <f>'Conduite Trp'!AB5</f>
        <v>2.1536104800000002</v>
      </c>
      <c r="BO15" s="13">
        <f>'Conduite Trp'!AC5</f>
        <v>2.2253974960000003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6"/>
        <v>0</v>
      </c>
      <c r="L16" s="81"/>
      <c r="M16" s="100"/>
      <c r="P16">
        <v>10</v>
      </c>
      <c r="Q16" s="39"/>
      <c r="R16" s="39"/>
      <c r="S16" s="28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10"/>
        <v>0</v>
      </c>
      <c r="AF16" s="61">
        <f t="shared" si="10"/>
        <v>0</v>
      </c>
      <c r="AG16" s="61">
        <f t="shared" si="10"/>
        <v>0</v>
      </c>
      <c r="AH16" s="61">
        <f t="shared" si="10"/>
        <v>0</v>
      </c>
      <c r="AI16" s="61">
        <f t="shared" si="10"/>
        <v>0</v>
      </c>
      <c r="AJ16" s="61">
        <f t="shared" si="10"/>
        <v>0</v>
      </c>
      <c r="AK16" s="141"/>
      <c r="AL16" s="61">
        <f t="shared" si="11"/>
        <v>0</v>
      </c>
      <c r="AR16" s="32" t="s">
        <v>461</v>
      </c>
      <c r="AS16" s="13">
        <f>'Conduite Trp'!G6</f>
        <v>0.30241120000000005</v>
      </c>
      <c r="AT16" s="13">
        <f>'Conduite Trp'!H6</f>
        <v>0.30241120000000005</v>
      </c>
      <c r="AU16" s="13">
        <f>'Conduite Trp'!I6</f>
        <v>0.27314560000000004</v>
      </c>
      <c r="AV16" s="13">
        <f>'Conduite Trp'!J6</f>
        <v>0.27314560000000004</v>
      </c>
      <c r="AW16" s="13">
        <f>'Conduite Trp'!K6</f>
        <v>0.39313456000000002</v>
      </c>
      <c r="AX16" s="13">
        <f>'Conduite Trp'!L6</f>
        <v>0.39313456000000002</v>
      </c>
      <c r="AY16" s="13">
        <f>'Conduite Trp'!M6</f>
        <v>0.38045280000000004</v>
      </c>
      <c r="AZ16" s="13">
        <f>'Conduite Trp'!N6</f>
        <v>0.38045280000000004</v>
      </c>
      <c r="BA16" s="13">
        <f>'Conduite Trp'!O6</f>
        <v>0.39313456000000002</v>
      </c>
      <c r="BB16" s="13">
        <f>'Conduite Trp'!P6</f>
        <v>0.39313456000000002</v>
      </c>
      <c r="BC16" s="13">
        <f>'Conduite Trp'!Q6</f>
        <v>0.38045280000000004</v>
      </c>
      <c r="BD16" s="13">
        <f>'Conduite Trp'!R6</f>
        <v>0.38045280000000004</v>
      </c>
      <c r="BE16" s="13">
        <f>'Conduite Trp'!S6</f>
        <v>0.39313456000000002</v>
      </c>
      <c r="BF16" s="13">
        <f>'Conduite Trp'!T6</f>
        <v>0.39313456000000002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6"/>
        <v>0</v>
      </c>
      <c r="L17" s="81"/>
      <c r="M17" s="100"/>
      <c r="P17">
        <v>11</v>
      </c>
      <c r="Q17" s="39"/>
      <c r="R17" s="39"/>
      <c r="S17" s="28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462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312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460</v>
      </c>
      <c r="AR19" s="69">
        <v>1</v>
      </c>
      <c r="AS19" s="61">
        <f>IF(AS$4=1,AS$15,0)</f>
        <v>0</v>
      </c>
      <c r="AT19" s="61">
        <f t="shared" ref="AT19:BP19" si="17">IF(AT$4=1,AT$15,0)</f>
        <v>0</v>
      </c>
      <c r="AU19" s="61">
        <f t="shared" si="17"/>
        <v>0</v>
      </c>
      <c r="AV19" s="61">
        <f t="shared" si="17"/>
        <v>0</v>
      </c>
      <c r="AW19" s="61">
        <f t="shared" si="17"/>
        <v>0</v>
      </c>
      <c r="AX19" s="61">
        <f t="shared" si="17"/>
        <v>0</v>
      </c>
      <c r="AY19" s="61">
        <f t="shared" si="17"/>
        <v>3.8542626359999996</v>
      </c>
      <c r="AZ19" s="61">
        <f t="shared" si="17"/>
        <v>5.1171486912000006</v>
      </c>
      <c r="BA19" s="61">
        <f t="shared" si="17"/>
        <v>4.9035696931200015</v>
      </c>
      <c r="BB19" s="61">
        <f t="shared" si="17"/>
        <v>4.8809725977600014</v>
      </c>
      <c r="BC19" s="61">
        <f t="shared" si="17"/>
        <v>5.4852626640000004</v>
      </c>
      <c r="BD19" s="61">
        <f t="shared" si="17"/>
        <v>5.4342369648000002</v>
      </c>
      <c r="BE19" s="61">
        <f t="shared" si="17"/>
        <v>0</v>
      </c>
      <c r="BF19" s="61">
        <f t="shared" si="17"/>
        <v>0</v>
      </c>
      <c r="BG19" s="61">
        <f t="shared" si="17"/>
        <v>0</v>
      </c>
      <c r="BH19" s="61">
        <f t="shared" si="17"/>
        <v>0</v>
      </c>
      <c r="BI19" s="61">
        <f t="shared" si="17"/>
        <v>0</v>
      </c>
      <c r="BJ19" s="61">
        <f t="shared" si="17"/>
        <v>0</v>
      </c>
      <c r="BK19" s="61">
        <f t="shared" si="17"/>
        <v>0</v>
      </c>
      <c r="BL19" s="61">
        <f t="shared" si="17"/>
        <v>0</v>
      </c>
      <c r="BM19" s="61">
        <f t="shared" si="17"/>
        <v>0</v>
      </c>
      <c r="BN19" s="61">
        <f t="shared" si="17"/>
        <v>0</v>
      </c>
      <c r="BO19" s="61">
        <f t="shared" si="17"/>
        <v>0</v>
      </c>
      <c r="BP19" s="61">
        <f t="shared" si="17"/>
        <v>0</v>
      </c>
      <c r="BR19" s="61">
        <f>SUM(AS19:BP19)</f>
        <v>29.675453246880004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8">IF(AT$4=2,AT$15,0)</f>
        <v>0</v>
      </c>
      <c r="AU20" s="61">
        <f t="shared" si="18"/>
        <v>0</v>
      </c>
      <c r="AV20" s="61">
        <f t="shared" si="18"/>
        <v>0</v>
      </c>
      <c r="AW20" s="61">
        <f t="shared" si="18"/>
        <v>0</v>
      </c>
      <c r="AX20" s="61">
        <f t="shared" si="18"/>
        <v>0</v>
      </c>
      <c r="AY20" s="61">
        <f t="shared" si="18"/>
        <v>0</v>
      </c>
      <c r="AZ20" s="61">
        <f t="shared" si="18"/>
        <v>0</v>
      </c>
      <c r="BA20" s="61">
        <f t="shared" si="18"/>
        <v>0</v>
      </c>
      <c r="BB20" s="61">
        <f t="shared" si="18"/>
        <v>0</v>
      </c>
      <c r="BC20" s="61">
        <f t="shared" si="18"/>
        <v>0</v>
      </c>
      <c r="BD20" s="61">
        <f t="shared" si="18"/>
        <v>0</v>
      </c>
      <c r="BE20" s="61">
        <f t="shared" si="18"/>
        <v>5.5626516411200004</v>
      </c>
      <c r="BF20" s="61">
        <f t="shared" si="18"/>
        <v>5.5099250852800008</v>
      </c>
      <c r="BG20" s="61">
        <f t="shared" si="18"/>
        <v>3.4599074753600005</v>
      </c>
      <c r="BH20" s="61">
        <f t="shared" si="18"/>
        <v>3.4599074753600005</v>
      </c>
      <c r="BI20" s="61">
        <f t="shared" si="18"/>
        <v>0</v>
      </c>
      <c r="BJ20" s="61">
        <f t="shared" si="18"/>
        <v>0</v>
      </c>
      <c r="BK20" s="61">
        <f t="shared" si="18"/>
        <v>0</v>
      </c>
      <c r="BL20" s="61">
        <f t="shared" si="18"/>
        <v>0</v>
      </c>
      <c r="BM20" s="61">
        <f t="shared" si="18"/>
        <v>0</v>
      </c>
      <c r="BN20" s="61">
        <f t="shared" si="18"/>
        <v>0</v>
      </c>
      <c r="BO20" s="61">
        <f t="shared" si="18"/>
        <v>0</v>
      </c>
      <c r="BP20" s="61">
        <f t="shared" si="18"/>
        <v>0</v>
      </c>
      <c r="BR20" s="61">
        <f t="shared" ref="BR20:BR24" si="19">SUM(AS20:BP20)</f>
        <v>17.992391677120004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311</v>
      </c>
      <c r="L21" s="101"/>
      <c r="M21" s="100"/>
      <c r="P21">
        <v>15</v>
      </c>
      <c r="Q21" s="39"/>
      <c r="R21" s="39"/>
      <c r="S21" s="28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20">IF(AT$4=3,AT$15,0)</f>
        <v>0</v>
      </c>
      <c r="AU21" s="61">
        <f t="shared" si="20"/>
        <v>0</v>
      </c>
      <c r="AV21" s="61">
        <f t="shared" si="20"/>
        <v>0</v>
      </c>
      <c r="AW21" s="61">
        <f t="shared" si="20"/>
        <v>0</v>
      </c>
      <c r="AX21" s="61">
        <f t="shared" si="20"/>
        <v>0</v>
      </c>
      <c r="AY21" s="61">
        <f t="shared" si="20"/>
        <v>0</v>
      </c>
      <c r="AZ21" s="61">
        <f t="shared" si="20"/>
        <v>0</v>
      </c>
      <c r="BA21" s="61">
        <f t="shared" si="20"/>
        <v>0</v>
      </c>
      <c r="BB21" s="61">
        <f t="shared" si="20"/>
        <v>0</v>
      </c>
      <c r="BC21" s="61">
        <f t="shared" si="20"/>
        <v>0</v>
      </c>
      <c r="BD21" s="61">
        <f t="shared" si="20"/>
        <v>0</v>
      </c>
      <c r="BE21" s="61">
        <f t="shared" si="20"/>
        <v>0</v>
      </c>
      <c r="BF21" s="61">
        <f t="shared" si="20"/>
        <v>0</v>
      </c>
      <c r="BG21" s="61">
        <f t="shared" si="20"/>
        <v>0</v>
      </c>
      <c r="BH21" s="61">
        <f t="shared" si="20"/>
        <v>0</v>
      </c>
      <c r="BI21" s="61">
        <f t="shared" si="20"/>
        <v>2.3916411120000003</v>
      </c>
      <c r="BJ21" s="61">
        <f t="shared" si="20"/>
        <v>2.2102844400000006</v>
      </c>
      <c r="BK21" s="61">
        <f t="shared" si="20"/>
        <v>2.2839605880000002</v>
      </c>
      <c r="BL21" s="61">
        <f t="shared" si="20"/>
        <v>2.2839605880000002</v>
      </c>
      <c r="BM21" s="61">
        <f t="shared" si="20"/>
        <v>2.2102844400000006</v>
      </c>
      <c r="BN21" s="61">
        <f t="shared" si="20"/>
        <v>2.1536104800000002</v>
      </c>
      <c r="BO21" s="61">
        <f t="shared" si="20"/>
        <v>0</v>
      </c>
      <c r="BP21" s="61">
        <f t="shared" si="20"/>
        <v>0</v>
      </c>
      <c r="BR21" s="61">
        <f t="shared" si="19"/>
        <v>13.533741648000003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418</v>
      </c>
      <c r="L22" s="63"/>
      <c r="M22" s="100"/>
      <c r="P22">
        <v>16</v>
      </c>
      <c r="Q22" s="39"/>
      <c r="R22" s="39"/>
      <c r="S22" s="28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21">IF(AT$4=4,AT$15,0)</f>
        <v>0</v>
      </c>
      <c r="AU22" s="61">
        <f t="shared" si="21"/>
        <v>0</v>
      </c>
      <c r="AV22" s="61">
        <f t="shared" si="21"/>
        <v>0</v>
      </c>
      <c r="AW22" s="61">
        <f t="shared" si="21"/>
        <v>0</v>
      </c>
      <c r="AX22" s="61">
        <f t="shared" si="21"/>
        <v>0</v>
      </c>
      <c r="AY22" s="61">
        <f t="shared" si="21"/>
        <v>0</v>
      </c>
      <c r="AZ22" s="61">
        <f t="shared" si="21"/>
        <v>0</v>
      </c>
      <c r="BA22" s="61">
        <f t="shared" si="21"/>
        <v>0</v>
      </c>
      <c r="BB22" s="61">
        <f t="shared" si="21"/>
        <v>0</v>
      </c>
      <c r="BC22" s="61">
        <f t="shared" si="21"/>
        <v>0</v>
      </c>
      <c r="BD22" s="61">
        <f t="shared" si="21"/>
        <v>0</v>
      </c>
      <c r="BE22" s="61">
        <f t="shared" si="21"/>
        <v>0</v>
      </c>
      <c r="BF22" s="61">
        <f t="shared" si="21"/>
        <v>0</v>
      </c>
      <c r="BG22" s="61">
        <f t="shared" si="21"/>
        <v>0</v>
      </c>
      <c r="BH22" s="61">
        <f t="shared" si="21"/>
        <v>0</v>
      </c>
      <c r="BI22" s="61">
        <f t="shared" si="21"/>
        <v>0</v>
      </c>
      <c r="BJ22" s="61">
        <f t="shared" si="21"/>
        <v>0</v>
      </c>
      <c r="BK22" s="61">
        <f t="shared" si="21"/>
        <v>0</v>
      </c>
      <c r="BL22" s="61">
        <f t="shared" si="21"/>
        <v>0</v>
      </c>
      <c r="BM22" s="61">
        <f t="shared" si="21"/>
        <v>0</v>
      </c>
      <c r="BN22" s="61">
        <f t="shared" si="21"/>
        <v>0</v>
      </c>
      <c r="BO22" s="61">
        <f t="shared" si="21"/>
        <v>2.2253974960000003</v>
      </c>
      <c r="BP22" s="61">
        <f t="shared" si="21"/>
        <v>0</v>
      </c>
      <c r="BR22" s="61">
        <f t="shared" si="19"/>
        <v>2.2253974960000003</v>
      </c>
      <c r="BS22" s="140"/>
    </row>
    <row r="23" spans="2:72" ht="15" customHeight="1" x14ac:dyDescent="0.25">
      <c r="B23" s="112"/>
      <c r="C23" s="119" t="s">
        <v>275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417</v>
      </c>
      <c r="L23" s="63"/>
      <c r="M23" s="100"/>
      <c r="P23">
        <v>17</v>
      </c>
      <c r="Q23" s="39"/>
      <c r="R23" s="39"/>
      <c r="S23" s="28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2">IF(AT$4=5,AT$15,0)</f>
        <v>0</v>
      </c>
      <c r="AU23" s="61">
        <f t="shared" si="22"/>
        <v>0</v>
      </c>
      <c r="AV23" s="61">
        <f t="shared" si="22"/>
        <v>1.2246167807999999</v>
      </c>
      <c r="AW23" s="61">
        <f t="shared" si="22"/>
        <v>2.6777558001600008</v>
      </c>
      <c r="AX23" s="61">
        <f t="shared" si="22"/>
        <v>3.5552763366400013</v>
      </c>
      <c r="AY23" s="61">
        <f t="shared" si="22"/>
        <v>0</v>
      </c>
      <c r="AZ23" s="61">
        <f t="shared" si="22"/>
        <v>0</v>
      </c>
      <c r="BA23" s="61">
        <f t="shared" si="22"/>
        <v>0</v>
      </c>
      <c r="BB23" s="61">
        <f t="shared" si="22"/>
        <v>0</v>
      </c>
      <c r="BC23" s="61">
        <f t="shared" si="22"/>
        <v>0</v>
      </c>
      <c r="BD23" s="61">
        <f t="shared" si="22"/>
        <v>0</v>
      </c>
      <c r="BE23" s="61">
        <f t="shared" si="22"/>
        <v>0</v>
      </c>
      <c r="BF23" s="61">
        <f t="shared" si="22"/>
        <v>0</v>
      </c>
      <c r="BG23" s="61">
        <f t="shared" si="22"/>
        <v>0</v>
      </c>
      <c r="BH23" s="61">
        <f t="shared" si="22"/>
        <v>0</v>
      </c>
      <c r="BI23" s="61">
        <f t="shared" si="22"/>
        <v>0</v>
      </c>
      <c r="BJ23" s="61">
        <f t="shared" si="22"/>
        <v>0</v>
      </c>
      <c r="BK23" s="61">
        <f t="shared" si="22"/>
        <v>0</v>
      </c>
      <c r="BL23" s="61">
        <f t="shared" si="22"/>
        <v>0</v>
      </c>
      <c r="BM23" s="61">
        <f t="shared" si="22"/>
        <v>0</v>
      </c>
      <c r="BN23" s="61">
        <f t="shared" si="22"/>
        <v>0</v>
      </c>
      <c r="BO23" s="61">
        <f t="shared" si="22"/>
        <v>0</v>
      </c>
      <c r="BP23" s="61">
        <f t="shared" si="22"/>
        <v>0</v>
      </c>
      <c r="BR23" s="61">
        <f t="shared" si="19"/>
        <v>7.457648917600002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3">AE27+AE49+AE71</f>
        <v>32.494</v>
      </c>
      <c r="E24" s="61">
        <f t="shared" si="23"/>
        <v>21.6</v>
      </c>
      <c r="F24" s="61">
        <f t="shared" si="23"/>
        <v>24.9664</v>
      </c>
      <c r="G24" s="61">
        <f t="shared" si="23"/>
        <v>8.219100000000001</v>
      </c>
      <c r="H24" s="61">
        <f t="shared" si="23"/>
        <v>12.4755</v>
      </c>
      <c r="I24" s="61">
        <f t="shared" si="23"/>
        <v>0</v>
      </c>
      <c r="J24" s="63"/>
      <c r="K24" s="61">
        <f>AL27+AL49+AL71</f>
        <v>77.64500000000001</v>
      </c>
      <c r="L24" s="52"/>
      <c r="M24" s="100"/>
      <c r="P24">
        <v>18</v>
      </c>
      <c r="Q24" s="39"/>
      <c r="R24" s="39"/>
      <c r="S24" s="28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4">IF(AT$4=6,AT$15,0)</f>
        <v>0</v>
      </c>
      <c r="AU24" s="61">
        <f t="shared" si="24"/>
        <v>0</v>
      </c>
      <c r="AV24" s="61">
        <f t="shared" si="24"/>
        <v>0</v>
      </c>
      <c r="AW24" s="61">
        <f t="shared" si="24"/>
        <v>0</v>
      </c>
      <c r="AX24" s="61">
        <f t="shared" si="24"/>
        <v>0</v>
      </c>
      <c r="AY24" s="61">
        <f t="shared" si="24"/>
        <v>0</v>
      </c>
      <c r="AZ24" s="61">
        <f t="shared" si="24"/>
        <v>0</v>
      </c>
      <c r="BA24" s="61">
        <f t="shared" si="24"/>
        <v>0</v>
      </c>
      <c r="BB24" s="61">
        <f t="shared" si="24"/>
        <v>0</v>
      </c>
      <c r="BC24" s="61">
        <f t="shared" si="24"/>
        <v>0</v>
      </c>
      <c r="BD24" s="61">
        <f t="shared" si="24"/>
        <v>0</v>
      </c>
      <c r="BE24" s="61">
        <f t="shared" si="24"/>
        <v>0</v>
      </c>
      <c r="BF24" s="61">
        <f t="shared" si="24"/>
        <v>0</v>
      </c>
      <c r="BG24" s="61">
        <f t="shared" si="24"/>
        <v>0</v>
      </c>
      <c r="BH24" s="61">
        <f t="shared" si="24"/>
        <v>0</v>
      </c>
      <c r="BI24" s="61">
        <f t="shared" si="24"/>
        <v>0</v>
      </c>
      <c r="BJ24" s="61">
        <f t="shared" si="24"/>
        <v>0</v>
      </c>
      <c r="BK24" s="61">
        <f t="shared" si="24"/>
        <v>0</v>
      </c>
      <c r="BL24" s="61">
        <f t="shared" si="24"/>
        <v>0</v>
      </c>
      <c r="BM24" s="61">
        <f t="shared" si="24"/>
        <v>0</v>
      </c>
      <c r="BN24" s="61">
        <f t="shared" si="24"/>
        <v>0</v>
      </c>
      <c r="BO24" s="61">
        <f t="shared" si="24"/>
        <v>0</v>
      </c>
      <c r="BP24" s="61">
        <f t="shared" si="24"/>
        <v>0</v>
      </c>
      <c r="BR24" s="61">
        <f t="shared" si="19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31.983533566880006</v>
      </c>
      <c r="E25" s="61">
        <f>BR8</f>
        <v>18.778660797120004</v>
      </c>
      <c r="F25" s="61">
        <f>BR9</f>
        <v>13.533741648000003</v>
      </c>
      <c r="G25" s="61">
        <f>BR10</f>
        <v>2.8302198960000005</v>
      </c>
      <c r="H25" s="61">
        <f>BR11</f>
        <v>8.7902092376000027</v>
      </c>
      <c r="I25" s="61">
        <f>BR12</f>
        <v>0</v>
      </c>
      <c r="J25" s="63"/>
      <c r="K25" s="76">
        <f>'Conduite Trp'!C7</f>
        <v>127</v>
      </c>
      <c r="L25" s="63"/>
      <c r="M25" s="100"/>
      <c r="P25">
        <v>19</v>
      </c>
      <c r="Q25" s="39"/>
      <c r="R25" s="39"/>
      <c r="S25" s="28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5">D24-D25</f>
        <v>0.51046643311999418</v>
      </c>
      <c r="E27" s="93">
        <f t="shared" si="25"/>
        <v>2.8213392028799973</v>
      </c>
      <c r="F27" s="93">
        <f t="shared" si="25"/>
        <v>11.432658351999997</v>
      </c>
      <c r="G27" s="93">
        <f t="shared" si="25"/>
        <v>5.3888801040000001</v>
      </c>
      <c r="H27" s="93">
        <f t="shared" si="25"/>
        <v>3.6852907623999975</v>
      </c>
      <c r="I27" s="93">
        <f t="shared" si="25"/>
        <v>0</v>
      </c>
      <c r="J27" s="63"/>
      <c r="K27" s="93">
        <f>K24-K25</f>
        <v>-49.35499999999999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30</v>
      </c>
      <c r="AF27" s="75">
        <f t="shared" ref="AF27:AJ27" si="26">SUM(AF7:AF26)</f>
        <v>19.5</v>
      </c>
      <c r="AG27" s="75">
        <f t="shared" si="26"/>
        <v>21.07</v>
      </c>
      <c r="AH27" s="75">
        <f t="shared" si="26"/>
        <v>6.45</v>
      </c>
      <c r="AI27" s="75">
        <f t="shared" si="26"/>
        <v>9.0299999999999994</v>
      </c>
      <c r="AJ27" s="75">
        <f t="shared" si="26"/>
        <v>0</v>
      </c>
      <c r="AK27"/>
      <c r="AL27" s="75">
        <f>SUM(AL7:AL26)</f>
        <v>40.370000000000005</v>
      </c>
      <c r="AQ27" s="32" t="s">
        <v>461</v>
      </c>
      <c r="AR27" s="69">
        <v>1</v>
      </c>
      <c r="AS27" s="61">
        <f>IF(AS$4=1,AS$16,0)</f>
        <v>0</v>
      </c>
      <c r="AT27" s="61">
        <f t="shared" ref="AT27:BP27" si="27">IF(AT$4=1,AT$16,0)</f>
        <v>0</v>
      </c>
      <c r="AU27" s="61">
        <f t="shared" si="27"/>
        <v>0</v>
      </c>
      <c r="AV27" s="61">
        <f t="shared" si="27"/>
        <v>0</v>
      </c>
      <c r="AW27" s="61">
        <f t="shared" si="27"/>
        <v>0</v>
      </c>
      <c r="AX27" s="61">
        <f t="shared" si="27"/>
        <v>0</v>
      </c>
      <c r="AY27" s="61">
        <f t="shared" si="27"/>
        <v>0.38045280000000004</v>
      </c>
      <c r="AZ27" s="61">
        <f t="shared" si="27"/>
        <v>0.38045280000000004</v>
      </c>
      <c r="BA27" s="61">
        <f t="shared" si="27"/>
        <v>0.39313456000000002</v>
      </c>
      <c r="BB27" s="61">
        <f t="shared" si="27"/>
        <v>0.39313456000000002</v>
      </c>
      <c r="BC27" s="61">
        <f t="shared" si="27"/>
        <v>0.38045280000000004</v>
      </c>
      <c r="BD27" s="61">
        <f t="shared" si="27"/>
        <v>0.38045280000000004</v>
      </c>
      <c r="BE27" s="61">
        <f t="shared" si="27"/>
        <v>0</v>
      </c>
      <c r="BF27" s="61">
        <f t="shared" si="27"/>
        <v>0</v>
      </c>
      <c r="BG27" s="61">
        <f t="shared" si="27"/>
        <v>0</v>
      </c>
      <c r="BH27" s="61">
        <f t="shared" si="27"/>
        <v>0</v>
      </c>
      <c r="BI27" s="61">
        <f t="shared" si="27"/>
        <v>0</v>
      </c>
      <c r="BJ27" s="61">
        <f t="shared" si="27"/>
        <v>0</v>
      </c>
      <c r="BK27" s="61">
        <f t="shared" si="27"/>
        <v>0</v>
      </c>
      <c r="BL27" s="61">
        <f t="shared" si="27"/>
        <v>0</v>
      </c>
      <c r="BM27" s="61">
        <f t="shared" si="27"/>
        <v>0</v>
      </c>
      <c r="BN27" s="61">
        <f t="shared" si="27"/>
        <v>0</v>
      </c>
      <c r="BO27" s="61">
        <f t="shared" si="27"/>
        <v>0</v>
      </c>
      <c r="BP27" s="61">
        <f t="shared" si="27"/>
        <v>0</v>
      </c>
      <c r="BR27" s="61">
        <f>SUM(AS27:BP27)</f>
        <v>2.3080803200000002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8">IF(AT$4=2,AT$16,0)</f>
        <v>0</v>
      </c>
      <c r="AU28" s="61">
        <f t="shared" si="28"/>
        <v>0</v>
      </c>
      <c r="AV28" s="61">
        <f t="shared" si="28"/>
        <v>0</v>
      </c>
      <c r="AW28" s="61">
        <f t="shared" si="28"/>
        <v>0</v>
      </c>
      <c r="AX28" s="61">
        <f t="shared" si="28"/>
        <v>0</v>
      </c>
      <c r="AY28" s="61">
        <f t="shared" si="28"/>
        <v>0</v>
      </c>
      <c r="AZ28" s="61">
        <f t="shared" si="28"/>
        <v>0</v>
      </c>
      <c r="BA28" s="61">
        <f t="shared" si="28"/>
        <v>0</v>
      </c>
      <c r="BB28" s="61">
        <f t="shared" si="28"/>
        <v>0</v>
      </c>
      <c r="BC28" s="61">
        <f t="shared" si="28"/>
        <v>0</v>
      </c>
      <c r="BD28" s="61">
        <f t="shared" si="28"/>
        <v>0</v>
      </c>
      <c r="BE28" s="61">
        <f t="shared" si="28"/>
        <v>0.39313456000000002</v>
      </c>
      <c r="BF28" s="61">
        <f t="shared" si="28"/>
        <v>0.39313456000000002</v>
      </c>
      <c r="BG28" s="61">
        <f t="shared" si="28"/>
        <v>0</v>
      </c>
      <c r="BH28" s="61">
        <f t="shared" si="28"/>
        <v>0</v>
      </c>
      <c r="BI28" s="61">
        <f t="shared" si="28"/>
        <v>0</v>
      </c>
      <c r="BJ28" s="61">
        <f t="shared" si="28"/>
        <v>0</v>
      </c>
      <c r="BK28" s="61">
        <f t="shared" si="28"/>
        <v>0</v>
      </c>
      <c r="BL28" s="61">
        <f t="shared" si="28"/>
        <v>0</v>
      </c>
      <c r="BM28" s="61">
        <f t="shared" si="28"/>
        <v>0</v>
      </c>
      <c r="BN28" s="61">
        <f t="shared" si="28"/>
        <v>0</v>
      </c>
      <c r="BO28" s="61">
        <f t="shared" si="28"/>
        <v>0</v>
      </c>
      <c r="BP28" s="61">
        <f t="shared" si="28"/>
        <v>0</v>
      </c>
      <c r="BR28" s="61">
        <f t="shared" ref="BR28:BR32" si="29">SUM(AS28:BP28)</f>
        <v>0.78626912000000004</v>
      </c>
    </row>
    <row r="29" spans="2:72" ht="15" customHeight="1" thickBot="1" x14ac:dyDescent="0.3">
      <c r="B29" s="150" t="s">
        <v>276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5.5</v>
      </c>
      <c r="P29">
        <v>1</v>
      </c>
      <c r="Q29" s="39">
        <v>294</v>
      </c>
      <c r="R29" s="39">
        <v>1.2</v>
      </c>
      <c r="S29" s="280" t="str">
        <f>VLOOKUP($Q29,[1]MEP!$A$5:$D$300,3)</f>
        <v>PP EXCELLENTE 2 COUPES</v>
      </c>
      <c r="T29" s="76" t="str">
        <f>VLOOKUP($Q29,[1]MEP!$A$5:$D$300,4)</f>
        <v>zone 1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8</v>
      </c>
      <c r="AE29" s="61">
        <f t="shared" ref="AE29:AE48" si="30">$R29*V29</f>
        <v>0</v>
      </c>
      <c r="AF29" s="61">
        <f t="shared" ref="AF29:AF48" si="31">$R29*W29</f>
        <v>0</v>
      </c>
      <c r="AG29" s="61">
        <f t="shared" ref="AG29:AG48" si="32">$R29*X29</f>
        <v>0</v>
      </c>
      <c r="AH29" s="61">
        <f t="shared" ref="AH29:AH48" si="33">$R29*Y29</f>
        <v>0</v>
      </c>
      <c r="AI29" s="61">
        <f t="shared" ref="AI29:AI48" si="34">$R29*Z29</f>
        <v>0</v>
      </c>
      <c r="AJ29" s="61">
        <f t="shared" ref="AJ29:AJ48" si="35">$R29*AA29</f>
        <v>0</v>
      </c>
      <c r="AK29"/>
      <c r="AL29" s="61">
        <f t="shared" ref="AL29:AL48" si="36">R29*AC29</f>
        <v>9.6</v>
      </c>
      <c r="AR29" s="69">
        <v>3</v>
      </c>
      <c r="AS29" s="61">
        <f>IF(AS$4=3,AS$16,0)</f>
        <v>0</v>
      </c>
      <c r="AT29" s="61">
        <f t="shared" ref="AT29:BP29" si="37">IF(AT$4=3,AT$16,0)</f>
        <v>0</v>
      </c>
      <c r="AU29" s="61">
        <f t="shared" si="37"/>
        <v>0</v>
      </c>
      <c r="AV29" s="61">
        <f t="shared" si="37"/>
        <v>0</v>
      </c>
      <c r="AW29" s="61">
        <f t="shared" si="37"/>
        <v>0</v>
      </c>
      <c r="AX29" s="61">
        <f t="shared" si="37"/>
        <v>0</v>
      </c>
      <c r="AY29" s="61">
        <f t="shared" si="37"/>
        <v>0</v>
      </c>
      <c r="AZ29" s="61">
        <f t="shared" si="37"/>
        <v>0</v>
      </c>
      <c r="BA29" s="61">
        <f t="shared" si="37"/>
        <v>0</v>
      </c>
      <c r="BB29" s="61">
        <f t="shared" si="37"/>
        <v>0</v>
      </c>
      <c r="BC29" s="61">
        <f t="shared" si="37"/>
        <v>0</v>
      </c>
      <c r="BD29" s="61">
        <f t="shared" si="37"/>
        <v>0</v>
      </c>
      <c r="BE29" s="61">
        <f t="shared" si="37"/>
        <v>0</v>
      </c>
      <c r="BF29" s="61">
        <f t="shared" si="37"/>
        <v>0</v>
      </c>
      <c r="BG29" s="61">
        <f t="shared" si="37"/>
        <v>0</v>
      </c>
      <c r="BH29" s="61">
        <f t="shared" si="37"/>
        <v>0</v>
      </c>
      <c r="BI29" s="61">
        <f t="shared" si="37"/>
        <v>0</v>
      </c>
      <c r="BJ29" s="61">
        <f t="shared" si="37"/>
        <v>0</v>
      </c>
      <c r="BK29" s="61">
        <f t="shared" si="37"/>
        <v>0</v>
      </c>
      <c r="BL29" s="61">
        <f t="shared" si="37"/>
        <v>0</v>
      </c>
      <c r="BM29" s="61">
        <f t="shared" si="37"/>
        <v>0</v>
      </c>
      <c r="BN29" s="61">
        <f t="shared" si="37"/>
        <v>0</v>
      </c>
      <c r="BO29" s="61">
        <f t="shared" si="37"/>
        <v>0</v>
      </c>
      <c r="BP29" s="61">
        <f t="shared" si="37"/>
        <v>0</v>
      </c>
      <c r="BR29" s="61">
        <f t="shared" si="29"/>
        <v>0</v>
      </c>
    </row>
    <row r="30" spans="2:72" ht="15" customHeight="1" x14ac:dyDescent="0.25">
      <c r="N30" s="17" t="s">
        <v>89</v>
      </c>
      <c r="O30" s="42">
        <f>SUM(R29:R48)</f>
        <v>5.5</v>
      </c>
      <c r="P30">
        <v>2</v>
      </c>
      <c r="Q30" s="39">
        <v>269</v>
      </c>
      <c r="R30" s="39">
        <v>2.1</v>
      </c>
      <c r="S30" s="280" t="str">
        <f>VLOOKUP($Q30,[1]MEP!$A$5:$D$300,3)</f>
        <v>PP BONNES 2 COUPES PRECOCES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0</v>
      </c>
      <c r="W30" s="76">
        <f>VLOOKUP($Q30,[1]MEP!$A$4:$K$300,6)</f>
        <v>1</v>
      </c>
      <c r="X30" s="76">
        <f>VLOOKUP($Q30,[1]MEP!$A$4:$K$300,7)</f>
        <v>1</v>
      </c>
      <c r="Y30" s="76">
        <f>VLOOKUP($Q30,[1]MEP!$A$4:$K$300,8)</f>
        <v>0.5</v>
      </c>
      <c r="Z30" s="76">
        <f>VLOOKUP($Q30,[1]MEP!$A$4:$K$300,9)</f>
        <v>0.7</v>
      </c>
      <c r="AA30" s="76">
        <f>VLOOKUP($Q30,[1]MEP!$A$4:$K$300,10)</f>
        <v>0</v>
      </c>
      <c r="AC30" s="76">
        <f>VLOOKUP($Q30,[1]MEP!$A$4:$K$300,11)</f>
        <v>6.3</v>
      </c>
      <c r="AE30" s="61">
        <f t="shared" si="30"/>
        <v>0</v>
      </c>
      <c r="AF30" s="61">
        <f t="shared" si="31"/>
        <v>2.1</v>
      </c>
      <c r="AG30" s="61">
        <f t="shared" si="32"/>
        <v>2.1</v>
      </c>
      <c r="AH30" s="61">
        <f t="shared" si="33"/>
        <v>1.05</v>
      </c>
      <c r="AI30" s="61">
        <f t="shared" si="34"/>
        <v>1.47</v>
      </c>
      <c r="AJ30" s="61">
        <f t="shared" si="35"/>
        <v>0</v>
      </c>
      <c r="AK30"/>
      <c r="AL30" s="61">
        <f t="shared" si="36"/>
        <v>13.23</v>
      </c>
      <c r="AR30" s="70">
        <v>4</v>
      </c>
      <c r="AS30" s="61">
        <f>IF(AS$4=4,AS$16,0)</f>
        <v>0.30241120000000005</v>
      </c>
      <c r="AT30" s="61">
        <f t="shared" ref="AT30:BP30" si="38">IF(AT$4=4,AT$16,0)</f>
        <v>0.30241120000000005</v>
      </c>
      <c r="AU30" s="61">
        <f t="shared" si="38"/>
        <v>0</v>
      </c>
      <c r="AV30" s="61">
        <f t="shared" si="38"/>
        <v>0</v>
      </c>
      <c r="AW30" s="61">
        <f t="shared" si="38"/>
        <v>0</v>
      </c>
      <c r="AX30" s="61">
        <f t="shared" si="38"/>
        <v>0</v>
      </c>
      <c r="AY30" s="61">
        <f t="shared" si="38"/>
        <v>0</v>
      </c>
      <c r="AZ30" s="61">
        <f t="shared" si="38"/>
        <v>0</v>
      </c>
      <c r="BA30" s="61">
        <f t="shared" si="38"/>
        <v>0</v>
      </c>
      <c r="BB30" s="61">
        <f t="shared" si="38"/>
        <v>0</v>
      </c>
      <c r="BC30" s="61">
        <f t="shared" si="38"/>
        <v>0</v>
      </c>
      <c r="BD30" s="61">
        <f t="shared" si="38"/>
        <v>0</v>
      </c>
      <c r="BE30" s="61">
        <f t="shared" si="38"/>
        <v>0</v>
      </c>
      <c r="BF30" s="61">
        <f t="shared" si="38"/>
        <v>0</v>
      </c>
      <c r="BG30" s="61">
        <f t="shared" si="38"/>
        <v>0</v>
      </c>
      <c r="BH30" s="61">
        <f t="shared" si="38"/>
        <v>0</v>
      </c>
      <c r="BI30" s="61">
        <f t="shared" si="38"/>
        <v>0</v>
      </c>
      <c r="BJ30" s="61">
        <f t="shared" si="38"/>
        <v>0</v>
      </c>
      <c r="BK30" s="61">
        <f t="shared" si="38"/>
        <v>0</v>
      </c>
      <c r="BL30" s="61">
        <f t="shared" si="38"/>
        <v>0</v>
      </c>
      <c r="BM30" s="61">
        <f t="shared" si="38"/>
        <v>0</v>
      </c>
      <c r="BN30" s="61">
        <f t="shared" si="38"/>
        <v>0</v>
      </c>
      <c r="BO30" s="61">
        <f t="shared" si="38"/>
        <v>0</v>
      </c>
      <c r="BP30" s="61">
        <f t="shared" si="38"/>
        <v>0</v>
      </c>
      <c r="BR30" s="61">
        <f t="shared" si="29"/>
        <v>0.60482240000000009</v>
      </c>
    </row>
    <row r="31" spans="2:72" ht="15" customHeight="1" x14ac:dyDescent="0.25">
      <c r="D31" s="43" t="s">
        <v>313</v>
      </c>
      <c r="P31">
        <v>3</v>
      </c>
      <c r="Q31" s="39">
        <v>265</v>
      </c>
      <c r="R31" s="39">
        <v>0.9</v>
      </c>
      <c r="S31" s="280" t="str">
        <f>VLOOKUP($Q31,[1]MEP!$A$5:$D$300,3)</f>
        <v>PP EXCELLENTE 2 COUPES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1.5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0.5</v>
      </c>
      <c r="Z31" s="76">
        <f>VLOOKUP($Q31,[1]MEP!$A$4:$K$300,9)</f>
        <v>0.7</v>
      </c>
      <c r="AA31" s="76">
        <f>VLOOKUP($Q31,[1]MEP!$A$4:$K$300,10)</f>
        <v>0</v>
      </c>
      <c r="AC31" s="76">
        <f>VLOOKUP($Q31,[1]MEP!$A$4:$K$300,11)</f>
        <v>6.3</v>
      </c>
      <c r="AE31" s="61">
        <f t="shared" si="30"/>
        <v>1.35</v>
      </c>
      <c r="AF31" s="61">
        <f t="shared" si="31"/>
        <v>0</v>
      </c>
      <c r="AG31" s="61">
        <f t="shared" si="32"/>
        <v>0.72000000000000008</v>
      </c>
      <c r="AH31" s="61">
        <f t="shared" si="33"/>
        <v>0.45</v>
      </c>
      <c r="AI31" s="61">
        <f t="shared" si="34"/>
        <v>0.63</v>
      </c>
      <c r="AJ31" s="61">
        <f t="shared" si="35"/>
        <v>0</v>
      </c>
      <c r="AK31"/>
      <c r="AL31" s="61">
        <f t="shared" si="36"/>
        <v>5.67</v>
      </c>
      <c r="AR31" s="69">
        <v>5</v>
      </c>
      <c r="AS31" s="61">
        <f>IF(AS$4=5,AS$16,0)</f>
        <v>0</v>
      </c>
      <c r="AT31" s="61">
        <f t="shared" ref="AT31:BP31" si="39">IF(AT$4=5,AT$16,0)</f>
        <v>0</v>
      </c>
      <c r="AU31" s="61">
        <f t="shared" si="39"/>
        <v>0.27314560000000004</v>
      </c>
      <c r="AV31" s="61">
        <f t="shared" si="39"/>
        <v>0.27314560000000004</v>
      </c>
      <c r="AW31" s="61">
        <f t="shared" si="39"/>
        <v>0.39313456000000002</v>
      </c>
      <c r="AX31" s="61">
        <f t="shared" si="39"/>
        <v>0.39313456000000002</v>
      </c>
      <c r="AY31" s="61">
        <f t="shared" si="39"/>
        <v>0</v>
      </c>
      <c r="AZ31" s="61">
        <f t="shared" si="39"/>
        <v>0</v>
      </c>
      <c r="BA31" s="61">
        <f t="shared" si="39"/>
        <v>0</v>
      </c>
      <c r="BB31" s="61">
        <f t="shared" si="39"/>
        <v>0</v>
      </c>
      <c r="BC31" s="61">
        <f t="shared" si="39"/>
        <v>0</v>
      </c>
      <c r="BD31" s="61">
        <f t="shared" si="39"/>
        <v>0</v>
      </c>
      <c r="BE31" s="61">
        <f t="shared" si="39"/>
        <v>0</v>
      </c>
      <c r="BF31" s="61">
        <f t="shared" si="39"/>
        <v>0</v>
      </c>
      <c r="BG31" s="61">
        <f t="shared" si="39"/>
        <v>0</v>
      </c>
      <c r="BH31" s="61">
        <f t="shared" si="39"/>
        <v>0</v>
      </c>
      <c r="BI31" s="61">
        <f t="shared" si="39"/>
        <v>0</v>
      </c>
      <c r="BJ31" s="61">
        <f t="shared" si="39"/>
        <v>0</v>
      </c>
      <c r="BK31" s="61">
        <f t="shared" si="39"/>
        <v>0</v>
      </c>
      <c r="BL31" s="61">
        <f t="shared" si="39"/>
        <v>0</v>
      </c>
      <c r="BM31" s="61">
        <f t="shared" si="39"/>
        <v>0</v>
      </c>
      <c r="BN31" s="61">
        <f t="shared" si="39"/>
        <v>0</v>
      </c>
      <c r="BO31" s="61">
        <f t="shared" si="39"/>
        <v>0</v>
      </c>
      <c r="BP31" s="61">
        <f t="shared" si="39"/>
        <v>0</v>
      </c>
      <c r="BR31" s="61">
        <f t="shared" si="29"/>
        <v>1.3325603200000002</v>
      </c>
    </row>
    <row r="32" spans="2:72" x14ac:dyDescent="0.25">
      <c r="D32" s="68" t="s">
        <v>269</v>
      </c>
      <c r="E32" s="68" t="s">
        <v>18</v>
      </c>
      <c r="F32" s="284" t="s">
        <v>278</v>
      </c>
      <c r="G32" s="284"/>
      <c r="H32" s="82"/>
      <c r="I32" s="68" t="s">
        <v>282</v>
      </c>
      <c r="J32" s="82" t="s">
        <v>282</v>
      </c>
      <c r="K32" s="284" t="s">
        <v>280</v>
      </c>
      <c r="L32" s="284"/>
      <c r="M32" s="82"/>
      <c r="P32">
        <v>4</v>
      </c>
      <c r="Q32" s="39">
        <v>194</v>
      </c>
      <c r="R32" s="39">
        <v>1.3</v>
      </c>
      <c r="S32" s="280" t="str">
        <f>VLOOKUP($Q32,[1]MEP!$A$5:$D$300,3)</f>
        <v>PT Excellente 2 coupes avec deprimage</v>
      </c>
      <c r="T32" s="76" t="str">
        <f>VLOOKUP($Q32,[1]MEP!$A$5:$D$300,4)</f>
        <v>zone 1</v>
      </c>
      <c r="U32" s="76" t="str">
        <f>VLOOKUP($Q32,[1]MEP!$A$4:$K$300,2)</f>
        <v>F/P</v>
      </c>
      <c r="V32" s="76">
        <f>VLOOKUP($Q32,[1]MEP!$A$4:$K$300,5)</f>
        <v>0.88000000000000012</v>
      </c>
      <c r="W32" s="76">
        <f>VLOOKUP($Q32,[1]MEP!$A$4:$K$300,6)</f>
        <v>0</v>
      </c>
      <c r="X32" s="76">
        <f>VLOOKUP($Q32,[1]MEP!$A$4:$K$300,7)</f>
        <v>0.82799999999999996</v>
      </c>
      <c r="Y32" s="76">
        <f>VLOOKUP($Q32,[1]MEP!$A$4:$K$300,8)</f>
        <v>0.20699999999999999</v>
      </c>
      <c r="Z32" s="76">
        <f>VLOOKUP($Q32,[1]MEP!$A$4:$K$300,9)</f>
        <v>1.0349999999999999</v>
      </c>
      <c r="AA32" s="76">
        <f>VLOOKUP($Q32,[1]MEP!$A$4:$K$300,10)</f>
        <v>0</v>
      </c>
      <c r="AC32" s="76">
        <f>VLOOKUP($Q32,[1]MEP!$A$4:$K$300,11)</f>
        <v>6.75</v>
      </c>
      <c r="AE32" s="61">
        <f t="shared" si="30"/>
        <v>1.1440000000000001</v>
      </c>
      <c r="AF32" s="61">
        <f t="shared" si="31"/>
        <v>0</v>
      </c>
      <c r="AG32" s="61">
        <f t="shared" si="32"/>
        <v>1.0764</v>
      </c>
      <c r="AH32" s="61">
        <f t="shared" si="33"/>
        <v>0.26910000000000001</v>
      </c>
      <c r="AI32" s="61">
        <f t="shared" si="34"/>
        <v>1.3454999999999999</v>
      </c>
      <c r="AJ32" s="61">
        <f t="shared" si="35"/>
        <v>0</v>
      </c>
      <c r="AK32"/>
      <c r="AL32" s="61">
        <f t="shared" si="36"/>
        <v>8.7750000000000004</v>
      </c>
      <c r="AM32" s="32"/>
      <c r="AR32" s="69">
        <v>6</v>
      </c>
      <c r="AS32" s="61">
        <f>IF(AS$4=6,AS$16,0)</f>
        <v>0</v>
      </c>
      <c r="AT32" s="61">
        <f t="shared" ref="AT32:BP32" si="40">IF(AT$4=6,AT$16,0)</f>
        <v>0</v>
      </c>
      <c r="AU32" s="61">
        <f t="shared" si="40"/>
        <v>0</v>
      </c>
      <c r="AV32" s="61">
        <f t="shared" si="40"/>
        <v>0</v>
      </c>
      <c r="AW32" s="61">
        <f t="shared" si="40"/>
        <v>0</v>
      </c>
      <c r="AX32" s="61">
        <f t="shared" si="40"/>
        <v>0</v>
      </c>
      <c r="AY32" s="61">
        <f t="shared" si="40"/>
        <v>0</v>
      </c>
      <c r="AZ32" s="61">
        <f t="shared" si="40"/>
        <v>0</v>
      </c>
      <c r="BA32" s="61">
        <f t="shared" si="40"/>
        <v>0</v>
      </c>
      <c r="BB32" s="61">
        <f t="shared" si="40"/>
        <v>0</v>
      </c>
      <c r="BC32" s="61">
        <f t="shared" si="40"/>
        <v>0</v>
      </c>
      <c r="BD32" s="61">
        <f t="shared" si="40"/>
        <v>0</v>
      </c>
      <c r="BE32" s="61">
        <f t="shared" si="40"/>
        <v>0</v>
      </c>
      <c r="BF32" s="61">
        <f t="shared" si="40"/>
        <v>0</v>
      </c>
      <c r="BG32" s="61">
        <f t="shared" si="40"/>
        <v>0</v>
      </c>
      <c r="BH32" s="61">
        <f t="shared" si="40"/>
        <v>0</v>
      </c>
      <c r="BI32" s="61">
        <f t="shared" si="40"/>
        <v>0</v>
      </c>
      <c r="BJ32" s="61">
        <f t="shared" si="40"/>
        <v>0</v>
      </c>
      <c r="BK32" s="61">
        <f t="shared" si="40"/>
        <v>0</v>
      </c>
      <c r="BL32" s="61">
        <f t="shared" si="40"/>
        <v>0</v>
      </c>
      <c r="BM32" s="61">
        <f t="shared" si="40"/>
        <v>0</v>
      </c>
      <c r="BN32" s="61">
        <f t="shared" si="40"/>
        <v>0</v>
      </c>
      <c r="BO32" s="61">
        <f t="shared" si="40"/>
        <v>0</v>
      </c>
      <c r="BP32" s="61">
        <f t="shared" si="40"/>
        <v>0</v>
      </c>
      <c r="BR32" s="61">
        <f t="shared" si="29"/>
        <v>0</v>
      </c>
      <c r="BS32"/>
      <c r="BT32" s="82"/>
    </row>
    <row r="33" spans="2:73" x14ac:dyDescent="0.25">
      <c r="B33" s="68" t="s">
        <v>17</v>
      </c>
      <c r="D33" s="68" t="s">
        <v>277</v>
      </c>
      <c r="E33" s="68" t="s">
        <v>88</v>
      </c>
      <c r="F33" s="58" t="s">
        <v>279</v>
      </c>
      <c r="G33" s="68" t="s">
        <v>36</v>
      </c>
      <c r="H33" s="82" t="s">
        <v>303</v>
      </c>
      <c r="I33" s="68" t="s">
        <v>281</v>
      </c>
      <c r="J33" s="82" t="s">
        <v>281</v>
      </c>
      <c r="K33" s="58" t="s">
        <v>279</v>
      </c>
      <c r="L33" s="68" t="s">
        <v>36</v>
      </c>
      <c r="M33" s="82" t="s">
        <v>302</v>
      </c>
      <c r="P33">
        <v>5</v>
      </c>
      <c r="Q33" s="39"/>
      <c r="R33" s="39"/>
      <c r="S33" s="280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30"/>
        <v>0</v>
      </c>
      <c r="AF33" s="61">
        <f t="shared" si="31"/>
        <v>0</v>
      </c>
      <c r="AG33" s="61">
        <f t="shared" si="32"/>
        <v>0</v>
      </c>
      <c r="AH33" s="61">
        <f t="shared" si="33"/>
        <v>0</v>
      </c>
      <c r="AI33" s="61">
        <f t="shared" si="34"/>
        <v>0</v>
      </c>
      <c r="AJ33" s="61">
        <f t="shared" si="35"/>
        <v>0</v>
      </c>
      <c r="AK33"/>
      <c r="AL33" s="61">
        <f t="shared" si="36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278">
        <v>10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1">E34*F34</f>
        <v>0</v>
      </c>
      <c r="L34" s="61">
        <f t="shared" ref="L34:L43" si="42">E34*G34</f>
        <v>30</v>
      </c>
      <c r="M34" s="61">
        <f t="shared" ref="M34:M43" si="43">E34*H34</f>
        <v>0</v>
      </c>
      <c r="P34">
        <v>6</v>
      </c>
      <c r="Q34" s="39"/>
      <c r="R34" s="39"/>
      <c r="S34" s="28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30"/>
        <v>0</v>
      </c>
      <c r="AF34" s="61">
        <f t="shared" si="31"/>
        <v>0</v>
      </c>
      <c r="AG34" s="61">
        <f t="shared" si="32"/>
        <v>0</v>
      </c>
      <c r="AH34" s="61">
        <f t="shared" si="33"/>
        <v>0</v>
      </c>
      <c r="AI34" s="61">
        <f t="shared" si="34"/>
        <v>0</v>
      </c>
      <c r="AJ34" s="61">
        <f t="shared" si="35"/>
        <v>0</v>
      </c>
      <c r="AK34"/>
      <c r="AL34" s="61">
        <f t="shared" si="36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4">VALUE(LEFT(I35,2))</f>
        <v>0</v>
      </c>
      <c r="K35" s="61">
        <f t="shared" si="41"/>
        <v>0</v>
      </c>
      <c r="L35" s="61">
        <f t="shared" si="42"/>
        <v>0</v>
      </c>
      <c r="M35" s="61">
        <f t="shared" si="43"/>
        <v>0</v>
      </c>
      <c r="P35">
        <v>7</v>
      </c>
      <c r="Q35" s="39"/>
      <c r="R35" s="39"/>
      <c r="S35" s="28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30"/>
        <v>0</v>
      </c>
      <c r="AF35" s="61">
        <f t="shared" si="31"/>
        <v>0</v>
      </c>
      <c r="AG35" s="61">
        <f t="shared" si="32"/>
        <v>0</v>
      </c>
      <c r="AH35" s="61">
        <f t="shared" si="33"/>
        <v>0</v>
      </c>
      <c r="AI35" s="61">
        <f t="shared" si="34"/>
        <v>0</v>
      </c>
      <c r="AJ35" s="61">
        <f t="shared" si="35"/>
        <v>0</v>
      </c>
      <c r="AK35"/>
      <c r="AL35" s="61">
        <f t="shared" si="36"/>
        <v>0</v>
      </c>
      <c r="AN35" s="37"/>
      <c r="AO35" s="37"/>
      <c r="AP35" s="37"/>
      <c r="AQ35" s="32" t="s">
        <v>462</v>
      </c>
      <c r="AR35" s="69">
        <v>1</v>
      </c>
      <c r="AS35" s="61">
        <f>IF(AS$4=1,AS$17,0)</f>
        <v>0</v>
      </c>
      <c r="AT35" s="61">
        <f t="shared" ref="AT35:BP35" si="45">IF(AT$4=1,AT$17,0)</f>
        <v>0</v>
      </c>
      <c r="AU35" s="61">
        <f t="shared" si="45"/>
        <v>0</v>
      </c>
      <c r="AV35" s="61">
        <f t="shared" si="45"/>
        <v>0</v>
      </c>
      <c r="AW35" s="61">
        <f t="shared" si="45"/>
        <v>0</v>
      </c>
      <c r="AX35" s="61">
        <f t="shared" si="45"/>
        <v>0</v>
      </c>
      <c r="AY35" s="61">
        <f t="shared" si="45"/>
        <v>0</v>
      </c>
      <c r="AZ35" s="61">
        <f t="shared" si="45"/>
        <v>0</v>
      </c>
      <c r="BA35" s="61">
        <f t="shared" si="45"/>
        <v>0</v>
      </c>
      <c r="BB35" s="61">
        <f t="shared" si="45"/>
        <v>0</v>
      </c>
      <c r="BC35" s="61">
        <f t="shared" si="45"/>
        <v>0</v>
      </c>
      <c r="BD35" s="61">
        <f t="shared" si="45"/>
        <v>0</v>
      </c>
      <c r="BE35" s="61">
        <f t="shared" si="45"/>
        <v>0</v>
      </c>
      <c r="BF35" s="61">
        <f t="shared" si="45"/>
        <v>0</v>
      </c>
      <c r="BG35" s="61">
        <f t="shared" si="45"/>
        <v>0</v>
      </c>
      <c r="BH35" s="61">
        <f t="shared" si="45"/>
        <v>0</v>
      </c>
      <c r="BI35" s="61">
        <f t="shared" si="45"/>
        <v>0</v>
      </c>
      <c r="BJ35" s="61">
        <f t="shared" si="45"/>
        <v>0</v>
      </c>
      <c r="BK35" s="61">
        <f t="shared" si="45"/>
        <v>0</v>
      </c>
      <c r="BL35" s="61">
        <f t="shared" si="45"/>
        <v>0</v>
      </c>
      <c r="BM35" s="61">
        <f t="shared" si="45"/>
        <v>0</v>
      </c>
      <c r="BN35" s="61">
        <f t="shared" si="45"/>
        <v>0</v>
      </c>
      <c r="BO35" s="61">
        <f t="shared" si="45"/>
        <v>0</v>
      </c>
      <c r="BP35" s="61">
        <f t="shared" si="45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278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4"/>
        <v>0</v>
      </c>
      <c r="K36" s="61">
        <f t="shared" si="41"/>
        <v>0</v>
      </c>
      <c r="L36" s="61">
        <f t="shared" si="42"/>
        <v>0</v>
      </c>
      <c r="M36" s="61">
        <f t="shared" si="43"/>
        <v>0</v>
      </c>
      <c r="P36">
        <v>8</v>
      </c>
      <c r="Q36" s="39"/>
      <c r="R36" s="39"/>
      <c r="S36" s="28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30"/>
        <v>0</v>
      </c>
      <c r="AF36" s="61">
        <f t="shared" si="31"/>
        <v>0</v>
      </c>
      <c r="AG36" s="61">
        <f t="shared" si="32"/>
        <v>0</v>
      </c>
      <c r="AH36" s="61">
        <f t="shared" si="33"/>
        <v>0</v>
      </c>
      <c r="AI36" s="61">
        <f t="shared" si="34"/>
        <v>0</v>
      </c>
      <c r="AJ36" s="61">
        <f t="shared" si="35"/>
        <v>0</v>
      </c>
      <c r="AK36"/>
      <c r="AL36" s="61">
        <f t="shared" si="36"/>
        <v>0</v>
      </c>
      <c r="AM36" s="21"/>
      <c r="AN36" s="32"/>
      <c r="AO36" s="72"/>
      <c r="AP36" s="159"/>
      <c r="AQ36" s="159"/>
      <c r="AR36" s="70">
        <v>2</v>
      </c>
      <c r="AS36" s="61">
        <f>IF(AS$4=2,AS$17,0)</f>
        <v>0</v>
      </c>
      <c r="AT36" s="61">
        <f t="shared" ref="AT36:BP36" si="46">IF(AT$4=2,AT$17,0)</f>
        <v>0</v>
      </c>
      <c r="AU36" s="61">
        <f t="shared" si="46"/>
        <v>0</v>
      </c>
      <c r="AV36" s="61">
        <f t="shared" si="46"/>
        <v>0</v>
      </c>
      <c r="AW36" s="61">
        <f t="shared" si="46"/>
        <v>0</v>
      </c>
      <c r="AX36" s="61">
        <f t="shared" si="46"/>
        <v>0</v>
      </c>
      <c r="AY36" s="61">
        <f t="shared" si="46"/>
        <v>0</v>
      </c>
      <c r="AZ36" s="61">
        <f t="shared" si="46"/>
        <v>0</v>
      </c>
      <c r="BA36" s="61">
        <f t="shared" si="46"/>
        <v>0</v>
      </c>
      <c r="BB36" s="61">
        <f t="shared" si="46"/>
        <v>0</v>
      </c>
      <c r="BC36" s="61">
        <f t="shared" si="46"/>
        <v>0</v>
      </c>
      <c r="BD36" s="61">
        <f t="shared" si="46"/>
        <v>0</v>
      </c>
      <c r="BE36" s="61">
        <f t="shared" si="46"/>
        <v>0</v>
      </c>
      <c r="BF36" s="61">
        <f t="shared" si="46"/>
        <v>0</v>
      </c>
      <c r="BG36" s="61">
        <f t="shared" si="46"/>
        <v>0</v>
      </c>
      <c r="BH36" s="61">
        <f t="shared" si="46"/>
        <v>0</v>
      </c>
      <c r="BI36" s="61">
        <f t="shared" si="46"/>
        <v>0</v>
      </c>
      <c r="BJ36" s="61">
        <f t="shared" si="46"/>
        <v>0</v>
      </c>
      <c r="BK36" s="61">
        <f t="shared" si="46"/>
        <v>0</v>
      </c>
      <c r="BL36" s="61">
        <f t="shared" si="46"/>
        <v>0</v>
      </c>
      <c r="BM36" s="61">
        <f t="shared" si="46"/>
        <v>0</v>
      </c>
      <c r="BN36" s="61">
        <f t="shared" si="46"/>
        <v>0</v>
      </c>
      <c r="BO36" s="61">
        <f t="shared" si="46"/>
        <v>0</v>
      </c>
      <c r="BP36" s="61">
        <f t="shared" si="46"/>
        <v>0</v>
      </c>
      <c r="BR36" s="61">
        <f t="shared" ref="BR36:BR40" si="47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4"/>
        <v>0</v>
      </c>
      <c r="K37" s="61">
        <f t="shared" si="41"/>
        <v>0</v>
      </c>
      <c r="L37" s="61">
        <f t="shared" si="42"/>
        <v>0</v>
      </c>
      <c r="M37" s="61">
        <f t="shared" si="43"/>
        <v>0</v>
      </c>
      <c r="O37">
        <f>O30+O51</f>
        <v>15.5</v>
      </c>
      <c r="P37">
        <v>9</v>
      </c>
      <c r="Q37" s="39"/>
      <c r="R37" s="39"/>
      <c r="S37" s="28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30"/>
        <v>0</v>
      </c>
      <c r="AF37" s="61">
        <f t="shared" si="31"/>
        <v>0</v>
      </c>
      <c r="AG37" s="61">
        <f t="shared" si="32"/>
        <v>0</v>
      </c>
      <c r="AH37" s="61">
        <f t="shared" si="33"/>
        <v>0</v>
      </c>
      <c r="AI37" s="61">
        <f t="shared" si="34"/>
        <v>0</v>
      </c>
      <c r="AJ37" s="61">
        <f t="shared" si="35"/>
        <v>0</v>
      </c>
      <c r="AK37"/>
      <c r="AL37" s="61">
        <f t="shared" si="36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8">IF(AT$4=3,AT$17,0)</f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0</v>
      </c>
      <c r="BJ37" s="61">
        <f t="shared" si="48"/>
        <v>0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7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4"/>
        <v>0</v>
      </c>
      <c r="K38" s="61">
        <f t="shared" si="41"/>
        <v>0</v>
      </c>
      <c r="L38" s="61">
        <f t="shared" si="42"/>
        <v>0</v>
      </c>
      <c r="M38" s="61">
        <f t="shared" si="43"/>
        <v>0</v>
      </c>
      <c r="P38">
        <v>10</v>
      </c>
      <c r="Q38" s="39"/>
      <c r="R38" s="39"/>
      <c r="S38" s="28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30"/>
        <v>0</v>
      </c>
      <c r="AF38" s="61">
        <f t="shared" si="31"/>
        <v>0</v>
      </c>
      <c r="AG38" s="61">
        <f t="shared" si="32"/>
        <v>0</v>
      </c>
      <c r="AH38" s="61">
        <f t="shared" si="33"/>
        <v>0</v>
      </c>
      <c r="AI38" s="61">
        <f t="shared" si="34"/>
        <v>0</v>
      </c>
      <c r="AJ38" s="61">
        <f t="shared" si="35"/>
        <v>0</v>
      </c>
      <c r="AK38"/>
      <c r="AL38" s="61">
        <f t="shared" si="36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9">IF(AT$4=4,AT$17,0)</f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7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4"/>
        <v>0</v>
      </c>
      <c r="K39" s="61">
        <f t="shared" si="41"/>
        <v>0</v>
      </c>
      <c r="L39" s="61">
        <f t="shared" si="42"/>
        <v>0</v>
      </c>
      <c r="M39" s="61">
        <f t="shared" si="43"/>
        <v>0</v>
      </c>
      <c r="P39">
        <v>11</v>
      </c>
      <c r="Q39" s="39"/>
      <c r="R39" s="39"/>
      <c r="S39" s="28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30"/>
        <v>0</v>
      </c>
      <c r="AF39" s="61">
        <f t="shared" si="31"/>
        <v>0</v>
      </c>
      <c r="AG39" s="61">
        <f t="shared" si="32"/>
        <v>0</v>
      </c>
      <c r="AH39" s="61">
        <f t="shared" si="33"/>
        <v>0</v>
      </c>
      <c r="AI39" s="61">
        <f t="shared" si="34"/>
        <v>0</v>
      </c>
      <c r="AJ39" s="61">
        <f t="shared" si="35"/>
        <v>0</v>
      </c>
      <c r="AK39"/>
      <c r="AL39" s="61">
        <f t="shared" si="36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50">IF(AT$4=5,AT$17,0)</f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7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4"/>
        <v>0</v>
      </c>
      <c r="K40" s="61">
        <f t="shared" si="41"/>
        <v>0</v>
      </c>
      <c r="L40" s="61">
        <f t="shared" si="42"/>
        <v>0</v>
      </c>
      <c r="M40" s="61">
        <f t="shared" si="43"/>
        <v>0</v>
      </c>
      <c r="P40">
        <v>12</v>
      </c>
      <c r="Q40" s="39"/>
      <c r="R40" s="39"/>
      <c r="S40" s="28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30"/>
        <v>0</v>
      </c>
      <c r="AF40" s="61">
        <f t="shared" si="31"/>
        <v>0</v>
      </c>
      <c r="AG40" s="61">
        <f t="shared" si="32"/>
        <v>0</v>
      </c>
      <c r="AH40" s="61">
        <f t="shared" si="33"/>
        <v>0</v>
      </c>
      <c r="AI40" s="61">
        <f t="shared" si="34"/>
        <v>0</v>
      </c>
      <c r="AJ40" s="61">
        <f t="shared" si="35"/>
        <v>0</v>
      </c>
      <c r="AK40"/>
      <c r="AL40" s="61">
        <f t="shared" si="36"/>
        <v>0</v>
      </c>
      <c r="AM40" s="21"/>
      <c r="AN40" s="32"/>
      <c r="AO40" s="72"/>
      <c r="AP40" s="159"/>
      <c r="AQ40" s="159"/>
      <c r="AR40" s="69">
        <v>6</v>
      </c>
      <c r="AS40" s="61">
        <f>IF(AS$4=6,AS$17,0)</f>
        <v>0</v>
      </c>
      <c r="AT40" s="61">
        <f t="shared" ref="AT40:BP40" si="51">IF(AT$4=6,AT$17,0)</f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7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4"/>
        <v>0</v>
      </c>
      <c r="K41" s="61">
        <f t="shared" si="41"/>
        <v>0</v>
      </c>
      <c r="L41" s="61">
        <f t="shared" si="42"/>
        <v>0</v>
      </c>
      <c r="M41" s="61">
        <f t="shared" si="43"/>
        <v>0</v>
      </c>
      <c r="P41">
        <v>13</v>
      </c>
      <c r="Q41" s="39"/>
      <c r="R41" s="39"/>
      <c r="S41" s="28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30"/>
        <v>0</v>
      </c>
      <c r="AF41" s="61">
        <f t="shared" si="31"/>
        <v>0</v>
      </c>
      <c r="AG41" s="61">
        <f t="shared" si="32"/>
        <v>0</v>
      </c>
      <c r="AH41" s="61">
        <f t="shared" si="33"/>
        <v>0</v>
      </c>
      <c r="AI41" s="61">
        <f t="shared" si="34"/>
        <v>0</v>
      </c>
      <c r="AJ41" s="61">
        <f t="shared" si="35"/>
        <v>0</v>
      </c>
      <c r="AK41"/>
      <c r="AL41" s="61">
        <f t="shared" si="36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4"/>
        <v>0</v>
      </c>
      <c r="K42" s="61">
        <f t="shared" si="41"/>
        <v>0</v>
      </c>
      <c r="L42" s="61">
        <f t="shared" si="42"/>
        <v>0</v>
      </c>
      <c r="M42" s="61">
        <f t="shared" si="43"/>
        <v>0</v>
      </c>
      <c r="P42">
        <v>14</v>
      </c>
      <c r="Q42" s="39"/>
      <c r="R42" s="39"/>
      <c r="S42" s="28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30"/>
        <v>0</v>
      </c>
      <c r="AF42" s="61">
        <f t="shared" si="31"/>
        <v>0</v>
      </c>
      <c r="AG42" s="61">
        <f t="shared" si="32"/>
        <v>0</v>
      </c>
      <c r="AH42" s="61">
        <f t="shared" si="33"/>
        <v>0</v>
      </c>
      <c r="AI42" s="61">
        <f t="shared" si="34"/>
        <v>0</v>
      </c>
      <c r="AJ42" s="61">
        <f t="shared" si="35"/>
        <v>0</v>
      </c>
      <c r="AK42"/>
      <c r="AL42" s="61">
        <f t="shared" si="36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4"/>
        <v>0</v>
      </c>
      <c r="K43" s="61">
        <f t="shared" si="41"/>
        <v>0</v>
      </c>
      <c r="L43" s="61">
        <f t="shared" si="42"/>
        <v>0</v>
      </c>
      <c r="M43" s="61">
        <f t="shared" si="43"/>
        <v>0</v>
      </c>
      <c r="P43">
        <v>15</v>
      </c>
      <c r="Q43" s="39"/>
      <c r="R43" s="39"/>
      <c r="S43" s="28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30"/>
        <v>0</v>
      </c>
      <c r="AF43" s="61">
        <f t="shared" si="31"/>
        <v>0</v>
      </c>
      <c r="AG43" s="61">
        <f t="shared" si="32"/>
        <v>0</v>
      </c>
      <c r="AH43" s="61">
        <f t="shared" si="33"/>
        <v>0</v>
      </c>
      <c r="AI43" s="61">
        <f t="shared" si="34"/>
        <v>0</v>
      </c>
      <c r="AJ43" s="61">
        <f t="shared" si="35"/>
        <v>0</v>
      </c>
      <c r="AK43"/>
      <c r="AL43" s="61">
        <f t="shared" si="36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30"/>
        <v>0</v>
      </c>
      <c r="AF44" s="61">
        <f t="shared" si="31"/>
        <v>0</v>
      </c>
      <c r="AG44" s="61">
        <f t="shared" si="32"/>
        <v>0</v>
      </c>
      <c r="AH44" s="61">
        <f t="shared" si="33"/>
        <v>0</v>
      </c>
      <c r="AI44" s="61">
        <f t="shared" si="34"/>
        <v>0</v>
      </c>
      <c r="AJ44" s="61">
        <f t="shared" si="35"/>
        <v>0</v>
      </c>
      <c r="AK44"/>
      <c r="AL44" s="61">
        <f t="shared" si="36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30"/>
        <v>0</v>
      </c>
      <c r="AF45" s="61">
        <f t="shared" si="31"/>
        <v>0</v>
      </c>
      <c r="AG45" s="61">
        <f t="shared" si="32"/>
        <v>0</v>
      </c>
      <c r="AH45" s="61">
        <f t="shared" si="33"/>
        <v>0</v>
      </c>
      <c r="AI45" s="61">
        <f t="shared" si="34"/>
        <v>0</v>
      </c>
      <c r="AJ45" s="61">
        <f t="shared" si="35"/>
        <v>0</v>
      </c>
      <c r="AK45"/>
      <c r="AL45" s="61">
        <f t="shared" si="36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30"/>
        <v>0</v>
      </c>
      <c r="AF46" s="61">
        <f t="shared" si="31"/>
        <v>0</v>
      </c>
      <c r="AG46" s="61">
        <f t="shared" si="32"/>
        <v>0</v>
      </c>
      <c r="AH46" s="61">
        <f t="shared" si="33"/>
        <v>0</v>
      </c>
      <c r="AI46" s="61">
        <f t="shared" si="34"/>
        <v>0</v>
      </c>
      <c r="AJ46" s="61">
        <f t="shared" si="35"/>
        <v>0</v>
      </c>
      <c r="AK46"/>
      <c r="AL46" s="61">
        <f t="shared" si="36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30"/>
        <v>0</v>
      </c>
      <c r="AF47" s="61">
        <f t="shared" si="31"/>
        <v>0</v>
      </c>
      <c r="AG47" s="61">
        <f t="shared" si="32"/>
        <v>0</v>
      </c>
      <c r="AH47" s="61">
        <f t="shared" si="33"/>
        <v>0</v>
      </c>
      <c r="AI47" s="61">
        <f t="shared" si="34"/>
        <v>0</v>
      </c>
      <c r="AJ47" s="61">
        <f t="shared" si="35"/>
        <v>0</v>
      </c>
      <c r="AK47"/>
      <c r="AL47" s="61">
        <f t="shared" si="36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427</v>
      </c>
      <c r="P48">
        <v>20</v>
      </c>
      <c r="Q48" s="39"/>
      <c r="R48" s="39"/>
      <c r="S48" s="28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30"/>
        <v>0</v>
      </c>
      <c r="AF48" s="61">
        <f t="shared" si="31"/>
        <v>0</v>
      </c>
      <c r="AG48" s="61">
        <f t="shared" si="32"/>
        <v>0</v>
      </c>
      <c r="AH48" s="61">
        <f t="shared" si="33"/>
        <v>0</v>
      </c>
      <c r="AI48" s="61">
        <f t="shared" si="34"/>
        <v>0</v>
      </c>
      <c r="AJ48" s="61">
        <f t="shared" si="35"/>
        <v>0</v>
      </c>
      <c r="AK48"/>
      <c r="AL48" s="61">
        <f t="shared" si="36"/>
        <v>0</v>
      </c>
      <c r="AN48" s="32"/>
      <c r="AT48" s="5"/>
      <c r="AU48" s="21"/>
      <c r="BS48"/>
      <c r="BU48" s="82"/>
    </row>
    <row r="49" spans="5:73" x14ac:dyDescent="0.25">
      <c r="F49" t="s">
        <v>287</v>
      </c>
      <c r="R49" s="58"/>
      <c r="T49" s="139"/>
      <c r="AA49"/>
      <c r="AC49" s="58"/>
      <c r="AE49" s="75">
        <f>SUM(AE29:AE48)</f>
        <v>2.4940000000000002</v>
      </c>
      <c r="AF49" s="75">
        <f t="shared" ref="AF49" si="52">SUM(AF29:AF48)</f>
        <v>2.1</v>
      </c>
      <c r="AG49" s="75">
        <f t="shared" ref="AG49" si="53">SUM(AG29:AG48)</f>
        <v>3.8964000000000003</v>
      </c>
      <c r="AH49" s="75">
        <f t="shared" ref="AH49" si="54">SUM(AH29:AH48)</f>
        <v>1.7690999999999999</v>
      </c>
      <c r="AI49" s="75">
        <f t="shared" ref="AI49" si="55">SUM(AI29:AI48)</f>
        <v>3.4455</v>
      </c>
      <c r="AJ49" s="75">
        <f t="shared" ref="AJ49" si="56">SUM(AJ29:AJ48)</f>
        <v>0</v>
      </c>
      <c r="AK49"/>
      <c r="AL49" s="75">
        <f>SUM(AL29:AL48)</f>
        <v>37.274999999999999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310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272</v>
      </c>
      <c r="O51" s="39">
        <v>10</v>
      </c>
      <c r="P51">
        <v>1</v>
      </c>
      <c r="Q51" s="39">
        <v>47</v>
      </c>
      <c r="R51" s="39">
        <v>10</v>
      </c>
      <c r="S51" s="28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0</v>
      </c>
      <c r="AF51" s="61">
        <f t="shared" ref="AF51:AF70" si="63">$R51*W51</f>
        <v>0</v>
      </c>
      <c r="AG51" s="61">
        <f t="shared" ref="AG51:AG70" si="64">$R51*X51</f>
        <v>0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89</v>
      </c>
      <c r="O52" s="42">
        <f>SUM(R51:R70)</f>
        <v>10</v>
      </c>
      <c r="P52">
        <v>2</v>
      </c>
      <c r="Q52" s="39"/>
      <c r="R52" s="39"/>
      <c r="S52" s="280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8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8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8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8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8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8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8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8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8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0" t="s">
        <v>454</v>
      </c>
      <c r="C66" s="160"/>
      <c r="D66" s="160"/>
      <c r="E66" s="160"/>
      <c r="F66" s="160"/>
      <c r="G66" s="161" t="s">
        <v>455</v>
      </c>
      <c r="H66" s="161"/>
      <c r="P66">
        <v>16</v>
      </c>
      <c r="Q66" s="39"/>
      <c r="R66" s="39"/>
      <c r="S66" s="28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62" t="s">
        <v>456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311</v>
      </c>
      <c r="P69">
        <v>19</v>
      </c>
      <c r="Q69" s="39"/>
      <c r="R69" s="39"/>
      <c r="S69" s="28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418</v>
      </c>
      <c r="P70">
        <v>20</v>
      </c>
      <c r="Q70" s="39"/>
      <c r="R70" s="39"/>
      <c r="S70" s="28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275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417</v>
      </c>
      <c r="AE71" s="75">
        <f t="shared" ref="AE71:AJ71" si="70">SUM(AE51:AE70)</f>
        <v>0</v>
      </c>
      <c r="AF71" s="75">
        <f t="shared" si="70"/>
        <v>0</v>
      </c>
      <c r="AG71" s="75">
        <f t="shared" si="70"/>
        <v>0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30</v>
      </c>
      <c r="E72" s="61">
        <f t="shared" ref="E72:H72" si="71">AF27</f>
        <v>19.5</v>
      </c>
      <c r="F72" s="61">
        <f t="shared" si="71"/>
        <v>21.07</v>
      </c>
      <c r="G72" s="61">
        <f t="shared" si="71"/>
        <v>6.45</v>
      </c>
      <c r="H72" s="61">
        <f t="shared" si="71"/>
        <v>9.0299999999999994</v>
      </c>
      <c r="I72" s="61">
        <f t="shared" ref="I72" si="72">AJ75+AJ97+AJ119</f>
        <v>0</v>
      </c>
      <c r="J72" s="63"/>
      <c r="K72" s="61">
        <f>+K24</f>
        <v>77.64500000000001</v>
      </c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29.675453246880004</v>
      </c>
      <c r="E73" s="61">
        <f>BR20</f>
        <v>17.992391677120004</v>
      </c>
      <c r="F73" s="61">
        <f>BR21</f>
        <v>13.533741648000003</v>
      </c>
      <c r="G73" s="61">
        <f>BR22</f>
        <v>2.2253974960000003</v>
      </c>
      <c r="H73" s="61">
        <f>BR23</f>
        <v>7.457648917600002</v>
      </c>
      <c r="I73" s="61">
        <f>BR60</f>
        <v>0</v>
      </c>
      <c r="J73" s="63"/>
      <c r="K73" s="76">
        <f>+K25</f>
        <v>127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0.32454675311999637</v>
      </c>
      <c r="E75" s="93">
        <f t="shared" ref="E75:I75" si="73">E72-E73</f>
        <v>1.5076083228799959</v>
      </c>
      <c r="F75" s="93">
        <f t="shared" si="73"/>
        <v>7.5362583519999973</v>
      </c>
      <c r="G75" s="93">
        <f t="shared" si="73"/>
        <v>4.2246025039999999</v>
      </c>
      <c r="H75" s="93">
        <f t="shared" si="73"/>
        <v>1.5723510823999973</v>
      </c>
      <c r="I75" s="93">
        <f t="shared" si="73"/>
        <v>0</v>
      </c>
      <c r="J75" s="63"/>
      <c r="K75" s="93">
        <f>+K27</f>
        <v>-49.35499999999999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2"/>
      <c r="AK78"/>
      <c r="AN78" s="32"/>
      <c r="AT78" s="5"/>
      <c r="AU78" s="5"/>
      <c r="BS78"/>
      <c r="BU78" s="82"/>
    </row>
    <row r="79" spans="2:73" x14ac:dyDescent="0.25">
      <c r="B79" s="162" t="s">
        <v>457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275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2.4940000000000002</v>
      </c>
      <c r="E82" s="61">
        <f t="shared" ref="E82:H82" si="74">AF49</f>
        <v>2.1</v>
      </c>
      <c r="F82" s="61">
        <f t="shared" si="74"/>
        <v>3.8964000000000003</v>
      </c>
      <c r="G82" s="61">
        <f t="shared" si="74"/>
        <v>1.7690999999999999</v>
      </c>
      <c r="H82" s="61">
        <f t="shared" si="74"/>
        <v>3.4455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2.3080803200000002</v>
      </c>
      <c r="E83" s="61">
        <f>BR28</f>
        <v>0.78626912000000004</v>
      </c>
      <c r="F83" s="61">
        <f>BR29</f>
        <v>0</v>
      </c>
      <c r="G83" s="61">
        <f>BR30</f>
        <v>0.60482240000000009</v>
      </c>
      <c r="H83" s="61">
        <f>BR31</f>
        <v>1.3325603200000002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0.18591968000000003</v>
      </c>
      <c r="E85" s="93">
        <f t="shared" ref="E85:H85" si="75">E82-E83</f>
        <v>1.31373088</v>
      </c>
      <c r="F85" s="93">
        <f t="shared" si="75"/>
        <v>3.8964000000000003</v>
      </c>
      <c r="G85" s="93">
        <f t="shared" si="75"/>
        <v>1.1642775999999997</v>
      </c>
      <c r="H85" s="93">
        <f t="shared" si="75"/>
        <v>2.1129396799999998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456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2" t="s">
        <v>458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275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6">AF71</f>
        <v>0</v>
      </c>
      <c r="F92" s="61">
        <f t="shared" si="76"/>
        <v>0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7">E92-E93</f>
        <v>0</v>
      </c>
      <c r="F95" s="93">
        <f t="shared" si="77"/>
        <v>0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7"/>
  <sheetViews>
    <sheetView topLeftCell="A13" workbookViewId="0">
      <selection activeCell="B23" sqref="B23"/>
    </sheetView>
  </sheetViews>
  <sheetFormatPr baseColWidth="10" defaultRowHeight="15" x14ac:dyDescent="0.25"/>
  <cols>
    <col min="1" max="1" width="21" customWidth="1"/>
    <col min="2" max="2" width="23.85546875" customWidth="1"/>
    <col min="3" max="3" width="7.140625" customWidth="1"/>
    <col min="4" max="4" width="6.28515625" customWidth="1"/>
    <col min="5" max="5" width="12.5703125" customWidth="1"/>
    <col min="6" max="6" width="12.5703125" bestFit="1" customWidth="1"/>
  </cols>
  <sheetData>
    <row r="3" spans="1:2" x14ac:dyDescent="0.25">
      <c r="A3" s="276" t="s">
        <v>1423</v>
      </c>
      <c r="B3" t="s">
        <v>1426</v>
      </c>
    </row>
    <row r="4" spans="1:2" x14ac:dyDescent="0.25">
      <c r="A4" s="15" t="s">
        <v>1424</v>
      </c>
      <c r="B4" s="277">
        <v>37.92</v>
      </c>
    </row>
    <row r="5" spans="1:2" x14ac:dyDescent="0.25">
      <c r="A5" s="15" t="s">
        <v>1427</v>
      </c>
      <c r="B5" s="277">
        <v>31.120000000000005</v>
      </c>
    </row>
    <row r="6" spans="1:2" x14ac:dyDescent="0.25">
      <c r="A6" s="15" t="s">
        <v>1428</v>
      </c>
      <c r="B6" s="277">
        <v>3.8</v>
      </c>
    </row>
    <row r="7" spans="1:2" x14ac:dyDescent="0.25">
      <c r="A7" s="15" t="s">
        <v>511</v>
      </c>
      <c r="B7" s="277">
        <v>0.6</v>
      </c>
    </row>
    <row r="8" spans="1:2" x14ac:dyDescent="0.25">
      <c r="A8" s="15" t="s">
        <v>1425</v>
      </c>
      <c r="B8" s="277">
        <v>73.44</v>
      </c>
    </row>
    <row r="19" spans="1:5" x14ac:dyDescent="0.25">
      <c r="A19" s="276" t="s">
        <v>1426</v>
      </c>
      <c r="B19" s="276" t="s">
        <v>1429</v>
      </c>
    </row>
    <row r="20" spans="1:5" x14ac:dyDescent="0.25">
      <c r="A20" s="276" t="s">
        <v>1423</v>
      </c>
      <c r="B20" t="s">
        <v>465</v>
      </c>
      <c r="C20" t="s">
        <v>447</v>
      </c>
      <c r="D20" t="s">
        <v>1424</v>
      </c>
      <c r="E20" t="s">
        <v>1425</v>
      </c>
    </row>
    <row r="21" spans="1:5" x14ac:dyDescent="0.25">
      <c r="A21" s="15">
        <v>265</v>
      </c>
      <c r="B21" s="277">
        <v>1.4</v>
      </c>
      <c r="C21" s="277">
        <v>4.9000000000000004</v>
      </c>
      <c r="D21" s="277"/>
      <c r="E21" s="277">
        <v>6.3000000000000007</v>
      </c>
    </row>
    <row r="22" spans="1:5" x14ac:dyDescent="0.25">
      <c r="A22" s="15">
        <v>266</v>
      </c>
      <c r="B22" s="277">
        <v>1</v>
      </c>
      <c r="C22" s="277">
        <v>5.5</v>
      </c>
      <c r="D22" s="277"/>
      <c r="E22" s="277">
        <v>6.5</v>
      </c>
    </row>
    <row r="23" spans="1:5" x14ac:dyDescent="0.25">
      <c r="A23" s="15" t="s">
        <v>1424</v>
      </c>
      <c r="B23" s="277">
        <v>3.8</v>
      </c>
      <c r="C23" s="277"/>
      <c r="D23" s="277"/>
      <c r="E23" s="277">
        <v>3.8</v>
      </c>
    </row>
    <row r="24" spans="1:5" x14ac:dyDescent="0.25">
      <c r="A24" s="15">
        <v>269</v>
      </c>
      <c r="B24" s="277">
        <v>1.8</v>
      </c>
      <c r="C24" s="277"/>
      <c r="D24" s="277"/>
      <c r="E24" s="277">
        <v>1.8</v>
      </c>
    </row>
    <row r="25" spans="1:5" x14ac:dyDescent="0.25">
      <c r="A25" s="15">
        <v>194</v>
      </c>
      <c r="B25" s="277">
        <v>1.3</v>
      </c>
      <c r="C25" s="277"/>
      <c r="D25" s="277"/>
      <c r="E25" s="277">
        <v>1.3</v>
      </c>
    </row>
    <row r="26" spans="1:5" x14ac:dyDescent="0.25">
      <c r="A26" s="15">
        <v>264</v>
      </c>
      <c r="B26" s="277"/>
      <c r="C26" s="277">
        <v>2.5</v>
      </c>
      <c r="D26" s="277"/>
      <c r="E26" s="277">
        <v>2.5</v>
      </c>
    </row>
    <row r="27" spans="1:5" x14ac:dyDescent="0.25">
      <c r="A27" s="15" t="s">
        <v>1425</v>
      </c>
      <c r="B27" s="277">
        <v>9.2999999999999989</v>
      </c>
      <c r="C27" s="277">
        <v>12.9</v>
      </c>
      <c r="D27" s="277"/>
      <c r="E27" s="277">
        <v>22.200000000000003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zoomScale="80" zoomScaleNormal="80" workbookViewId="0">
      <selection activeCell="O2" sqref="O2:Q23"/>
    </sheetView>
  </sheetViews>
  <sheetFormatPr baseColWidth="10" defaultRowHeight="15" x14ac:dyDescent="0.25"/>
  <cols>
    <col min="5" max="5" width="20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1430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334</v>
      </c>
      <c r="Q1" s="25" t="s">
        <v>335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/>
      <c r="C2" s="9"/>
      <c r="D2" s="9"/>
      <c r="E2" s="9"/>
      <c r="F2" s="9"/>
      <c r="G2" s="9"/>
      <c r="H2" s="9"/>
      <c r="I2" s="9"/>
      <c r="J2" s="9"/>
      <c r="K2" s="8" t="str">
        <f>IF(B2=2,0,IF(I2=$Y$10,G2*$AB$10,IF(I2=$Y$11,G2*$AB$11,IF(I2=$Y$12,G2*$AB$12,""))))</f>
        <v/>
      </c>
      <c r="L2" s="8" t="e">
        <f t="shared" ref="L2:L37" si="0">IF(J2=$Y$5,K2*$AA$5,IF(J2=$Y$6,K2*$AA$6,IF(J2=$Y$7,K2*$AA$7,"")))</f>
        <v>#VALUE!</v>
      </c>
      <c r="M2" s="10" t="e">
        <f>IF(I2=$Y$10,SQRT(L2*10000),SQRT(Parcellaire!L2*10000)/$AC$11)</f>
        <v>#VALUE!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 t="e">
        <f>(M2*O2)-(M2*Q2)/2</f>
        <v>#VALUE!</v>
      </c>
      <c r="U2" s="10">
        <f>IF(C2=2,Q2*M2,0)</f>
        <v>0</v>
      </c>
      <c r="V2" s="27" t="e">
        <f>O2*M2</f>
        <v>#VALUE!</v>
      </c>
      <c r="W2" s="3"/>
      <c r="X2" s="3"/>
    </row>
    <row r="3" spans="1:29" ht="15" customHeight="1" x14ac:dyDescent="0.25">
      <c r="A3" s="8">
        <v>2</v>
      </c>
      <c r="B3" s="9"/>
      <c r="C3" s="9"/>
      <c r="D3" s="9"/>
      <c r="E3" s="9"/>
      <c r="F3" s="9"/>
      <c r="G3" s="9"/>
      <c r="H3" s="9"/>
      <c r="I3" s="9"/>
      <c r="J3" s="9"/>
      <c r="K3" s="8" t="str">
        <f t="shared" ref="K3:K21" si="1">IF(B3=2,0,IF(I3=$Y$10,G3*$AB$10,IF(I3=$Y$11,G3*$AB$11,IF(I3=$Y$12,G3*$AB$12,""))))</f>
        <v/>
      </c>
      <c r="L3" s="8" t="e">
        <f t="shared" ref="L3:L21" si="2">IF(J3=$Y$5,K3*$AA$5,IF(J3=$Y$6,K3*$AA$6,IF(J3=$Y$7,K3*$AA$7,"")))</f>
        <v>#VALUE!</v>
      </c>
      <c r="M3" s="10" t="e">
        <f>IF(I3=$Y$10,SQRT(L3*10000),SQRT(Parcellaire!L3*10000)/$AC$11)</f>
        <v>#VALUE!</v>
      </c>
      <c r="N3" s="10">
        <f t="shared" ref="N3:N21" si="3">IF(I3=1,4,6)</f>
        <v>6</v>
      </c>
      <c r="O3" s="24"/>
      <c r="P3" s="26"/>
      <c r="Q3" s="155"/>
      <c r="R3" s="10">
        <f t="shared" ref="R3:R37" si="4">IF(C3=1,O3*M3,0)</f>
        <v>0</v>
      </c>
      <c r="S3" s="10">
        <f t="shared" ref="S3:S37" si="5">IF(C3=1,P3*M3,0)</f>
        <v>0</v>
      </c>
      <c r="T3" s="10" t="e">
        <f t="shared" ref="T3:T63" si="6">(M3*O3)-(M3*Q3)/2</f>
        <v>#VALUE!</v>
      </c>
      <c r="U3" s="10">
        <f t="shared" ref="U3:U37" si="7">IF(C3=2,Q3*M3,0)</f>
        <v>0</v>
      </c>
      <c r="V3" s="27" t="e">
        <f t="shared" ref="V3:V37" si="8">O3*M3</f>
        <v>#VALUE!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465</v>
      </c>
      <c r="E4" s="9" t="s">
        <v>1427</v>
      </c>
      <c r="F4" s="157">
        <v>269</v>
      </c>
      <c r="G4" s="157">
        <v>1.8</v>
      </c>
      <c r="H4" s="157"/>
      <c r="I4" s="9">
        <v>3</v>
      </c>
      <c r="J4" s="9">
        <v>0</v>
      </c>
      <c r="K4" s="8">
        <f t="shared" si="1"/>
        <v>1.9800000000000002</v>
      </c>
      <c r="L4" s="8">
        <f t="shared" si="2"/>
        <v>1.9800000000000002</v>
      </c>
      <c r="M4" s="10">
        <f>IF(I4=$Y$10,SQRT(L4*10000),SQRT(Parcellaire!L4*10000)/$AC$11)</f>
        <v>99.498743710661998</v>
      </c>
      <c r="N4" s="10">
        <f t="shared" si="3"/>
        <v>6</v>
      </c>
      <c r="O4" s="24">
        <v>6</v>
      </c>
      <c r="P4" s="26"/>
      <c r="Q4" s="155">
        <v>2</v>
      </c>
      <c r="R4" s="10">
        <f t="shared" si="4"/>
        <v>0</v>
      </c>
      <c r="S4" s="10">
        <f t="shared" si="5"/>
        <v>0</v>
      </c>
      <c r="T4" s="10">
        <f t="shared" si="6"/>
        <v>497.49371855331003</v>
      </c>
      <c r="U4" s="10">
        <f>IF(C4=2,Q4*M4,0)</f>
        <v>198.997487421324</v>
      </c>
      <c r="V4" s="27">
        <f t="shared" si="8"/>
        <v>596.99246226397202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157"/>
      <c r="G5" s="157"/>
      <c r="H5" s="157"/>
      <c r="I5" s="9"/>
      <c r="J5" s="9"/>
      <c r="K5" s="8" t="str">
        <f t="shared" si="1"/>
        <v/>
      </c>
      <c r="L5" s="8" t="e">
        <f t="shared" si="2"/>
        <v>#VALUE!</v>
      </c>
      <c r="M5" s="10" t="e">
        <f>IF(I5=$Y$10,SQRT(L5*10000),SQRT(Parcellaire!L5*10000)/$AC$11)</f>
        <v>#VALUE!</v>
      </c>
      <c r="N5" s="10">
        <f t="shared" si="3"/>
        <v>6</v>
      </c>
      <c r="O5" s="24">
        <v>6</v>
      </c>
      <c r="P5" s="26"/>
      <c r="Q5" s="155">
        <v>2</v>
      </c>
      <c r="R5" s="10">
        <f t="shared" si="4"/>
        <v>0</v>
      </c>
      <c r="S5" s="10">
        <f t="shared" si="5"/>
        <v>0</v>
      </c>
      <c r="T5" s="10" t="e">
        <f t="shared" si="6"/>
        <v>#VALUE!</v>
      </c>
      <c r="U5" s="10">
        <f t="shared" si="7"/>
        <v>0</v>
      </c>
      <c r="V5" s="27" t="e">
        <f t="shared" si="8"/>
        <v>#VALUE!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/>
      <c r="C6" s="9"/>
      <c r="D6" s="9"/>
      <c r="E6" s="9"/>
      <c r="F6" s="157"/>
      <c r="G6" s="157"/>
      <c r="H6" s="157"/>
      <c r="I6" s="9"/>
      <c r="J6" s="9"/>
      <c r="K6" s="8" t="str">
        <f t="shared" si="1"/>
        <v/>
      </c>
      <c r="L6" s="8" t="e">
        <f t="shared" si="2"/>
        <v>#VALUE!</v>
      </c>
      <c r="M6" s="10" t="e">
        <f>IF(I6=$Y$10,SQRT(L6*10000),SQRT(Parcellaire!L6*10000)/$AC$11)</f>
        <v>#VALUE!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 t="e">
        <f t="shared" si="6"/>
        <v>#VALUE!</v>
      </c>
      <c r="U6" s="10">
        <f t="shared" si="7"/>
        <v>0</v>
      </c>
      <c r="V6" s="27" t="e">
        <f t="shared" si="8"/>
        <v>#VALUE!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/>
      <c r="C7" s="9"/>
      <c r="D7" s="9"/>
      <c r="E7" s="9"/>
      <c r="F7" s="157"/>
      <c r="G7" s="157"/>
      <c r="H7" s="157"/>
      <c r="I7" s="9"/>
      <c r="J7" s="9"/>
      <c r="K7" s="8" t="str">
        <f t="shared" si="1"/>
        <v/>
      </c>
      <c r="L7" s="8" t="e">
        <f t="shared" si="2"/>
        <v>#VALUE!</v>
      </c>
      <c r="M7" s="10" t="e">
        <f>IF(I7=$Y$10,SQRT(L7*10000),SQRT(Parcellaire!L7*10000)/$AC$11)</f>
        <v>#VALUE!</v>
      </c>
      <c r="N7" s="10">
        <f t="shared" si="3"/>
        <v>6</v>
      </c>
      <c r="O7" s="24">
        <v>0</v>
      </c>
      <c r="P7" s="26"/>
      <c r="Q7" s="155">
        <v>0</v>
      </c>
      <c r="R7" s="10">
        <f>IF(C7=1,O7*M7,0)</f>
        <v>0</v>
      </c>
      <c r="S7" s="10">
        <f t="shared" si="5"/>
        <v>0</v>
      </c>
      <c r="T7" s="10" t="e">
        <f t="shared" si="6"/>
        <v>#VALUE!</v>
      </c>
      <c r="U7" s="10">
        <f t="shared" si="7"/>
        <v>0</v>
      </c>
      <c r="V7" s="27" t="e">
        <f t="shared" si="8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465</v>
      </c>
      <c r="E8" s="9" t="s">
        <v>1427</v>
      </c>
      <c r="F8" s="157">
        <v>194</v>
      </c>
      <c r="G8" s="157">
        <v>2.7</v>
      </c>
      <c r="H8" s="157">
        <v>1.3</v>
      </c>
      <c r="I8" s="9">
        <v>2</v>
      </c>
      <c r="J8" s="9">
        <v>0</v>
      </c>
      <c r="K8" s="8">
        <f t="shared" si="1"/>
        <v>2.7</v>
      </c>
      <c r="L8" s="8">
        <f t="shared" si="2"/>
        <v>2.7</v>
      </c>
      <c r="M8" s="10">
        <f>IF(I8=$Y$10,SQRT(L8*10000),SQRT(Parcellaire!L8*10000)/$AC$11)</f>
        <v>116.18950038622251</v>
      </c>
      <c r="N8" s="10">
        <f t="shared" si="3"/>
        <v>6</v>
      </c>
      <c r="O8" s="24">
        <v>6</v>
      </c>
      <c r="P8" s="26"/>
      <c r="Q8" s="155">
        <v>4</v>
      </c>
      <c r="R8" s="10">
        <f t="shared" si="4"/>
        <v>0</v>
      </c>
      <c r="S8" s="10">
        <f t="shared" si="5"/>
        <v>0</v>
      </c>
      <c r="T8" s="10">
        <f t="shared" si="6"/>
        <v>464.75800154489002</v>
      </c>
      <c r="U8" s="10">
        <f t="shared" si="7"/>
        <v>464.75800154489002</v>
      </c>
      <c r="V8" s="27">
        <f t="shared" si="8"/>
        <v>697.13700231733503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465</v>
      </c>
      <c r="E9" s="9" t="s">
        <v>1427</v>
      </c>
      <c r="F9" s="157">
        <v>265</v>
      </c>
      <c r="G9" s="157"/>
      <c r="H9" s="157">
        <v>1.4</v>
      </c>
      <c r="I9" s="9">
        <v>2</v>
      </c>
      <c r="J9" s="9">
        <v>1</v>
      </c>
      <c r="K9" s="8">
        <f t="shared" si="1"/>
        <v>0</v>
      </c>
      <c r="L9" s="8">
        <f t="shared" si="2"/>
        <v>0</v>
      </c>
      <c r="M9" s="10">
        <f>IF(I9=$Y$10,SQRT(L9*10000),SQRT(Parcellaire!L9*10000)/$AC$11)</f>
        <v>0</v>
      </c>
      <c r="N9" s="10">
        <f t="shared" si="3"/>
        <v>6</v>
      </c>
      <c r="O9" s="24">
        <v>0</v>
      </c>
      <c r="P9" s="26"/>
      <c r="Q9" s="155"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10">
        <f t="shared" si="7"/>
        <v>0</v>
      </c>
      <c r="V9" s="27">
        <f t="shared" si="8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/>
      <c r="C10" s="9"/>
      <c r="D10" s="9"/>
      <c r="E10" s="9"/>
      <c r="F10" s="157"/>
      <c r="G10" s="157"/>
      <c r="H10" s="157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/>
      <c r="P10" s="26"/>
      <c r="Q10" s="155"/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465</v>
      </c>
      <c r="E11" s="9" t="s">
        <v>1427</v>
      </c>
      <c r="F11" s="157">
        <v>266</v>
      </c>
      <c r="G11" s="157">
        <v>1</v>
      </c>
      <c r="H11" s="157"/>
      <c r="I11" s="9">
        <v>3</v>
      </c>
      <c r="J11" s="9">
        <v>0</v>
      </c>
      <c r="K11" s="8">
        <f t="shared" si="1"/>
        <v>1.1000000000000001</v>
      </c>
      <c r="L11" s="8">
        <f t="shared" si="2"/>
        <v>1.1000000000000001</v>
      </c>
      <c r="M11" s="10">
        <f>IF(I11=$Y$10,SQRT(L11*10000),SQRT(Parcellaire!L11*10000)/$AC$11)</f>
        <v>74.16198487095663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>
        <f t="shared" si="6"/>
        <v>333.72893191930484</v>
      </c>
      <c r="U11" s="10">
        <f t="shared" si="7"/>
        <v>222.48595461286988</v>
      </c>
      <c r="V11" s="27">
        <f t="shared" si="8"/>
        <v>444.97190922573975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0</v>
      </c>
      <c r="D12" s="9" t="s">
        <v>465</v>
      </c>
      <c r="E12" s="9" t="s">
        <v>1428</v>
      </c>
      <c r="F12" s="9"/>
      <c r="G12" s="274">
        <v>10</v>
      </c>
      <c r="H12" s="274"/>
      <c r="I12" s="9">
        <v>3</v>
      </c>
      <c r="J12" s="9">
        <v>1</v>
      </c>
      <c r="K12" s="8">
        <f t="shared" si="1"/>
        <v>0</v>
      </c>
      <c r="L12" s="8">
        <f t="shared" si="2"/>
        <v>0</v>
      </c>
      <c r="M12" s="10">
        <f>IF(I12=$Y$10,SQRT(L12*10000),SQRT(Parcellaire!L12*10000)/$AC$11)</f>
        <v>0</v>
      </c>
      <c r="N12" s="10">
        <f t="shared" si="3"/>
        <v>6</v>
      </c>
      <c r="O12" s="24">
        <v>6</v>
      </c>
      <c r="P12" s="26"/>
      <c r="Q12" s="155">
        <v>2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10">
        <f t="shared" si="7"/>
        <v>0</v>
      </c>
      <c r="V12" s="27">
        <f t="shared" si="8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9"/>
      <c r="K13" s="8" t="str">
        <f t="shared" si="1"/>
        <v/>
      </c>
      <c r="L13" s="8" t="e">
        <f t="shared" si="2"/>
        <v>#VALUE!</v>
      </c>
      <c r="M13" s="10" t="e">
        <f>IF(I13=$Y$10,SQRT(L13*10000),SQRT(Parcellaire!L13*10000)/$AC$11)</f>
        <v>#VALUE!</v>
      </c>
      <c r="N13" s="10">
        <f t="shared" si="3"/>
        <v>6</v>
      </c>
      <c r="O13" s="24">
        <v>6</v>
      </c>
      <c r="P13" s="26"/>
      <c r="Q13" s="155">
        <v>4</v>
      </c>
      <c r="R13" s="10">
        <f t="shared" si="4"/>
        <v>0</v>
      </c>
      <c r="S13" s="10">
        <f t="shared" si="5"/>
        <v>0</v>
      </c>
      <c r="T13" s="10" t="e">
        <f t="shared" si="6"/>
        <v>#VALUE!</v>
      </c>
      <c r="U13" s="10">
        <f t="shared" si="7"/>
        <v>0</v>
      </c>
      <c r="V13" s="27" t="e">
        <f t="shared" si="8"/>
        <v>#VALUE!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447</v>
      </c>
      <c r="E14" s="9" t="s">
        <v>1427</v>
      </c>
      <c r="F14" s="9">
        <v>266</v>
      </c>
      <c r="G14" s="9">
        <v>5</v>
      </c>
      <c r="H14" s="9"/>
      <c r="I14" s="9">
        <v>3</v>
      </c>
      <c r="J14" s="9">
        <v>1</v>
      </c>
      <c r="K14" s="8">
        <f t="shared" si="1"/>
        <v>5.5</v>
      </c>
      <c r="L14" s="8">
        <f t="shared" si="2"/>
        <v>6.6</v>
      </c>
      <c r="M14" s="10">
        <f>IF(I14=$Y$10,SQRT(L14*10000),SQRT(Parcellaire!L14*10000)/$AC$11)</f>
        <v>181.65902124584952</v>
      </c>
      <c r="N14" s="10">
        <f t="shared" si="3"/>
        <v>6</v>
      </c>
      <c r="O14" s="24">
        <v>6</v>
      </c>
      <c r="P14" s="26"/>
      <c r="Q14" s="155">
        <v>3</v>
      </c>
      <c r="R14" s="10">
        <f t="shared" si="4"/>
        <v>0</v>
      </c>
      <c r="S14" s="10">
        <f t="shared" si="5"/>
        <v>0</v>
      </c>
      <c r="T14" s="10">
        <f t="shared" si="6"/>
        <v>817.46559560632272</v>
      </c>
      <c r="U14" s="10">
        <f t="shared" si="7"/>
        <v>544.97706373754852</v>
      </c>
      <c r="V14" s="27">
        <f t="shared" si="8"/>
        <v>1089.954127475097</v>
      </c>
      <c r="W14" s="3"/>
      <c r="X14" s="3"/>
    </row>
    <row r="15" spans="1:29" ht="15" customHeight="1" x14ac:dyDescent="0.25">
      <c r="A15" s="8" t="s">
        <v>441</v>
      </c>
      <c r="B15" s="9">
        <v>1</v>
      </c>
      <c r="C15" s="9">
        <v>2</v>
      </c>
      <c r="D15" s="9" t="s">
        <v>447</v>
      </c>
      <c r="E15" s="9" t="s">
        <v>1427</v>
      </c>
      <c r="F15" s="9">
        <v>265</v>
      </c>
      <c r="G15" s="9">
        <v>3</v>
      </c>
      <c r="H15" s="9">
        <v>1.5</v>
      </c>
      <c r="I15" s="9">
        <v>3</v>
      </c>
      <c r="J15" s="9">
        <v>1</v>
      </c>
      <c r="K15" s="8">
        <f t="shared" si="1"/>
        <v>3.3000000000000003</v>
      </c>
      <c r="L15" s="8">
        <f t="shared" si="2"/>
        <v>3.96</v>
      </c>
      <c r="M15" s="10">
        <f>IF(I15=$Y$10,SQRT(L15*10000),SQRT(Parcellaire!L15*10000)/$AC$11)</f>
        <v>140.71247279470288</v>
      </c>
      <c r="N15" s="10">
        <f t="shared" si="3"/>
        <v>6</v>
      </c>
      <c r="O15" s="24">
        <v>6</v>
      </c>
      <c r="P15" s="26"/>
      <c r="Q15" s="155">
        <v>1</v>
      </c>
      <c r="R15" s="10">
        <f t="shared" si="4"/>
        <v>0</v>
      </c>
      <c r="S15" s="10">
        <f t="shared" si="5"/>
        <v>0</v>
      </c>
      <c r="T15" s="10">
        <f t="shared" si="6"/>
        <v>773.91860037086576</v>
      </c>
      <c r="U15" s="10">
        <f t="shared" si="7"/>
        <v>140.71247279470288</v>
      </c>
      <c r="V15" s="27">
        <f t="shared" si="8"/>
        <v>844.27483676821726</v>
      </c>
      <c r="W15" s="3"/>
      <c r="X15" s="3"/>
      <c r="Z15" s="8" t="s">
        <v>41</v>
      </c>
    </row>
    <row r="16" spans="1:29" ht="15" customHeight="1" x14ac:dyDescent="0.25">
      <c r="A16" s="8" t="s">
        <v>442</v>
      </c>
      <c r="B16" s="9">
        <v>1</v>
      </c>
      <c r="C16" s="9">
        <v>2</v>
      </c>
      <c r="D16" s="9" t="s">
        <v>447</v>
      </c>
      <c r="E16" s="9" t="s">
        <v>1427</v>
      </c>
      <c r="F16" s="9">
        <v>264</v>
      </c>
      <c r="G16" s="9"/>
      <c r="H16" s="9">
        <v>1.5</v>
      </c>
      <c r="I16" s="9">
        <v>3</v>
      </c>
      <c r="J16" s="9">
        <v>0</v>
      </c>
      <c r="K16" s="8">
        <f t="shared" si="1"/>
        <v>0</v>
      </c>
      <c r="L16" s="8">
        <f t="shared" si="2"/>
        <v>0</v>
      </c>
      <c r="M16" s="10">
        <f>IF(I16=$Y$10,SQRT(L16*10000),SQRT(Parcellaire!L16*10000)/$AC$11)</f>
        <v>0</v>
      </c>
      <c r="N16" s="10">
        <f t="shared" si="3"/>
        <v>6</v>
      </c>
      <c r="O16" s="24">
        <v>0</v>
      </c>
      <c r="P16" s="26"/>
      <c r="Q16" s="155">
        <v>0</v>
      </c>
      <c r="R16" s="10">
        <f t="shared" si="4"/>
        <v>0</v>
      </c>
      <c r="S16" s="10">
        <f t="shared" si="5"/>
        <v>0</v>
      </c>
      <c r="T16" s="10">
        <f t="shared" si="6"/>
        <v>0</v>
      </c>
      <c r="U16" s="10">
        <f t="shared" si="7"/>
        <v>0</v>
      </c>
      <c r="V16" s="27">
        <f t="shared" si="8"/>
        <v>0</v>
      </c>
      <c r="W16" s="3"/>
      <c r="X16" s="3"/>
      <c r="Y16" s="8">
        <v>1</v>
      </c>
      <c r="Z16" s="138" t="s">
        <v>336</v>
      </c>
      <c r="AA16" s="134" t="s">
        <v>327</v>
      </c>
      <c r="AB16" t="s">
        <v>51</v>
      </c>
    </row>
    <row r="17" spans="1:28" ht="15" customHeight="1" x14ac:dyDescent="0.25">
      <c r="A17" s="8" t="s">
        <v>443</v>
      </c>
      <c r="B17" s="9">
        <v>1</v>
      </c>
      <c r="C17" s="9">
        <v>2</v>
      </c>
      <c r="D17" s="9" t="s">
        <v>447</v>
      </c>
      <c r="E17" s="9" t="s">
        <v>1427</v>
      </c>
      <c r="F17" s="9">
        <v>265</v>
      </c>
      <c r="G17" s="9">
        <v>2.5</v>
      </c>
      <c r="H17" s="9">
        <v>1.4</v>
      </c>
      <c r="I17" s="9">
        <v>3</v>
      </c>
      <c r="J17" s="9">
        <v>1</v>
      </c>
      <c r="K17" s="8">
        <f t="shared" si="1"/>
        <v>2.75</v>
      </c>
      <c r="L17" s="8">
        <f t="shared" si="2"/>
        <v>3.3</v>
      </c>
      <c r="M17" s="10">
        <f>IF(I17=$Y$10,SQRT(L17*10000),SQRT(Parcellaire!L17*10000)/$AC$11)</f>
        <v>128.45232578665127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642.26162893325636</v>
      </c>
      <c r="U17" s="10">
        <f t="shared" si="7"/>
        <v>256.90465157330254</v>
      </c>
      <c r="V17" s="27">
        <f t="shared" si="8"/>
        <v>770.71395471990763</v>
      </c>
      <c r="W17" s="3"/>
      <c r="X17" s="3"/>
      <c r="Y17" s="8">
        <v>2</v>
      </c>
      <c r="Z17" s="138" t="s">
        <v>337</v>
      </c>
      <c r="AA17" s="136">
        <f>T64</f>
        <v>4437.8364231252208</v>
      </c>
      <c r="AB17" t="s">
        <v>42</v>
      </c>
    </row>
    <row r="18" spans="1:28" ht="15" customHeight="1" x14ac:dyDescent="0.25">
      <c r="A18" s="8" t="s">
        <v>444</v>
      </c>
      <c r="B18" s="9">
        <v>1</v>
      </c>
      <c r="C18" s="9">
        <v>2</v>
      </c>
      <c r="D18" s="9" t="s">
        <v>447</v>
      </c>
      <c r="E18" s="9" t="s">
        <v>1427</v>
      </c>
      <c r="F18" s="9">
        <v>265</v>
      </c>
      <c r="G18" s="274"/>
      <c r="H18" s="274">
        <v>1.1000000000000001</v>
      </c>
      <c r="I18" s="9">
        <v>2</v>
      </c>
      <c r="J18" s="9">
        <v>1</v>
      </c>
      <c r="K18" s="8">
        <f t="shared" si="1"/>
        <v>0</v>
      </c>
      <c r="L18" s="8">
        <f t="shared" si="2"/>
        <v>0</v>
      </c>
      <c r="M18" s="10">
        <f>IF(I18=$Y$10,SQRT(L18*10000),SQRT(Parcellaire!L18*10000)/$AC$11)</f>
        <v>0</v>
      </c>
      <c r="N18" s="10">
        <f t="shared" si="3"/>
        <v>6</v>
      </c>
      <c r="O18" s="24">
        <v>0</v>
      </c>
      <c r="P18" s="26"/>
      <c r="Q18" s="155">
        <v>0</v>
      </c>
      <c r="R18" s="10">
        <f t="shared" si="4"/>
        <v>0</v>
      </c>
      <c r="S18" s="10">
        <f t="shared" si="5"/>
        <v>0</v>
      </c>
      <c r="T18" s="10">
        <f t="shared" si="6"/>
        <v>0</v>
      </c>
      <c r="U18" s="10">
        <f t="shared" si="7"/>
        <v>0</v>
      </c>
      <c r="V18" s="27">
        <f t="shared" si="8"/>
        <v>0</v>
      </c>
      <c r="W18" s="3"/>
      <c r="X18" s="3"/>
      <c r="Y18" s="8">
        <v>3</v>
      </c>
      <c r="Z18" s="138" t="s">
        <v>338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/>
      <c r="D19" s="9" t="s">
        <v>447</v>
      </c>
      <c r="E19" s="9" t="s">
        <v>1427</v>
      </c>
      <c r="F19" s="9">
        <v>264</v>
      </c>
      <c r="G19" s="9">
        <v>1</v>
      </c>
      <c r="H19" s="9"/>
      <c r="I19" s="9">
        <v>3</v>
      </c>
      <c r="J19" s="9">
        <v>1</v>
      </c>
      <c r="K19" s="8">
        <f t="shared" si="1"/>
        <v>1.1000000000000001</v>
      </c>
      <c r="L19" s="8">
        <f t="shared" si="2"/>
        <v>1.32</v>
      </c>
      <c r="M19" s="10">
        <f>IF(I19=$Y$10,SQRT(L19*10000),SQRT(Parcellaire!L19*10000)/$AC$11)</f>
        <v>81.240384046359594</v>
      </c>
      <c r="N19" s="10">
        <f t="shared" si="3"/>
        <v>6</v>
      </c>
      <c r="O19" s="24">
        <v>6</v>
      </c>
      <c r="P19" s="26"/>
      <c r="Q19" s="155">
        <v>2</v>
      </c>
      <c r="R19" s="10">
        <f t="shared" si="4"/>
        <v>0</v>
      </c>
      <c r="S19" s="10">
        <f t="shared" si="5"/>
        <v>0</v>
      </c>
      <c r="T19" s="10">
        <f t="shared" si="6"/>
        <v>406.201920231798</v>
      </c>
      <c r="U19" s="10">
        <f t="shared" si="7"/>
        <v>0</v>
      </c>
      <c r="V19" s="27">
        <f t="shared" si="8"/>
        <v>487.44230427815756</v>
      </c>
      <c r="W19" s="3"/>
      <c r="X19" s="3"/>
      <c r="Z19" s="20"/>
      <c r="AA19" s="136">
        <f>AA17+AA18</f>
        <v>4437.8364231252208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447</v>
      </c>
      <c r="E20" s="9" t="s">
        <v>1427</v>
      </c>
      <c r="F20" s="9">
        <v>265</v>
      </c>
      <c r="G20" s="9">
        <v>0.9</v>
      </c>
      <c r="H20" s="9"/>
      <c r="I20" s="9">
        <v>2</v>
      </c>
      <c r="J20" s="9">
        <v>0.5</v>
      </c>
      <c r="K20" s="8">
        <f t="shared" si="1"/>
        <v>0.9</v>
      </c>
      <c r="L20" s="8">
        <f t="shared" si="2"/>
        <v>0.9900000000000001</v>
      </c>
      <c r="M20" s="10">
        <f>IF(I20=$Y$10,SQRT(L20*10000),SQRT(Parcellaire!L20*10000)/$AC$11)</f>
        <v>70.356236397351438</v>
      </c>
      <c r="N20" s="10">
        <f t="shared" si="3"/>
        <v>6</v>
      </c>
      <c r="O20" s="24">
        <v>6</v>
      </c>
      <c r="P20" s="26"/>
      <c r="Q20" s="155">
        <v>3</v>
      </c>
      <c r="R20" s="10">
        <f t="shared" si="4"/>
        <v>0</v>
      </c>
      <c r="S20" s="10">
        <f t="shared" si="5"/>
        <v>0</v>
      </c>
      <c r="T20" s="10">
        <f t="shared" si="6"/>
        <v>316.6030637880815</v>
      </c>
      <c r="U20" s="10">
        <f t="shared" si="7"/>
        <v>211.06870919205431</v>
      </c>
      <c r="V20" s="27">
        <f t="shared" si="8"/>
        <v>422.13741838410863</v>
      </c>
      <c r="W20" s="3"/>
      <c r="X20" s="3"/>
      <c r="Z20" s="20"/>
    </row>
    <row r="21" spans="1:28" ht="15" customHeight="1" x14ac:dyDescent="0.25">
      <c r="A21" s="8">
        <v>19</v>
      </c>
      <c r="B21" s="9">
        <v>1</v>
      </c>
      <c r="C21" s="9">
        <v>2</v>
      </c>
      <c r="D21" s="9" t="s">
        <v>447</v>
      </c>
      <c r="E21" s="9" t="s">
        <v>1427</v>
      </c>
      <c r="F21" s="9">
        <v>266</v>
      </c>
      <c r="G21" s="9">
        <v>0.5</v>
      </c>
      <c r="H21" s="9"/>
      <c r="I21" s="9">
        <v>1</v>
      </c>
      <c r="J21" s="9">
        <v>0.5</v>
      </c>
      <c r="K21" s="8">
        <f t="shared" si="1"/>
        <v>0.5</v>
      </c>
      <c r="L21" s="8">
        <f t="shared" si="2"/>
        <v>0.55000000000000004</v>
      </c>
      <c r="M21" s="10">
        <f>IF(I21=$Y$10,SQRT(L21*10000),SQRT(Parcellaire!L21*10000)/$AC$11)</f>
        <v>74.16198487095663</v>
      </c>
      <c r="N21" s="10">
        <f t="shared" si="3"/>
        <v>4</v>
      </c>
      <c r="O21" s="24">
        <v>4</v>
      </c>
      <c r="P21" s="26"/>
      <c r="Q21" s="155">
        <v>3</v>
      </c>
      <c r="R21" s="10">
        <f t="shared" si="4"/>
        <v>0</v>
      </c>
      <c r="S21" s="10">
        <f t="shared" si="5"/>
        <v>0</v>
      </c>
      <c r="T21" s="10">
        <f t="shared" si="6"/>
        <v>185.40496217739158</v>
      </c>
      <c r="U21" s="10">
        <f t="shared" si="7"/>
        <v>222.48595461286988</v>
      </c>
      <c r="V21" s="27">
        <f t="shared" si="8"/>
        <v>296.64793948382652</v>
      </c>
      <c r="W21" s="3"/>
      <c r="X21" s="3"/>
    </row>
    <row r="22" spans="1:28" ht="15" customHeight="1" x14ac:dyDescent="0.25">
      <c r="A22" s="8">
        <v>20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ref="K22:K37" si="9">IF(I22=$Y$10,G22*$AB$10,IF(I22=$Y$11,G22*$AB$11,IF(I22=$Y$12,G22*$AB$12,"")))</f>
        <v/>
      </c>
      <c r="L22" s="8" t="e">
        <f t="shared" si="0"/>
        <v>#VALUE!</v>
      </c>
      <c r="M22" s="10" t="e">
        <f>IF(I22=$Y$10,SQRT(L22*10000),SQRT(Parcellaire!L22*10000)/$AC$11)</f>
        <v>#VALUE!</v>
      </c>
      <c r="N22" s="10">
        <f t="shared" ref="N22:N37" si="10">IF(I22=1,4,6)</f>
        <v>6</v>
      </c>
      <c r="O22" s="24">
        <v>6</v>
      </c>
      <c r="P22" s="26"/>
      <c r="Q22" s="155">
        <v>3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325</v>
      </c>
    </row>
    <row r="23" spans="1:28" ht="15" customHeight="1" x14ac:dyDescent="0.25">
      <c r="A23" s="8">
        <v>16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9"/>
        <v/>
      </c>
      <c r="L23" s="8" t="e">
        <f t="shared" si="0"/>
        <v>#VALUE!</v>
      </c>
      <c r="M23" s="10" t="e">
        <f>IF(I23=$Y$10,SQRT(L23*10000),SQRT(Parcellaire!L23*10000)/$AC$11)</f>
        <v>#VALUE!</v>
      </c>
      <c r="N23" s="10">
        <f t="shared" si="10"/>
        <v>6</v>
      </c>
      <c r="O23" s="24">
        <v>6</v>
      </c>
      <c r="P23" s="26"/>
      <c r="Q23" s="155">
        <v>2</v>
      </c>
      <c r="R23" s="10">
        <f t="shared" si="4"/>
        <v>0</v>
      </c>
      <c r="S23" s="10">
        <f t="shared" si="5"/>
        <v>0</v>
      </c>
      <c r="T23" s="10" t="e">
        <f t="shared" si="6"/>
        <v>#VALUE!</v>
      </c>
      <c r="U23" s="10">
        <f t="shared" si="7"/>
        <v>0</v>
      </c>
      <c r="V23" s="27" t="e">
        <f t="shared" si="8"/>
        <v>#VALUE!</v>
      </c>
      <c r="W23" s="3"/>
      <c r="X23" s="3"/>
      <c r="Y23" s="133">
        <v>0</v>
      </c>
      <c r="Z23" t="s">
        <v>326</v>
      </c>
    </row>
    <row r="24" spans="1:28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9"/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0"/>
        <v>6</v>
      </c>
      <c r="O24" s="24"/>
      <c r="P24" s="26"/>
      <c r="Q24" s="155"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463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9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0"/>
        <v>6</v>
      </c>
      <c r="O25" s="24"/>
      <c r="P25" s="26"/>
      <c r="Q25" s="155"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464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9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0"/>
        <v>6</v>
      </c>
      <c r="O26" s="24"/>
      <c r="P26" s="26"/>
      <c r="Q26" s="155"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9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0"/>
        <v>6</v>
      </c>
      <c r="O27" s="24"/>
      <c r="P27" s="26"/>
      <c r="Q27" s="155"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339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9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0"/>
        <v>6</v>
      </c>
      <c r="O28" s="24"/>
      <c r="P28" s="26"/>
      <c r="Q28" s="155"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340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9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0"/>
        <v>6</v>
      </c>
      <c r="O29" s="24"/>
      <c r="P29" s="26"/>
      <c r="Q29" s="155"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341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9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0"/>
        <v>6</v>
      </c>
      <c r="O30" s="24"/>
      <c r="P30" s="26"/>
      <c r="Q30" s="155">
        <f t="shared" ref="Q30:Q63" si="11">O30-P30</f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342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9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0"/>
        <v>6</v>
      </c>
      <c r="O31" s="24"/>
      <c r="P31" s="26"/>
      <c r="Q31" s="155">
        <f t="shared" si="11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343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9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0"/>
        <v>6</v>
      </c>
      <c r="O32" s="24"/>
      <c r="P32" s="26"/>
      <c r="Q32" s="155">
        <f t="shared" si="11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345</v>
      </c>
      <c r="Z32" t="s">
        <v>344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9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0"/>
        <v>6</v>
      </c>
      <c r="O33" s="24"/>
      <c r="P33" s="26"/>
      <c r="Q33" s="155">
        <f t="shared" si="11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347</v>
      </c>
      <c r="Z33" t="s">
        <v>346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9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0"/>
        <v>6</v>
      </c>
      <c r="O34" s="24"/>
      <c r="P34" s="26"/>
      <c r="Q34" s="155">
        <f t="shared" si="11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348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9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0"/>
        <v>6</v>
      </c>
      <c r="O35" s="24"/>
      <c r="P35" s="26"/>
      <c r="Q35" s="155">
        <f t="shared" si="11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349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9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0"/>
        <v>6</v>
      </c>
      <c r="O36" s="24"/>
      <c r="P36" s="26"/>
      <c r="Q36" s="155">
        <f t="shared" si="11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351</v>
      </c>
      <c r="Z36" t="s">
        <v>350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9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0"/>
        <v>6</v>
      </c>
      <c r="O37" s="24"/>
      <c r="P37" s="26"/>
      <c r="Q37" s="155">
        <f t="shared" si="11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353</v>
      </c>
      <c r="Z37" t="s">
        <v>352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2">IF(I38=$Y$10,G38*$AB$10,IF(I38=$Y$11,G38*$AB$11,IF(I38=$Y$12,G38*$AB$12,"")))</f>
        <v/>
      </c>
      <c r="L38" s="8" t="e">
        <f t="shared" ref="L38:L57" si="13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4">IF(I38=1,4,6)</f>
        <v>6</v>
      </c>
      <c r="O38" s="24"/>
      <c r="P38" s="26"/>
      <c r="Q38" s="155">
        <f t="shared" si="11"/>
        <v>0</v>
      </c>
      <c r="R38" s="10">
        <f t="shared" ref="R38:R57" si="15">IF(C38=1,O38*M38,0)</f>
        <v>0</v>
      </c>
      <c r="S38" s="10">
        <f t="shared" ref="S38:S57" si="16">IF(C38=1,P38*M38,0)</f>
        <v>0</v>
      </c>
      <c r="T38" s="10" t="e">
        <f t="shared" si="6"/>
        <v>#VALUE!</v>
      </c>
      <c r="U38" s="10">
        <f t="shared" ref="U38:U57" si="17">IF(C38=2,Q38*M38,0)</f>
        <v>0</v>
      </c>
      <c r="V38" s="27" t="e">
        <f t="shared" ref="V38:V57" si="18">O38*M38</f>
        <v>#VALUE!</v>
      </c>
      <c r="Y38" t="s">
        <v>354</v>
      </c>
      <c r="Z38" t="s">
        <v>355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5">
        <f t="shared" si="11"/>
        <v>0</v>
      </c>
      <c r="R39" s="10">
        <f t="shared" si="15"/>
        <v>0</v>
      </c>
      <c r="S39" s="10">
        <f t="shared" si="16"/>
        <v>0</v>
      </c>
      <c r="T39" s="10" t="e">
        <f t="shared" si="6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5">
        <f t="shared" si="11"/>
        <v>0</v>
      </c>
      <c r="R40" s="10">
        <f t="shared" si="15"/>
        <v>0</v>
      </c>
      <c r="S40" s="10">
        <f t="shared" si="16"/>
        <v>0</v>
      </c>
      <c r="T40" s="10" t="e">
        <f t="shared" si="6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5">
        <f t="shared" si="11"/>
        <v>0</v>
      </c>
      <c r="R41" s="10">
        <f t="shared" si="15"/>
        <v>0</v>
      </c>
      <c r="S41" s="10">
        <f t="shared" si="16"/>
        <v>0</v>
      </c>
      <c r="T41" s="10" t="e">
        <f t="shared" si="6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5">
        <f t="shared" si="11"/>
        <v>0</v>
      </c>
      <c r="R42" s="10">
        <f t="shared" si="15"/>
        <v>0</v>
      </c>
      <c r="S42" s="10">
        <f t="shared" si="16"/>
        <v>0</v>
      </c>
      <c r="T42" s="10" t="e">
        <f t="shared" si="6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5">
        <f t="shared" si="11"/>
        <v>0</v>
      </c>
      <c r="R43" s="10">
        <f t="shared" si="15"/>
        <v>0</v>
      </c>
      <c r="S43" s="10">
        <f t="shared" si="16"/>
        <v>0</v>
      </c>
      <c r="T43" s="10" t="e">
        <f t="shared" si="6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5">
        <f t="shared" si="11"/>
        <v>0</v>
      </c>
      <c r="R44" s="10">
        <f t="shared" si="15"/>
        <v>0</v>
      </c>
      <c r="S44" s="10">
        <f t="shared" si="16"/>
        <v>0</v>
      </c>
      <c r="T44" s="10" t="e">
        <f t="shared" si="6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5">
        <f t="shared" si="11"/>
        <v>0</v>
      </c>
      <c r="R45" s="10">
        <f t="shared" si="15"/>
        <v>0</v>
      </c>
      <c r="S45" s="10">
        <f t="shared" si="16"/>
        <v>0</v>
      </c>
      <c r="T45" s="10" t="e">
        <f t="shared" si="6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5">
        <f t="shared" si="11"/>
        <v>0</v>
      </c>
      <c r="R46" s="10">
        <f t="shared" si="15"/>
        <v>0</v>
      </c>
      <c r="S46" s="10">
        <f t="shared" si="16"/>
        <v>0</v>
      </c>
      <c r="T46" s="10" t="e">
        <f t="shared" si="6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5">
        <f t="shared" si="11"/>
        <v>0</v>
      </c>
      <c r="R47" s="10">
        <f t="shared" si="15"/>
        <v>0</v>
      </c>
      <c r="S47" s="10">
        <f t="shared" si="16"/>
        <v>0</v>
      </c>
      <c r="T47" s="10" t="e">
        <f t="shared" si="6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5">
        <f t="shared" si="11"/>
        <v>0</v>
      </c>
      <c r="R48" s="10">
        <f t="shared" si="15"/>
        <v>0</v>
      </c>
      <c r="S48" s="10">
        <f t="shared" si="16"/>
        <v>0</v>
      </c>
      <c r="T48" s="10" t="e">
        <f t="shared" si="6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5">
        <f t="shared" si="11"/>
        <v>0</v>
      </c>
      <c r="R49" s="10">
        <f t="shared" si="15"/>
        <v>0</v>
      </c>
      <c r="S49" s="10">
        <f t="shared" si="16"/>
        <v>0</v>
      </c>
      <c r="T49" s="10" t="e">
        <f t="shared" si="6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5">
        <f t="shared" si="11"/>
        <v>0</v>
      </c>
      <c r="R50" s="10">
        <f t="shared" si="15"/>
        <v>0</v>
      </c>
      <c r="S50" s="10">
        <f t="shared" si="16"/>
        <v>0</v>
      </c>
      <c r="T50" s="10" t="e">
        <f t="shared" si="6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5">
        <f t="shared" si="11"/>
        <v>0</v>
      </c>
      <c r="R51" s="10">
        <f t="shared" si="15"/>
        <v>0</v>
      </c>
      <c r="S51" s="10">
        <f t="shared" si="16"/>
        <v>0</v>
      </c>
      <c r="T51" s="10" t="e">
        <f t="shared" si="6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5">
        <f t="shared" si="11"/>
        <v>0</v>
      </c>
      <c r="R52" s="10">
        <f t="shared" si="15"/>
        <v>0</v>
      </c>
      <c r="S52" s="10">
        <f t="shared" si="16"/>
        <v>0</v>
      </c>
      <c r="T52" s="10" t="e">
        <f t="shared" si="6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5">
        <f t="shared" si="11"/>
        <v>0</v>
      </c>
      <c r="R53" s="10">
        <f t="shared" si="15"/>
        <v>0</v>
      </c>
      <c r="S53" s="10">
        <f t="shared" si="16"/>
        <v>0</v>
      </c>
      <c r="T53" s="10" t="e">
        <f t="shared" si="6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5">
        <f t="shared" si="11"/>
        <v>0</v>
      </c>
      <c r="R54" s="10">
        <f t="shared" si="15"/>
        <v>0</v>
      </c>
      <c r="S54" s="10">
        <f t="shared" si="16"/>
        <v>0</v>
      </c>
      <c r="T54" s="10" t="e">
        <f t="shared" si="6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5">
        <f t="shared" si="11"/>
        <v>0</v>
      </c>
      <c r="R55" s="10">
        <f t="shared" si="15"/>
        <v>0</v>
      </c>
      <c r="S55" s="10">
        <f t="shared" si="16"/>
        <v>0</v>
      </c>
      <c r="T55" s="10" t="e">
        <f t="shared" si="6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5">
        <f t="shared" si="11"/>
        <v>0</v>
      </c>
      <c r="R56" s="10">
        <f t="shared" si="15"/>
        <v>0</v>
      </c>
      <c r="S56" s="10">
        <f t="shared" si="16"/>
        <v>0</v>
      </c>
      <c r="T56" s="10" t="e">
        <f t="shared" si="6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si="14"/>
        <v>6</v>
      </c>
      <c r="O57" s="24"/>
      <c r="P57" s="26"/>
      <c r="Q57" s="155">
        <f t="shared" si="11"/>
        <v>0</v>
      </c>
      <c r="R57" s="10">
        <f t="shared" si="15"/>
        <v>0</v>
      </c>
      <c r="S57" s="10">
        <f t="shared" si="16"/>
        <v>0</v>
      </c>
      <c r="T57" s="10" t="e">
        <f t="shared" si="6"/>
        <v>#VALUE!</v>
      </c>
      <c r="U57" s="10">
        <f t="shared" si="17"/>
        <v>0</v>
      </c>
      <c r="V57" s="27" t="e">
        <f t="shared" si="18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19">IF(I58=$Y$10,G58*$AB$10,IF(I58=$Y$11,G58*$AB$11,IF(I58=$Y$12,G58*$AB$12,"")))</f>
        <v/>
      </c>
      <c r="L58" s="8" t="e">
        <f t="shared" ref="L58:L63" si="20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1">IF(I58=1,4,6)</f>
        <v>6</v>
      </c>
      <c r="O58" s="24"/>
      <c r="P58" s="26"/>
      <c r="Q58" s="155">
        <f t="shared" si="11"/>
        <v>0</v>
      </c>
      <c r="R58" s="10">
        <f t="shared" ref="R58:R63" si="22">IF(C58=1,O58*M58,0)</f>
        <v>0</v>
      </c>
      <c r="S58" s="10">
        <f t="shared" ref="S58:S63" si="23">IF(C58=1,P58*M58,0)</f>
        <v>0</v>
      </c>
      <c r="T58" s="10" t="e">
        <f t="shared" si="6"/>
        <v>#VALUE!</v>
      </c>
      <c r="U58" s="10">
        <f t="shared" ref="U58:U63" si="24">IF(C58=2,Q58*M58,0)</f>
        <v>0</v>
      </c>
      <c r="V58" s="27" t="e">
        <f t="shared" ref="V58:V63" si="25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9"/>
        <v/>
      </c>
      <c r="L59" s="8" t="e">
        <f t="shared" si="20"/>
        <v>#VALUE!</v>
      </c>
      <c r="M59" s="10" t="e">
        <f>IF(I59=$Y$10,SQRT(L59*10000),SQRT(Parcellaire!L59*10000)/$AC$11)</f>
        <v>#VALUE!</v>
      </c>
      <c r="N59" s="10">
        <f t="shared" si="21"/>
        <v>6</v>
      </c>
      <c r="O59" s="24"/>
      <c r="P59" s="26"/>
      <c r="Q59" s="155">
        <f t="shared" si="11"/>
        <v>0</v>
      </c>
      <c r="R59" s="10">
        <f t="shared" si="22"/>
        <v>0</v>
      </c>
      <c r="S59" s="10">
        <f t="shared" si="23"/>
        <v>0</v>
      </c>
      <c r="T59" s="10" t="e">
        <f t="shared" si="6"/>
        <v>#VALUE!</v>
      </c>
      <c r="U59" s="10">
        <f t="shared" si="24"/>
        <v>0</v>
      </c>
      <c r="V59" s="27" t="e">
        <f t="shared" si="25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9"/>
        <v/>
      </c>
      <c r="L60" s="8" t="e">
        <f t="shared" si="20"/>
        <v>#VALUE!</v>
      </c>
      <c r="M60" s="10" t="e">
        <f>IF(I60=$Y$10,SQRT(L60*10000),SQRT(Parcellaire!L60*10000)/$AC$11)</f>
        <v>#VALUE!</v>
      </c>
      <c r="N60" s="10">
        <f t="shared" si="21"/>
        <v>6</v>
      </c>
      <c r="O60" s="24"/>
      <c r="P60" s="26"/>
      <c r="Q60" s="155">
        <f t="shared" si="11"/>
        <v>0</v>
      </c>
      <c r="R60" s="10">
        <f t="shared" si="22"/>
        <v>0</v>
      </c>
      <c r="S60" s="10">
        <f t="shared" si="23"/>
        <v>0</v>
      </c>
      <c r="T60" s="10" t="e">
        <f t="shared" si="6"/>
        <v>#VALUE!</v>
      </c>
      <c r="U60" s="10">
        <f t="shared" si="24"/>
        <v>0</v>
      </c>
      <c r="V60" s="27" t="e">
        <f t="shared" si="25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9"/>
        <v/>
      </c>
      <c r="L61" s="8" t="e">
        <f t="shared" si="20"/>
        <v>#VALUE!</v>
      </c>
      <c r="M61" s="10" t="e">
        <f>IF(I61=$Y$10,SQRT(L61*10000),SQRT(Parcellaire!L61*10000)/$AC$11)</f>
        <v>#VALUE!</v>
      </c>
      <c r="N61" s="10">
        <f t="shared" si="21"/>
        <v>6</v>
      </c>
      <c r="O61" s="24"/>
      <c r="P61" s="26"/>
      <c r="Q61" s="155">
        <f t="shared" si="11"/>
        <v>0</v>
      </c>
      <c r="R61" s="10">
        <f t="shared" si="22"/>
        <v>0</v>
      </c>
      <c r="S61" s="10">
        <f t="shared" si="23"/>
        <v>0</v>
      </c>
      <c r="T61" s="10" t="e">
        <f t="shared" si="6"/>
        <v>#VALUE!</v>
      </c>
      <c r="U61" s="10">
        <f t="shared" si="24"/>
        <v>0</v>
      </c>
      <c r="V61" s="27" t="e">
        <f t="shared" si="25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9"/>
        <v/>
      </c>
      <c r="L62" s="8" t="e">
        <f t="shared" si="20"/>
        <v>#VALUE!</v>
      </c>
      <c r="M62" s="10" t="e">
        <f>IF(I62=$Y$10,SQRT(L62*10000),SQRT(Parcellaire!L62*10000)/$AC$11)</f>
        <v>#VALUE!</v>
      </c>
      <c r="N62" s="10">
        <f t="shared" si="21"/>
        <v>6</v>
      </c>
      <c r="O62" s="24"/>
      <c r="P62" s="26"/>
      <c r="Q62" s="155">
        <f t="shared" si="11"/>
        <v>0</v>
      </c>
      <c r="R62" s="10">
        <f t="shared" si="22"/>
        <v>0</v>
      </c>
      <c r="S62" s="10">
        <f t="shared" si="23"/>
        <v>0</v>
      </c>
      <c r="T62" s="10" t="e">
        <f t="shared" si="6"/>
        <v>#VALUE!</v>
      </c>
      <c r="U62" s="10">
        <f t="shared" si="24"/>
        <v>0</v>
      </c>
      <c r="V62" s="27" t="e">
        <f t="shared" si="25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9"/>
        <v/>
      </c>
      <c r="L63" s="8" t="e">
        <f t="shared" si="20"/>
        <v>#VALUE!</v>
      </c>
      <c r="M63" s="10" t="e">
        <f>IF(I63=$Y$10,SQRT(L63*10000),SQRT(Parcellaire!L63*10000)/$AC$11)</f>
        <v>#VALUE!</v>
      </c>
      <c r="N63" s="10">
        <f t="shared" si="21"/>
        <v>6</v>
      </c>
      <c r="O63" s="24"/>
      <c r="P63" s="26"/>
      <c r="Q63" s="155">
        <f t="shared" si="11"/>
        <v>0</v>
      </c>
      <c r="R63" s="10">
        <f t="shared" si="22"/>
        <v>0</v>
      </c>
      <c r="S63" s="10">
        <f t="shared" si="23"/>
        <v>0</v>
      </c>
      <c r="T63" s="10" t="e">
        <f t="shared" si="6"/>
        <v>#VALUE!</v>
      </c>
      <c r="U63" s="10">
        <f t="shared" si="24"/>
        <v>0</v>
      </c>
      <c r="V63" s="27" t="e">
        <f t="shared" si="25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18.399999999999999</v>
      </c>
      <c r="H64" s="135"/>
      <c r="I64" s="135">
        <f>SUMIF(Parcellaire!$B$2:$B$63,1,Parcellaire!I2:I63)</f>
        <v>30</v>
      </c>
      <c r="J64" s="135">
        <f>SUMIF(Parcellaire!$B$2:$B$63,1,Parcellaire!J2:J63)</f>
        <v>7</v>
      </c>
      <c r="K64" s="135">
        <f>SUMIF(Parcellaire!$B$2:$B$63,1,Parcellaire!K2:K63)</f>
        <v>19.830000000000002</v>
      </c>
      <c r="L64" s="135">
        <f>SUMIF(Parcellaire!$B$2:$B$63,1,Parcellaire!L2:L63)</f>
        <v>22.5</v>
      </c>
      <c r="M64" s="135">
        <f>SUMIF(Parcellaire!$B$2:$B$63,1,Parcellaire!M2:M63)</f>
        <v>966.43265410971242</v>
      </c>
      <c r="N64" s="135">
        <f>SUMIF(Parcellaire!$B$2:$B$63,1,Parcellaire!N2:N63)</f>
        <v>70</v>
      </c>
      <c r="O64" s="135">
        <f>SUMIF(Parcellaire!$B$2:$B$63,1,Parcellaire!O2:O63)</f>
        <v>52</v>
      </c>
      <c r="P64" s="135">
        <f>SUMIF(Parcellaire!$B$2:$B$63,1,Parcellaire!P2:P63)</f>
        <v>0</v>
      </c>
      <c r="Q64" s="135">
        <f>SUMIF(Parcellaire!$B$2:$B$63,1,Parcellaire!Q2:Q63)</f>
        <v>23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4437.8364231252208</v>
      </c>
      <c r="U64" s="135">
        <f>SUMIF(Parcellaire!$B$2:$B$63,1,Parcellaire!U2:U63)</f>
        <v>2262.390295489562</v>
      </c>
      <c r="V64" s="135">
        <f>SUMIF(Parcellaire!$B$2:$B$63,1,Parcellaire!V2:V63)</f>
        <v>5650.2719549163612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14" workbookViewId="0">
      <selection activeCell="A19" sqref="A19:XFD19"/>
    </sheetView>
  </sheetViews>
  <sheetFormatPr baseColWidth="10" defaultRowHeight="15" x14ac:dyDescent="0.25"/>
  <cols>
    <col min="5" max="5" width="20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334</v>
      </c>
      <c r="P1" s="25" t="s">
        <v>335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447</v>
      </c>
      <c r="E2" s="9">
        <v>2</v>
      </c>
      <c r="F2" s="9">
        <v>130</v>
      </c>
      <c r="G2" s="9">
        <v>0.15</v>
      </c>
      <c r="H2" s="9">
        <v>3</v>
      </c>
      <c r="I2" s="9">
        <v>0</v>
      </c>
      <c r="J2" s="8">
        <f t="shared" ref="J2:J63" si="0">IF(H2=$X$10,G2*$AA$10,IF(H2=$X$11,G2*$AA$11,IF(H2=$X$12,G2*$AA$12,"")))</f>
        <v>0.16500000000000001</v>
      </c>
      <c r="K2" s="8">
        <f t="shared" ref="K2:K63" si="1">IF(I2=$X$5,J2*$Z$5,IF(I2=$X$6,J2*$Z$6,IF(I2=$X$7,J2*$Z$7,"")))</f>
        <v>0.16500000000000001</v>
      </c>
      <c r="L2" s="10">
        <f>IF(H2=$X$10,SQRT(K2*10000),SQRT('Parcellaire (2)'!K2*10000)/$AB$11)</f>
        <v>28.722813232690143</v>
      </c>
      <c r="M2" s="10">
        <f>IF(H2=1,4,6)</f>
        <v>6</v>
      </c>
      <c r="N2" s="24">
        <v>6</v>
      </c>
      <c r="O2" s="26"/>
      <c r="P2" s="155">
        <v>2</v>
      </c>
      <c r="Q2" s="10">
        <f>IF(C2=1,N2*L2,0)</f>
        <v>0</v>
      </c>
      <c r="R2" s="10">
        <f>IF(C2=1,O2*L2,0)</f>
        <v>0</v>
      </c>
      <c r="S2" s="10">
        <f>(L2*N2)-(L2*P2)/2</f>
        <v>143.61406616345073</v>
      </c>
      <c r="T2" s="10">
        <f>IF(C2=2,P2*L2,0)</f>
        <v>57.445626465380286</v>
      </c>
      <c r="U2" s="27">
        <f>N2*L2</f>
        <v>172.33687939614086</v>
      </c>
      <c r="V2" s="3"/>
      <c r="W2" s="3"/>
    </row>
    <row r="3" spans="1:28" ht="15" customHeight="1" x14ac:dyDescent="0.25">
      <c r="A3" s="8">
        <v>2</v>
      </c>
      <c r="B3" s="9">
        <v>1</v>
      </c>
      <c r="C3" s="9"/>
      <c r="D3" s="9"/>
      <c r="E3" s="9"/>
      <c r="F3" s="9"/>
      <c r="G3" s="9"/>
      <c r="H3" s="9"/>
      <c r="I3" s="9"/>
      <c r="J3" s="8"/>
      <c r="K3" s="8"/>
      <c r="L3" s="10"/>
      <c r="M3" s="10"/>
      <c r="N3" s="24"/>
      <c r="O3" s="26"/>
      <c r="P3" s="155"/>
      <c r="Q3" s="10">
        <f t="shared" ref="Q3:Q63" si="2">IF(C3=1,N3*L3,0)</f>
        <v>0</v>
      </c>
      <c r="R3" s="10">
        <f t="shared" ref="R3:R63" si="3">IF(C3=1,O3*L3,0)</f>
        <v>0</v>
      </c>
      <c r="S3" s="10">
        <f t="shared" ref="S3:S63" si="4">(L3*N3)-(L3*P3)/2</f>
        <v>0</v>
      </c>
      <c r="T3" s="10">
        <f t="shared" ref="T3:T63" si="5">IF(C3=2,P3*L3,0)</f>
        <v>0</v>
      </c>
      <c r="U3" s="27">
        <f t="shared" ref="U3:U63" si="6">N3*L3</f>
        <v>0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 t="s">
        <v>449</v>
      </c>
      <c r="F4" s="157">
        <v>129</v>
      </c>
      <c r="G4" s="157">
        <v>1.4</v>
      </c>
      <c r="H4" s="9">
        <v>3</v>
      </c>
      <c r="I4" s="9">
        <v>0</v>
      </c>
      <c r="J4" s="8">
        <f t="shared" si="0"/>
        <v>1.54</v>
      </c>
      <c r="K4" s="8">
        <f t="shared" si="1"/>
        <v>1.54</v>
      </c>
      <c r="L4" s="10">
        <f>IF(H4=$X$10,SQRT(K4*10000),SQRT('Parcellaire (2)'!K4*10000)/$AB$11)</f>
        <v>87.749643873921215</v>
      </c>
      <c r="M4" s="10">
        <f t="shared" ref="M4:M63" si="7">IF(H4=1,4,6)</f>
        <v>6</v>
      </c>
      <c r="N4" s="24">
        <v>6</v>
      </c>
      <c r="O4" s="26"/>
      <c r="P4" s="155">
        <v>2</v>
      </c>
      <c r="Q4" s="10">
        <f t="shared" si="2"/>
        <v>0</v>
      </c>
      <c r="R4" s="10">
        <f t="shared" si="3"/>
        <v>0</v>
      </c>
      <c r="S4" s="10">
        <f t="shared" si="4"/>
        <v>438.74821936960603</v>
      </c>
      <c r="T4" s="10">
        <f>IF(C4=2,P4*L4,0)</f>
        <v>175.49928774784243</v>
      </c>
      <c r="U4" s="27">
        <f t="shared" si="6"/>
        <v>526.49786324352726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465</v>
      </c>
      <c r="E5" s="9" t="s">
        <v>450</v>
      </c>
      <c r="F5" s="157">
        <v>60</v>
      </c>
      <c r="G5" s="157">
        <v>1.2</v>
      </c>
      <c r="H5" s="9">
        <v>3</v>
      </c>
      <c r="I5" s="9">
        <v>0</v>
      </c>
      <c r="J5" s="8">
        <f t="shared" si="0"/>
        <v>1.32</v>
      </c>
      <c r="K5" s="8">
        <f t="shared" si="1"/>
        <v>1.32</v>
      </c>
      <c r="L5" s="165">
        <v>188.9</v>
      </c>
      <c r="M5" s="10">
        <f t="shared" si="7"/>
        <v>6</v>
      </c>
      <c r="N5" s="24">
        <v>6</v>
      </c>
      <c r="O5" s="26"/>
      <c r="P5" s="155">
        <v>2</v>
      </c>
      <c r="Q5" s="10">
        <f t="shared" si="2"/>
        <v>0</v>
      </c>
      <c r="R5" s="10">
        <f t="shared" si="3"/>
        <v>0</v>
      </c>
      <c r="S5" s="10">
        <f t="shared" si="4"/>
        <v>944.50000000000011</v>
      </c>
      <c r="T5" s="10">
        <f t="shared" si="5"/>
        <v>377.8</v>
      </c>
      <c r="U5" s="27">
        <f t="shared" si="6"/>
        <v>1133.4000000000001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465</v>
      </c>
      <c r="E6" s="9" t="s">
        <v>440</v>
      </c>
      <c r="F6" s="157">
        <v>130</v>
      </c>
      <c r="G6" s="157">
        <v>1.2</v>
      </c>
      <c r="H6" s="9">
        <v>2</v>
      </c>
      <c r="I6" s="9">
        <v>0</v>
      </c>
      <c r="J6" s="8">
        <f t="shared" si="0"/>
        <v>1.2</v>
      </c>
      <c r="K6" s="8">
        <f t="shared" si="1"/>
        <v>1.2</v>
      </c>
      <c r="L6" s="165">
        <v>0</v>
      </c>
      <c r="M6" s="10">
        <f t="shared" si="7"/>
        <v>6</v>
      </c>
      <c r="N6" s="24">
        <v>0</v>
      </c>
      <c r="O6" s="26"/>
      <c r="P6" s="155">
        <v>0</v>
      </c>
      <c r="Q6" s="10">
        <f t="shared" si="2"/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27">
        <f t="shared" si="6"/>
        <v>0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465</v>
      </c>
      <c r="E7" s="9" t="s">
        <v>450</v>
      </c>
      <c r="F7" s="157">
        <v>60</v>
      </c>
      <c r="G7" s="157">
        <v>3.5</v>
      </c>
      <c r="H7" s="9">
        <v>3</v>
      </c>
      <c r="I7" s="9">
        <v>1</v>
      </c>
      <c r="J7" s="8">
        <f t="shared" si="0"/>
        <v>3.8500000000000005</v>
      </c>
      <c r="K7" s="8">
        <f t="shared" si="1"/>
        <v>4.62</v>
      </c>
      <c r="L7" s="165">
        <v>0</v>
      </c>
      <c r="M7" s="10">
        <f t="shared" si="7"/>
        <v>6</v>
      </c>
      <c r="N7" s="24">
        <v>0</v>
      </c>
      <c r="O7" s="26"/>
      <c r="P7" s="155">
        <v>0</v>
      </c>
      <c r="Q7" s="10">
        <f>IF(C7=1,N7*L7,0)</f>
        <v>0</v>
      </c>
      <c r="R7" s="10">
        <f t="shared" si="3"/>
        <v>0</v>
      </c>
      <c r="S7" s="10">
        <f t="shared" si="4"/>
        <v>0</v>
      </c>
      <c r="T7" s="10">
        <f t="shared" si="5"/>
        <v>0</v>
      </c>
      <c r="U7" s="27">
        <f t="shared" si="6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2</v>
      </c>
      <c r="C8" s="9">
        <v>2</v>
      </c>
      <c r="D8" s="9" t="s">
        <v>465</v>
      </c>
      <c r="E8" s="9" t="s">
        <v>451</v>
      </c>
      <c r="F8" s="157">
        <v>55</v>
      </c>
      <c r="G8" s="157">
        <v>1.23</v>
      </c>
      <c r="H8" s="9">
        <v>2</v>
      </c>
      <c r="I8" s="9">
        <v>0</v>
      </c>
      <c r="J8" s="8">
        <f t="shared" si="0"/>
        <v>1.23</v>
      </c>
      <c r="K8" s="8">
        <f t="shared" si="1"/>
        <v>1.23</v>
      </c>
      <c r="L8" s="275">
        <v>119.49895397031725</v>
      </c>
      <c r="M8" s="10">
        <f t="shared" si="7"/>
        <v>6</v>
      </c>
      <c r="N8" s="24">
        <v>6</v>
      </c>
      <c r="O8" s="26"/>
      <c r="P8" s="155">
        <v>4</v>
      </c>
      <c r="Q8" s="10">
        <f t="shared" si="2"/>
        <v>0</v>
      </c>
      <c r="R8" s="10">
        <f t="shared" si="3"/>
        <v>0</v>
      </c>
      <c r="S8" s="10">
        <f t="shared" si="4"/>
        <v>477.99581588126898</v>
      </c>
      <c r="T8" s="10">
        <f t="shared" si="5"/>
        <v>477.99581588126898</v>
      </c>
      <c r="U8" s="27">
        <f t="shared" si="6"/>
        <v>716.99372382190347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2</v>
      </c>
      <c r="D9" s="9" t="s">
        <v>465</v>
      </c>
      <c r="E9" s="9">
        <v>3</v>
      </c>
      <c r="F9" s="157">
        <v>2</v>
      </c>
      <c r="G9" s="157">
        <v>1.1499999999999999</v>
      </c>
      <c r="H9" s="9">
        <v>2</v>
      </c>
      <c r="I9" s="9">
        <v>1</v>
      </c>
      <c r="J9" s="8">
        <f t="shared" si="0"/>
        <v>1.1499999999999999</v>
      </c>
      <c r="K9" s="8">
        <f t="shared" si="1"/>
        <v>1.38</v>
      </c>
      <c r="L9" s="165">
        <v>0</v>
      </c>
      <c r="M9" s="10">
        <f t="shared" si="7"/>
        <v>6</v>
      </c>
      <c r="N9" s="24">
        <v>0</v>
      </c>
      <c r="O9" s="26"/>
      <c r="P9" s="155">
        <v>0</v>
      </c>
      <c r="Q9" s="10">
        <f t="shared" si="2"/>
        <v>0</v>
      </c>
      <c r="R9" s="10">
        <f t="shared" si="3"/>
        <v>0</v>
      </c>
      <c r="S9" s="10">
        <f t="shared" si="4"/>
        <v>0</v>
      </c>
      <c r="T9" s="10">
        <f t="shared" si="5"/>
        <v>0</v>
      </c>
      <c r="U9" s="27">
        <f t="shared" si="6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/>
      <c r="D10" s="9"/>
      <c r="E10" s="9"/>
      <c r="F10" s="157"/>
      <c r="G10" s="157"/>
      <c r="H10" s="9"/>
      <c r="I10" s="9"/>
      <c r="J10" s="8"/>
      <c r="K10" s="8"/>
      <c r="L10" s="165"/>
      <c r="M10" s="10"/>
      <c r="N10" s="24"/>
      <c r="O10" s="26"/>
      <c r="P10" s="155"/>
      <c r="Q10" s="10">
        <f t="shared" si="2"/>
        <v>0</v>
      </c>
      <c r="R10" s="10">
        <f t="shared" si="3"/>
        <v>0</v>
      </c>
      <c r="S10" s="10">
        <f t="shared" si="4"/>
        <v>0</v>
      </c>
      <c r="T10" s="10">
        <f t="shared" si="5"/>
        <v>0</v>
      </c>
      <c r="U10" s="27">
        <f t="shared" si="6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2</v>
      </c>
      <c r="C11" s="9">
        <v>2</v>
      </c>
      <c r="D11" s="9" t="s">
        <v>465</v>
      </c>
      <c r="E11" s="9" t="s">
        <v>451</v>
      </c>
      <c r="F11" s="157">
        <v>55</v>
      </c>
      <c r="G11" s="157">
        <v>0.74</v>
      </c>
      <c r="H11" s="9">
        <v>3</v>
      </c>
      <c r="I11" s="9">
        <v>0</v>
      </c>
      <c r="J11" s="8">
        <f t="shared" si="0"/>
        <v>0.81400000000000006</v>
      </c>
      <c r="K11" s="8">
        <f t="shared" si="1"/>
        <v>0.81400000000000006</v>
      </c>
      <c r="L11" s="10">
        <f>IF(H11=$X$10,SQRT(K11*10000),SQRT('Parcellaire (2)'!K11*10000)/$AB$11)</f>
        <v>63.796551630946318</v>
      </c>
      <c r="M11" s="10">
        <f t="shared" si="7"/>
        <v>6</v>
      </c>
      <c r="N11" s="24">
        <v>6</v>
      </c>
      <c r="O11" s="26"/>
      <c r="P11" s="155">
        <v>3</v>
      </c>
      <c r="Q11" s="10">
        <f t="shared" si="2"/>
        <v>0</v>
      </c>
      <c r="R11" s="10">
        <f t="shared" si="3"/>
        <v>0</v>
      </c>
      <c r="S11" s="10">
        <f t="shared" si="4"/>
        <v>287.08448233925844</v>
      </c>
      <c r="T11" s="10">
        <f t="shared" si="5"/>
        <v>191.38965489283896</v>
      </c>
      <c r="U11" s="27">
        <f t="shared" si="6"/>
        <v>382.77930978567792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0</v>
      </c>
      <c r="D12" s="9" t="s">
        <v>465</v>
      </c>
      <c r="E12" s="9" t="s">
        <v>345</v>
      </c>
      <c r="F12" s="9" t="s">
        <v>448</v>
      </c>
      <c r="G12" s="274">
        <v>3.8</v>
      </c>
      <c r="H12" s="9">
        <v>3</v>
      </c>
      <c r="I12" s="9">
        <v>1</v>
      </c>
      <c r="J12" s="8">
        <f t="shared" si="0"/>
        <v>4.18</v>
      </c>
      <c r="K12" s="8">
        <f t="shared" si="1"/>
        <v>5.0159999999999991</v>
      </c>
      <c r="L12" s="10">
        <f>IF(H12=$X$10,SQRT(K12*10000),SQRT('Parcellaire (2)'!K12*10000)/$AB$11)</f>
        <v>158.3666631586332</v>
      </c>
      <c r="M12" s="10">
        <f t="shared" si="7"/>
        <v>6</v>
      </c>
      <c r="N12" s="24">
        <v>6</v>
      </c>
      <c r="O12" s="26"/>
      <c r="P12" s="155">
        <v>2</v>
      </c>
      <c r="Q12" s="10">
        <f t="shared" si="2"/>
        <v>0</v>
      </c>
      <c r="R12" s="10">
        <f t="shared" si="3"/>
        <v>0</v>
      </c>
      <c r="S12" s="10">
        <f t="shared" si="4"/>
        <v>791.83331579316609</v>
      </c>
      <c r="T12" s="10">
        <f t="shared" si="5"/>
        <v>0</v>
      </c>
      <c r="U12" s="27">
        <f t="shared" si="6"/>
        <v>950.19997895179927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447</v>
      </c>
      <c r="E13" s="9" t="s">
        <v>452</v>
      </c>
      <c r="F13" s="9">
        <v>129</v>
      </c>
      <c r="G13" s="9">
        <v>1.85</v>
      </c>
      <c r="H13" s="9">
        <v>3</v>
      </c>
      <c r="I13" s="9">
        <v>0.5</v>
      </c>
      <c r="J13" s="8">
        <f t="shared" si="0"/>
        <v>2.0350000000000001</v>
      </c>
      <c r="K13" s="8">
        <f t="shared" si="1"/>
        <v>2.2385000000000002</v>
      </c>
      <c r="L13" s="10">
        <f>IF(H13=$X$10,SQRT(K13*10000),SQRT('Parcellaire (2)'!K13*10000)/$AB$11)</f>
        <v>105.79461233919238</v>
      </c>
      <c r="M13" s="10">
        <f t="shared" si="7"/>
        <v>6</v>
      </c>
      <c r="N13" s="24">
        <v>6</v>
      </c>
      <c r="O13" s="26"/>
      <c r="P13" s="155">
        <v>4</v>
      </c>
      <c r="Q13" s="10">
        <f t="shared" si="2"/>
        <v>0</v>
      </c>
      <c r="R13" s="10">
        <f t="shared" si="3"/>
        <v>0</v>
      </c>
      <c r="S13" s="10">
        <f t="shared" si="4"/>
        <v>423.17844935676953</v>
      </c>
      <c r="T13" s="10">
        <f t="shared" si="5"/>
        <v>423.17844935676953</v>
      </c>
      <c r="U13" s="27">
        <f t="shared" si="6"/>
        <v>634.7676740351543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447</v>
      </c>
      <c r="E14" s="9">
        <v>3</v>
      </c>
      <c r="F14" s="9">
        <v>128</v>
      </c>
      <c r="G14" s="9">
        <v>7.4</v>
      </c>
      <c r="H14" s="9">
        <v>3</v>
      </c>
      <c r="I14" s="9">
        <v>1</v>
      </c>
      <c r="J14" s="8">
        <f t="shared" si="0"/>
        <v>8.14</v>
      </c>
      <c r="K14" s="8">
        <f t="shared" si="1"/>
        <v>9.7680000000000007</v>
      </c>
      <c r="L14" s="10">
        <f>IF(H14=$X$10,SQRT(K14*10000),SQRT('Parcellaire (2)'!K14*10000)/$AB$11)</f>
        <v>220.99773754498031</v>
      </c>
      <c r="M14" s="10">
        <f t="shared" si="7"/>
        <v>6</v>
      </c>
      <c r="N14" s="24">
        <v>6</v>
      </c>
      <c r="O14" s="26"/>
      <c r="P14" s="155">
        <v>3</v>
      </c>
      <c r="Q14" s="10">
        <f t="shared" si="2"/>
        <v>0</v>
      </c>
      <c r="R14" s="10">
        <f t="shared" si="3"/>
        <v>0</v>
      </c>
      <c r="S14" s="10">
        <f t="shared" si="4"/>
        <v>994.4898189524115</v>
      </c>
      <c r="T14" s="10">
        <f t="shared" si="5"/>
        <v>662.99321263494096</v>
      </c>
      <c r="U14" s="27">
        <f t="shared" si="6"/>
        <v>1325.9864252698819</v>
      </c>
      <c r="V14" s="3"/>
      <c r="W14" s="3"/>
    </row>
    <row r="15" spans="1:28" ht="15" customHeight="1" x14ac:dyDescent="0.25">
      <c r="A15" s="8" t="s">
        <v>441</v>
      </c>
      <c r="B15" s="9">
        <v>1</v>
      </c>
      <c r="C15" s="9">
        <v>2</v>
      </c>
      <c r="D15" s="9" t="s">
        <v>447</v>
      </c>
      <c r="E15" s="9">
        <v>3</v>
      </c>
      <c r="F15" s="9">
        <v>2</v>
      </c>
      <c r="G15" s="9">
        <v>1.5</v>
      </c>
      <c r="H15" s="9">
        <v>3</v>
      </c>
      <c r="I15" s="9">
        <v>1</v>
      </c>
      <c r="J15" s="8">
        <f t="shared" si="0"/>
        <v>1.6500000000000001</v>
      </c>
      <c r="K15" s="8">
        <f t="shared" si="1"/>
        <v>1.98</v>
      </c>
      <c r="L15" s="165">
        <v>134.69999999999999</v>
      </c>
      <c r="M15" s="10">
        <f t="shared" si="7"/>
        <v>6</v>
      </c>
      <c r="N15" s="24">
        <v>6</v>
      </c>
      <c r="O15" s="26"/>
      <c r="P15" s="155">
        <v>1</v>
      </c>
      <c r="Q15" s="10">
        <f t="shared" si="2"/>
        <v>0</v>
      </c>
      <c r="R15" s="10">
        <f t="shared" si="3"/>
        <v>0</v>
      </c>
      <c r="S15" s="10">
        <f t="shared" si="4"/>
        <v>740.84999999999991</v>
      </c>
      <c r="T15" s="10">
        <f t="shared" si="5"/>
        <v>134.69999999999999</v>
      </c>
      <c r="U15" s="27">
        <f t="shared" si="6"/>
        <v>808.19999999999993</v>
      </c>
      <c r="V15" s="3"/>
      <c r="W15" s="3"/>
      <c r="Y15" s="8" t="s">
        <v>41</v>
      </c>
    </row>
    <row r="16" spans="1:28" ht="15" customHeight="1" x14ac:dyDescent="0.25">
      <c r="A16" s="8" t="s">
        <v>442</v>
      </c>
      <c r="B16" s="9">
        <v>1</v>
      </c>
      <c r="C16" s="9">
        <v>2</v>
      </c>
      <c r="D16" s="9" t="s">
        <v>447</v>
      </c>
      <c r="E16" s="9">
        <v>3</v>
      </c>
      <c r="F16" s="9">
        <v>128</v>
      </c>
      <c r="G16" s="9">
        <v>1.5</v>
      </c>
      <c r="H16" s="9">
        <v>3</v>
      </c>
      <c r="I16" s="9">
        <v>0</v>
      </c>
      <c r="J16" s="8">
        <f t="shared" si="0"/>
        <v>1.6500000000000001</v>
      </c>
      <c r="K16" s="8">
        <f t="shared" si="1"/>
        <v>1.6500000000000001</v>
      </c>
      <c r="L16" s="165">
        <v>0</v>
      </c>
      <c r="M16" s="10">
        <f t="shared" si="7"/>
        <v>6</v>
      </c>
      <c r="N16" s="24">
        <v>0</v>
      </c>
      <c r="O16" s="26"/>
      <c r="P16" s="155">
        <v>0</v>
      </c>
      <c r="Q16" s="10">
        <f t="shared" si="2"/>
        <v>0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27">
        <f t="shared" si="6"/>
        <v>0</v>
      </c>
      <c r="V16" s="3"/>
      <c r="W16" s="3"/>
      <c r="X16" s="8">
        <v>1</v>
      </c>
      <c r="Y16" s="138" t="s">
        <v>336</v>
      </c>
      <c r="Z16" s="134" t="s">
        <v>327</v>
      </c>
      <c r="AA16" t="s">
        <v>51</v>
      </c>
    </row>
    <row r="17" spans="1:27" ht="15" customHeight="1" x14ac:dyDescent="0.25">
      <c r="A17" s="8" t="s">
        <v>443</v>
      </c>
      <c r="B17" s="9">
        <v>1</v>
      </c>
      <c r="C17" s="9">
        <v>2</v>
      </c>
      <c r="D17" s="9" t="s">
        <v>447</v>
      </c>
      <c r="E17" s="9">
        <v>2</v>
      </c>
      <c r="F17" s="9">
        <v>131</v>
      </c>
      <c r="G17" s="9">
        <v>1.39</v>
      </c>
      <c r="H17" s="9">
        <v>3</v>
      </c>
      <c r="I17" s="9">
        <v>1</v>
      </c>
      <c r="J17" s="8">
        <f t="shared" si="0"/>
        <v>1.5289999999999999</v>
      </c>
      <c r="K17" s="8">
        <f t="shared" si="1"/>
        <v>1.8347999999999998</v>
      </c>
      <c r="L17" s="165">
        <v>114.60366486286551</v>
      </c>
      <c r="M17" s="10">
        <f t="shared" si="7"/>
        <v>6</v>
      </c>
      <c r="N17" s="24">
        <v>6</v>
      </c>
      <c r="O17" s="26"/>
      <c r="P17" s="155">
        <v>2</v>
      </c>
      <c r="Q17" s="10">
        <f t="shared" si="2"/>
        <v>0</v>
      </c>
      <c r="R17" s="10">
        <f t="shared" si="3"/>
        <v>0</v>
      </c>
      <c r="S17" s="10">
        <f t="shared" si="4"/>
        <v>573.01832431432763</v>
      </c>
      <c r="T17" s="10">
        <f t="shared" si="5"/>
        <v>229.20732972573103</v>
      </c>
      <c r="U17" s="27">
        <f t="shared" si="6"/>
        <v>687.62198917719309</v>
      </c>
      <c r="V17" s="3"/>
      <c r="W17" s="3"/>
      <c r="X17" s="8">
        <v>2</v>
      </c>
      <c r="Y17" s="138" t="s">
        <v>337</v>
      </c>
      <c r="Z17" s="136">
        <f>S64</f>
        <v>6922.5803999050404</v>
      </c>
      <c r="AA17" t="s">
        <v>42</v>
      </c>
    </row>
    <row r="18" spans="1:27" ht="15" customHeight="1" x14ac:dyDescent="0.25">
      <c r="A18" s="8" t="s">
        <v>444</v>
      </c>
      <c r="B18" s="9">
        <v>1</v>
      </c>
      <c r="C18" s="9">
        <v>2</v>
      </c>
      <c r="D18" s="9" t="s">
        <v>447</v>
      </c>
      <c r="E18" s="9" t="s">
        <v>453</v>
      </c>
      <c r="F18" s="9">
        <v>148</v>
      </c>
      <c r="G18" s="274">
        <v>0.6</v>
      </c>
      <c r="H18" s="9">
        <v>2</v>
      </c>
      <c r="I18" s="9">
        <v>1</v>
      </c>
      <c r="J18" s="8">
        <f t="shared" si="0"/>
        <v>0.6</v>
      </c>
      <c r="K18" s="8">
        <f t="shared" si="1"/>
        <v>0.72</v>
      </c>
      <c r="L18" s="165">
        <v>0</v>
      </c>
      <c r="M18" s="10">
        <f t="shared" si="7"/>
        <v>6</v>
      </c>
      <c r="N18" s="24">
        <v>0</v>
      </c>
      <c r="O18" s="26"/>
      <c r="P18" s="155">
        <v>0</v>
      </c>
      <c r="Q18" s="10">
        <f t="shared" si="2"/>
        <v>0</v>
      </c>
      <c r="R18" s="10">
        <f t="shared" si="3"/>
        <v>0</v>
      </c>
      <c r="S18" s="10">
        <f t="shared" si="4"/>
        <v>0</v>
      </c>
      <c r="T18" s="10">
        <f t="shared" si="5"/>
        <v>0</v>
      </c>
      <c r="U18" s="27">
        <f t="shared" si="6"/>
        <v>0</v>
      </c>
      <c r="V18" s="3"/>
      <c r="W18" s="3"/>
      <c r="X18" s="8">
        <v>3</v>
      </c>
      <c r="Y18" s="138" t="s">
        <v>338</v>
      </c>
      <c r="Z18" s="136">
        <f>R64</f>
        <v>0</v>
      </c>
      <c r="AA18" t="s">
        <v>43</v>
      </c>
    </row>
    <row r="19" spans="1:27" ht="15" customHeight="1" x14ac:dyDescent="0.25">
      <c r="A19" s="8">
        <v>17</v>
      </c>
      <c r="B19" s="9">
        <v>1</v>
      </c>
      <c r="C19" s="9">
        <v>2</v>
      </c>
      <c r="D19" s="9" t="s">
        <v>447</v>
      </c>
      <c r="E19" s="9" t="s">
        <v>450</v>
      </c>
      <c r="F19" s="9">
        <v>60</v>
      </c>
      <c r="G19" s="9">
        <v>3</v>
      </c>
      <c r="H19" s="9">
        <v>3</v>
      </c>
      <c r="I19" s="9">
        <v>1</v>
      </c>
      <c r="J19" s="8">
        <f t="shared" si="0"/>
        <v>3.3000000000000003</v>
      </c>
      <c r="K19" s="8">
        <f t="shared" si="1"/>
        <v>3.96</v>
      </c>
      <c r="L19" s="165">
        <v>156.30000000000001</v>
      </c>
      <c r="M19" s="10">
        <f t="shared" si="7"/>
        <v>6</v>
      </c>
      <c r="N19" s="24">
        <v>6</v>
      </c>
      <c r="O19" s="26"/>
      <c r="P19" s="155">
        <v>2</v>
      </c>
      <c r="Q19" s="10">
        <f t="shared" si="2"/>
        <v>0</v>
      </c>
      <c r="R19" s="10">
        <f t="shared" si="3"/>
        <v>0</v>
      </c>
      <c r="S19" s="10">
        <f t="shared" si="4"/>
        <v>781.5</v>
      </c>
      <c r="T19" s="10">
        <f t="shared" si="5"/>
        <v>312.60000000000002</v>
      </c>
      <c r="U19" s="27">
        <f t="shared" si="6"/>
        <v>937.80000000000007</v>
      </c>
      <c r="V19" s="3"/>
      <c r="W19" s="3"/>
      <c r="Y19" s="20"/>
      <c r="Z19" s="136">
        <f>Z17+Z18</f>
        <v>6922.5803999050404</v>
      </c>
      <c r="AA19" t="s">
        <v>44</v>
      </c>
    </row>
    <row r="20" spans="1:27" ht="15" customHeight="1" x14ac:dyDescent="0.25">
      <c r="A20" s="8">
        <v>18</v>
      </c>
      <c r="B20" s="9">
        <v>1</v>
      </c>
      <c r="C20" s="9">
        <v>2</v>
      </c>
      <c r="D20" s="9" t="s">
        <v>447</v>
      </c>
      <c r="E20" s="9">
        <v>3</v>
      </c>
      <c r="F20" s="9">
        <v>2</v>
      </c>
      <c r="G20" s="9">
        <v>0.7</v>
      </c>
      <c r="H20" s="9">
        <v>2</v>
      </c>
      <c r="I20" s="9">
        <v>1</v>
      </c>
      <c r="J20" s="8">
        <f t="shared" si="0"/>
        <v>0.7</v>
      </c>
      <c r="K20" s="8">
        <f t="shared" si="1"/>
        <v>0.84</v>
      </c>
      <c r="L20" s="165">
        <v>0</v>
      </c>
      <c r="M20" s="10">
        <f t="shared" si="7"/>
        <v>6</v>
      </c>
      <c r="N20" s="24">
        <v>0</v>
      </c>
      <c r="O20" s="26"/>
      <c r="P20" s="155">
        <v>0</v>
      </c>
      <c r="Q20" s="10">
        <f t="shared" si="2"/>
        <v>0</v>
      </c>
      <c r="R20" s="10">
        <f t="shared" si="3"/>
        <v>0</v>
      </c>
      <c r="S20" s="10">
        <f t="shared" si="4"/>
        <v>0</v>
      </c>
      <c r="T20" s="10">
        <f t="shared" si="5"/>
        <v>0</v>
      </c>
      <c r="U20" s="27">
        <f t="shared" si="6"/>
        <v>0</v>
      </c>
      <c r="V20" s="3"/>
      <c r="W20" s="3"/>
      <c r="Y20" s="20"/>
    </row>
    <row r="21" spans="1:27" ht="15" customHeight="1" x14ac:dyDescent="0.25">
      <c r="A21" s="8">
        <v>19</v>
      </c>
      <c r="B21" s="9">
        <v>1</v>
      </c>
      <c r="C21" s="9">
        <v>2</v>
      </c>
      <c r="D21" s="9" t="s">
        <v>447</v>
      </c>
      <c r="E21" s="9">
        <v>2</v>
      </c>
      <c r="F21" s="9">
        <v>131</v>
      </c>
      <c r="G21" s="9">
        <v>0.6</v>
      </c>
      <c r="H21" s="9">
        <v>1</v>
      </c>
      <c r="I21" s="9">
        <v>1</v>
      </c>
      <c r="J21" s="8">
        <f t="shared" si="0"/>
        <v>0.6</v>
      </c>
      <c r="K21" s="8">
        <f t="shared" si="1"/>
        <v>0.72</v>
      </c>
      <c r="L21" s="10">
        <f>IF(H21=$X$10,SQRT(K21*10000),SQRT('Parcellaire (2)'!K21*10000)/$AB$11)</f>
        <v>84.852813742385706</v>
      </c>
      <c r="M21" s="10">
        <f t="shared" si="7"/>
        <v>4</v>
      </c>
      <c r="N21" s="24">
        <v>4</v>
      </c>
      <c r="O21" s="26"/>
      <c r="P21" s="155">
        <v>3</v>
      </c>
      <c r="Q21" s="10">
        <f t="shared" si="2"/>
        <v>0</v>
      </c>
      <c r="R21" s="10">
        <f t="shared" si="3"/>
        <v>0</v>
      </c>
      <c r="S21" s="10">
        <f t="shared" si="4"/>
        <v>212.13203435596427</v>
      </c>
      <c r="T21" s="10">
        <f t="shared" si="5"/>
        <v>254.55844122715712</v>
      </c>
      <c r="U21" s="27">
        <f t="shared" si="6"/>
        <v>339.41125496954282</v>
      </c>
      <c r="V21" s="3"/>
      <c r="W21" s="3"/>
    </row>
    <row r="22" spans="1:27" ht="15" customHeight="1" x14ac:dyDescent="0.25">
      <c r="A22" s="8">
        <v>20</v>
      </c>
      <c r="B22" s="9">
        <v>1</v>
      </c>
      <c r="C22" s="9">
        <v>2</v>
      </c>
      <c r="D22" s="9" t="s">
        <v>447</v>
      </c>
      <c r="E22" s="9">
        <v>2</v>
      </c>
      <c r="F22" s="9">
        <v>129</v>
      </c>
      <c r="G22" s="9">
        <v>0.92</v>
      </c>
      <c r="H22" s="9">
        <v>3</v>
      </c>
      <c r="I22" s="9">
        <v>1</v>
      </c>
      <c r="J22" s="8">
        <f t="shared" si="0"/>
        <v>1.0120000000000002</v>
      </c>
      <c r="K22" s="8">
        <f t="shared" si="1"/>
        <v>1.2144000000000001</v>
      </c>
      <c r="L22" s="10">
        <f>IF(H22=$X$10,SQRT(K22*10000),SQRT('Parcellaire (2)'!K22*10000)/$AB$11)</f>
        <v>77.923038955112631</v>
      </c>
      <c r="M22" s="10">
        <f t="shared" si="7"/>
        <v>6</v>
      </c>
      <c r="N22" s="24">
        <v>6</v>
      </c>
      <c r="O22" s="26"/>
      <c r="P22" s="155">
        <v>3</v>
      </c>
      <c r="Q22" s="10">
        <f t="shared" si="2"/>
        <v>0</v>
      </c>
      <c r="R22" s="10">
        <f t="shared" si="3"/>
        <v>0</v>
      </c>
      <c r="S22" s="10">
        <f t="shared" si="4"/>
        <v>350.65367529800682</v>
      </c>
      <c r="T22" s="10">
        <f t="shared" si="5"/>
        <v>233.76911686533788</v>
      </c>
      <c r="U22" s="27">
        <f t="shared" si="6"/>
        <v>467.53823373067576</v>
      </c>
      <c r="V22" s="3"/>
      <c r="W22" s="3"/>
      <c r="Y22" t="s">
        <v>325</v>
      </c>
    </row>
    <row r="23" spans="1:27" ht="15" customHeight="1" x14ac:dyDescent="0.25">
      <c r="A23" s="8">
        <v>16</v>
      </c>
      <c r="B23" s="9">
        <v>1</v>
      </c>
      <c r="C23" s="9">
        <v>2</v>
      </c>
      <c r="D23" s="9" t="s">
        <v>447</v>
      </c>
      <c r="E23" s="9" t="s">
        <v>450</v>
      </c>
      <c r="F23" s="9">
        <v>60</v>
      </c>
      <c r="G23" s="9">
        <v>1.69</v>
      </c>
      <c r="H23" s="9">
        <v>3</v>
      </c>
      <c r="I23" s="9">
        <v>1</v>
      </c>
      <c r="J23" s="8">
        <f t="shared" si="0"/>
        <v>1.859</v>
      </c>
      <c r="K23" s="8">
        <f t="shared" si="1"/>
        <v>2.2307999999999999</v>
      </c>
      <c r="L23" s="10">
        <f>IF(H23=$X$10,SQRT(K23*10000),SQRT('Parcellaire (2)'!K23*10000)/$AB$11)</f>
        <v>105.61249926026748</v>
      </c>
      <c r="M23" s="10">
        <f t="shared" si="7"/>
        <v>6</v>
      </c>
      <c r="N23" s="24">
        <v>6</v>
      </c>
      <c r="O23" s="26"/>
      <c r="P23" s="155">
        <v>2</v>
      </c>
      <c r="Q23" s="10">
        <f t="shared" si="2"/>
        <v>0</v>
      </c>
      <c r="R23" s="10">
        <f t="shared" si="3"/>
        <v>0</v>
      </c>
      <c r="S23" s="10">
        <f t="shared" si="4"/>
        <v>528.06249630133743</v>
      </c>
      <c r="T23" s="10">
        <f t="shared" si="5"/>
        <v>211.22499852053497</v>
      </c>
      <c r="U23" s="27">
        <f t="shared" si="6"/>
        <v>633.67499556160487</v>
      </c>
      <c r="V23" s="3"/>
      <c r="W23" s="3"/>
      <c r="X23" s="133">
        <v>0</v>
      </c>
      <c r="Y23" t="s">
        <v>326</v>
      </c>
    </row>
    <row r="24" spans="1:27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8" t="str">
        <f t="shared" si="0"/>
        <v/>
      </c>
      <c r="K24" s="8" t="e">
        <f t="shared" si="1"/>
        <v>#VALUE!</v>
      </c>
      <c r="L24" s="10" t="e">
        <f>IF(H24=$X$10,SQRT(K24*10000),SQRT('Parcellaire (2)'!K24*10000)/$AB$11)</f>
        <v>#VALUE!</v>
      </c>
      <c r="M24" s="10">
        <f t="shared" si="7"/>
        <v>6</v>
      </c>
      <c r="N24" s="24"/>
      <c r="O24" s="26"/>
      <c r="P24" s="155">
        <v>0</v>
      </c>
      <c r="Q24" s="10">
        <f t="shared" si="2"/>
        <v>0</v>
      </c>
      <c r="R24" s="10">
        <f t="shared" si="3"/>
        <v>0</v>
      </c>
      <c r="S24" s="10" t="e">
        <f t="shared" si="4"/>
        <v>#VALUE!</v>
      </c>
      <c r="T24" s="10">
        <f t="shared" si="5"/>
        <v>0</v>
      </c>
      <c r="U24" s="27" t="e">
        <f t="shared" si="6"/>
        <v>#VALUE!</v>
      </c>
      <c r="V24" s="3"/>
      <c r="W24" s="3"/>
      <c r="X24" s="133">
        <v>1</v>
      </c>
      <c r="Y24" t="s">
        <v>463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>
        <v>2.38</v>
      </c>
      <c r="H25" s="9">
        <v>2</v>
      </c>
      <c r="I25" s="9">
        <v>1</v>
      </c>
      <c r="J25" s="8">
        <f t="shared" si="0"/>
        <v>2.38</v>
      </c>
      <c r="K25" s="8">
        <f t="shared" si="1"/>
        <v>2.8559999999999999</v>
      </c>
      <c r="L25" s="10">
        <f>IF(H25=$X$10,SQRT(K25*10000),SQRT('Parcellaire (2)'!K25*10000)/$AB$11)</f>
        <v>119.49895397031725</v>
      </c>
      <c r="M25" s="10">
        <f t="shared" si="7"/>
        <v>6</v>
      </c>
      <c r="N25" s="24"/>
      <c r="O25" s="26"/>
      <c r="P25" s="155">
        <v>0</v>
      </c>
      <c r="Q25" s="10">
        <f t="shared" si="2"/>
        <v>0</v>
      </c>
      <c r="R25" s="10">
        <f t="shared" si="3"/>
        <v>0</v>
      </c>
      <c r="S25" s="10">
        <f t="shared" si="4"/>
        <v>0</v>
      </c>
      <c r="T25" s="10">
        <f t="shared" si="5"/>
        <v>0</v>
      </c>
      <c r="U25" s="27">
        <f t="shared" si="6"/>
        <v>0</v>
      </c>
      <c r="V25" s="3"/>
      <c r="W25" s="3"/>
      <c r="X25">
        <v>2</v>
      </c>
      <c r="Y25" t="s">
        <v>464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>
        <v>1.99</v>
      </c>
      <c r="H26" s="9">
        <v>3</v>
      </c>
      <c r="I26" s="9">
        <v>1</v>
      </c>
      <c r="J26" s="8">
        <f t="shared" si="0"/>
        <v>2.1890000000000001</v>
      </c>
      <c r="K26" s="8">
        <f t="shared" si="1"/>
        <v>2.6267999999999998</v>
      </c>
      <c r="L26" s="10">
        <f>IF(H26=$X$10,SQRT(K26*10000),SQRT('Parcellaire (2)'!K26*10000)/$AB$11)</f>
        <v>114.60366486286551</v>
      </c>
      <c r="M26" s="10">
        <f t="shared" si="7"/>
        <v>6</v>
      </c>
      <c r="N26" s="24"/>
      <c r="O26" s="26"/>
      <c r="P26" s="155">
        <v>0</v>
      </c>
      <c r="Q26" s="10">
        <f t="shared" si="2"/>
        <v>0</v>
      </c>
      <c r="R26" s="10">
        <f t="shared" si="3"/>
        <v>0</v>
      </c>
      <c r="S26" s="10">
        <f t="shared" si="4"/>
        <v>0</v>
      </c>
      <c r="T26" s="10">
        <f t="shared" si="5"/>
        <v>0</v>
      </c>
      <c r="U26" s="27">
        <f t="shared" si="6"/>
        <v>0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0"/>
        <v/>
      </c>
      <c r="K27" s="8" t="e">
        <f t="shared" si="1"/>
        <v>#VALUE!</v>
      </c>
      <c r="L27" s="10" t="e">
        <f>IF(H27=$X$10,SQRT(K27*10000),SQRT('Parcellaire (2)'!K27*10000)/$AB$11)</f>
        <v>#VALUE!</v>
      </c>
      <c r="M27" s="10">
        <f t="shared" si="7"/>
        <v>6</v>
      </c>
      <c r="N27" s="24"/>
      <c r="O27" s="26"/>
      <c r="P27" s="155">
        <v>0</v>
      </c>
      <c r="Q27" s="10">
        <f t="shared" si="2"/>
        <v>0</v>
      </c>
      <c r="R27" s="10">
        <f t="shared" si="3"/>
        <v>0</v>
      </c>
      <c r="S27" s="10" t="e">
        <f t="shared" si="4"/>
        <v>#VALUE!</v>
      </c>
      <c r="T27" s="10">
        <f t="shared" si="5"/>
        <v>0</v>
      </c>
      <c r="U27" s="27" t="e">
        <f t="shared" si="6"/>
        <v>#VALUE!</v>
      </c>
      <c r="V27" s="3"/>
      <c r="W27" s="3"/>
      <c r="X27">
        <v>0</v>
      </c>
      <c r="Y27" t="s">
        <v>339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0"/>
        <v/>
      </c>
      <c r="K28" s="8" t="e">
        <f t="shared" si="1"/>
        <v>#VALUE!</v>
      </c>
      <c r="L28" s="10" t="e">
        <f>IF(H28=$X$10,SQRT(K28*10000),SQRT('Parcellaire (2)'!K28*10000)/$AB$11)</f>
        <v>#VALUE!</v>
      </c>
      <c r="M28" s="10">
        <f t="shared" si="7"/>
        <v>6</v>
      </c>
      <c r="N28" s="24"/>
      <c r="O28" s="26"/>
      <c r="P28" s="155">
        <v>0</v>
      </c>
      <c r="Q28" s="10">
        <f t="shared" si="2"/>
        <v>0</v>
      </c>
      <c r="R28" s="10">
        <f t="shared" si="3"/>
        <v>0</v>
      </c>
      <c r="S28" s="10" t="e">
        <f t="shared" si="4"/>
        <v>#VALUE!</v>
      </c>
      <c r="T28" s="10">
        <f t="shared" si="5"/>
        <v>0</v>
      </c>
      <c r="U28" s="27" t="e">
        <f t="shared" si="6"/>
        <v>#VALUE!</v>
      </c>
      <c r="V28" s="3"/>
      <c r="W28" s="3"/>
      <c r="X28">
        <v>1</v>
      </c>
      <c r="Y28" t="s">
        <v>340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0"/>
        <v/>
      </c>
      <c r="K29" s="8" t="e">
        <f t="shared" si="1"/>
        <v>#VALUE!</v>
      </c>
      <c r="L29" s="10" t="e">
        <f>IF(H29=$X$10,SQRT(K29*10000),SQRT('Parcellaire (2)'!K29*10000)/$AB$11)</f>
        <v>#VALUE!</v>
      </c>
      <c r="M29" s="10">
        <f t="shared" si="7"/>
        <v>6</v>
      </c>
      <c r="N29" s="24"/>
      <c r="O29" s="26"/>
      <c r="P29" s="155">
        <v>0</v>
      </c>
      <c r="Q29" s="10">
        <f t="shared" si="2"/>
        <v>0</v>
      </c>
      <c r="R29" s="10">
        <f t="shared" si="3"/>
        <v>0</v>
      </c>
      <c r="S29" s="10" t="e">
        <f t="shared" si="4"/>
        <v>#VALUE!</v>
      </c>
      <c r="T29" s="10">
        <f t="shared" si="5"/>
        <v>0</v>
      </c>
      <c r="U29" s="27" t="e">
        <f t="shared" si="6"/>
        <v>#VALUE!</v>
      </c>
      <c r="V29" s="3"/>
      <c r="W29" s="3"/>
      <c r="X29">
        <v>2</v>
      </c>
      <c r="Y29" t="s">
        <v>341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0"/>
        <v/>
      </c>
      <c r="K30" s="8" t="e">
        <f t="shared" si="1"/>
        <v>#VALUE!</v>
      </c>
      <c r="L30" s="10" t="e">
        <f>IF(H30=$X$10,SQRT(K30*10000),SQRT('Parcellaire (2)'!K30*10000)/$AB$11)</f>
        <v>#VALUE!</v>
      </c>
      <c r="M30" s="10">
        <f t="shared" si="7"/>
        <v>6</v>
      </c>
      <c r="N30" s="24"/>
      <c r="O30" s="26"/>
      <c r="P30" s="155">
        <f t="shared" ref="P30:P63" si="8">N30-O30</f>
        <v>0</v>
      </c>
      <c r="Q30" s="10">
        <f t="shared" si="2"/>
        <v>0</v>
      </c>
      <c r="R30" s="10">
        <f t="shared" si="3"/>
        <v>0</v>
      </c>
      <c r="S30" s="10" t="e">
        <f t="shared" si="4"/>
        <v>#VALUE!</v>
      </c>
      <c r="T30" s="10">
        <f t="shared" si="5"/>
        <v>0</v>
      </c>
      <c r="U30" s="27" t="e">
        <f t="shared" si="6"/>
        <v>#VALUE!</v>
      </c>
      <c r="V30" s="3"/>
      <c r="W30" s="3"/>
      <c r="X30">
        <v>3</v>
      </c>
      <c r="Y30" t="s">
        <v>342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0"/>
        <v/>
      </c>
      <c r="K31" s="8" t="e">
        <f t="shared" si="1"/>
        <v>#VALUE!</v>
      </c>
      <c r="L31" s="10" t="e">
        <f>IF(H31=$X$10,SQRT(K31*10000),SQRT('Parcellaire (2)'!K31*10000)/$AB$11)</f>
        <v>#VALUE!</v>
      </c>
      <c r="M31" s="10">
        <f t="shared" si="7"/>
        <v>6</v>
      </c>
      <c r="N31" s="24"/>
      <c r="O31" s="26"/>
      <c r="P31" s="155">
        <f t="shared" si="8"/>
        <v>0</v>
      </c>
      <c r="Q31" s="10">
        <f t="shared" si="2"/>
        <v>0</v>
      </c>
      <c r="R31" s="10">
        <f t="shared" si="3"/>
        <v>0</v>
      </c>
      <c r="S31" s="10" t="e">
        <f t="shared" si="4"/>
        <v>#VALUE!</v>
      </c>
      <c r="T31" s="10">
        <f t="shared" si="5"/>
        <v>0</v>
      </c>
      <c r="U31" s="27" t="e">
        <f t="shared" si="6"/>
        <v>#VALUE!</v>
      </c>
      <c r="V31" s="3"/>
      <c r="W31" s="3"/>
      <c r="X31">
        <v>4</v>
      </c>
      <c r="Y31" t="s">
        <v>343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0"/>
        <v/>
      </c>
      <c r="K32" s="8" t="e">
        <f t="shared" si="1"/>
        <v>#VALUE!</v>
      </c>
      <c r="L32" s="10" t="e">
        <f>IF(H32=$X$10,SQRT(K32*10000),SQRT('Parcellaire (2)'!K32*10000)/$AB$11)</f>
        <v>#VALUE!</v>
      </c>
      <c r="M32" s="10">
        <f t="shared" si="7"/>
        <v>6</v>
      </c>
      <c r="N32" s="24"/>
      <c r="O32" s="26"/>
      <c r="P32" s="155">
        <f t="shared" si="8"/>
        <v>0</v>
      </c>
      <c r="Q32" s="10">
        <f t="shared" si="2"/>
        <v>0</v>
      </c>
      <c r="R32" s="10">
        <f t="shared" si="3"/>
        <v>0</v>
      </c>
      <c r="S32" s="10" t="e">
        <f t="shared" si="4"/>
        <v>#VALUE!</v>
      </c>
      <c r="T32" s="10">
        <f t="shared" si="5"/>
        <v>0</v>
      </c>
      <c r="U32" s="27" t="e">
        <f t="shared" si="6"/>
        <v>#VALUE!</v>
      </c>
      <c r="V32" s="3"/>
      <c r="W32" s="3"/>
      <c r="X32" t="s">
        <v>345</v>
      </c>
      <c r="Y32" t="s">
        <v>344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0"/>
        <v/>
      </c>
      <c r="K33" s="8" t="e">
        <f t="shared" si="1"/>
        <v>#VALUE!</v>
      </c>
      <c r="L33" s="10" t="e">
        <f>IF(H33=$X$10,SQRT(K33*10000),SQRT('Parcellaire (2)'!K33*10000)/$AB$11)</f>
        <v>#VALUE!</v>
      </c>
      <c r="M33" s="10">
        <f t="shared" si="7"/>
        <v>6</v>
      </c>
      <c r="N33" s="24"/>
      <c r="O33" s="26"/>
      <c r="P33" s="155">
        <f t="shared" si="8"/>
        <v>0</v>
      </c>
      <c r="Q33" s="10">
        <f t="shared" si="2"/>
        <v>0</v>
      </c>
      <c r="R33" s="10">
        <f t="shared" si="3"/>
        <v>0</v>
      </c>
      <c r="S33" s="10" t="e">
        <f t="shared" si="4"/>
        <v>#VALUE!</v>
      </c>
      <c r="T33" s="10">
        <f t="shared" si="5"/>
        <v>0</v>
      </c>
      <c r="U33" s="27" t="e">
        <f t="shared" si="6"/>
        <v>#VALUE!</v>
      </c>
      <c r="V33" s="3"/>
      <c r="W33" s="3"/>
      <c r="X33" t="s">
        <v>347</v>
      </c>
      <c r="Y33" t="s">
        <v>346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0"/>
        <v/>
      </c>
      <c r="K34" s="8" t="e">
        <f t="shared" si="1"/>
        <v>#VALUE!</v>
      </c>
      <c r="L34" s="10" t="e">
        <f>IF(H34=$X$10,SQRT(K34*10000),SQRT('Parcellaire (2)'!K34*10000)/$AB$11)</f>
        <v>#VALUE!</v>
      </c>
      <c r="M34" s="10">
        <f t="shared" si="7"/>
        <v>6</v>
      </c>
      <c r="N34" s="24"/>
      <c r="O34" s="26"/>
      <c r="P34" s="155">
        <f t="shared" si="8"/>
        <v>0</v>
      </c>
      <c r="Q34" s="10">
        <f t="shared" si="2"/>
        <v>0</v>
      </c>
      <c r="R34" s="10">
        <f t="shared" si="3"/>
        <v>0</v>
      </c>
      <c r="S34" s="10" t="e">
        <f t="shared" si="4"/>
        <v>#VALUE!</v>
      </c>
      <c r="T34" s="10">
        <f t="shared" si="5"/>
        <v>0</v>
      </c>
      <c r="U34" s="27" t="e">
        <f t="shared" si="6"/>
        <v>#VALUE!</v>
      </c>
      <c r="V34" s="3"/>
      <c r="W34" s="3"/>
      <c r="X34">
        <v>6</v>
      </c>
      <c r="Y34" t="s">
        <v>348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0"/>
        <v/>
      </c>
      <c r="K35" s="8" t="e">
        <f t="shared" si="1"/>
        <v>#VALUE!</v>
      </c>
      <c r="L35" s="10" t="e">
        <f>IF(H35=$X$10,SQRT(K35*10000),SQRT('Parcellaire (2)'!K35*10000)/$AB$11)</f>
        <v>#VALUE!</v>
      </c>
      <c r="M35" s="10">
        <f t="shared" si="7"/>
        <v>6</v>
      </c>
      <c r="N35" s="24"/>
      <c r="O35" s="26"/>
      <c r="P35" s="155">
        <f t="shared" si="8"/>
        <v>0</v>
      </c>
      <c r="Q35" s="10">
        <f t="shared" si="2"/>
        <v>0</v>
      </c>
      <c r="R35" s="10">
        <f t="shared" si="3"/>
        <v>0</v>
      </c>
      <c r="S35" s="10" t="e">
        <f t="shared" si="4"/>
        <v>#VALUE!</v>
      </c>
      <c r="T35" s="10">
        <f t="shared" si="5"/>
        <v>0</v>
      </c>
      <c r="U35" s="27" t="e">
        <f t="shared" si="6"/>
        <v>#VALUE!</v>
      </c>
      <c r="V35" s="3"/>
      <c r="W35" s="3"/>
      <c r="X35">
        <v>7</v>
      </c>
      <c r="Y35" t="s">
        <v>349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0"/>
        <v/>
      </c>
      <c r="K36" s="8" t="e">
        <f t="shared" si="1"/>
        <v>#VALUE!</v>
      </c>
      <c r="L36" s="10" t="e">
        <f>IF(H36=$X$10,SQRT(K36*10000),SQRT('Parcellaire (2)'!K36*10000)/$AB$11)</f>
        <v>#VALUE!</v>
      </c>
      <c r="M36" s="10">
        <f t="shared" si="7"/>
        <v>6</v>
      </c>
      <c r="N36" s="24"/>
      <c r="O36" s="26"/>
      <c r="P36" s="155">
        <f t="shared" si="8"/>
        <v>0</v>
      </c>
      <c r="Q36" s="10">
        <f t="shared" si="2"/>
        <v>0</v>
      </c>
      <c r="R36" s="10">
        <f t="shared" si="3"/>
        <v>0</v>
      </c>
      <c r="S36" s="10" t="e">
        <f t="shared" si="4"/>
        <v>#VALUE!</v>
      </c>
      <c r="T36" s="10">
        <f t="shared" si="5"/>
        <v>0</v>
      </c>
      <c r="U36" s="27" t="e">
        <f t="shared" si="6"/>
        <v>#VALUE!</v>
      </c>
      <c r="V36" s="3"/>
      <c r="W36" s="3"/>
      <c r="X36" t="s">
        <v>351</v>
      </c>
      <c r="Y36" t="s">
        <v>350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0"/>
        <v/>
      </c>
      <c r="K37" s="8" t="e">
        <f t="shared" si="1"/>
        <v>#VALUE!</v>
      </c>
      <c r="L37" s="10" t="e">
        <f>IF(H37=$X$10,SQRT(K37*10000),SQRT('Parcellaire (2)'!K37*10000)/$AB$11)</f>
        <v>#VALUE!</v>
      </c>
      <c r="M37" s="10">
        <f t="shared" si="7"/>
        <v>6</v>
      </c>
      <c r="N37" s="24"/>
      <c r="O37" s="26"/>
      <c r="P37" s="155">
        <f t="shared" si="8"/>
        <v>0</v>
      </c>
      <c r="Q37" s="10">
        <f t="shared" si="2"/>
        <v>0</v>
      </c>
      <c r="R37" s="10">
        <f t="shared" si="3"/>
        <v>0</v>
      </c>
      <c r="S37" s="10" t="e">
        <f t="shared" si="4"/>
        <v>#VALUE!</v>
      </c>
      <c r="T37" s="10">
        <f t="shared" si="5"/>
        <v>0</v>
      </c>
      <c r="U37" s="27" t="e">
        <f t="shared" si="6"/>
        <v>#VALUE!</v>
      </c>
      <c r="V37" s="3"/>
      <c r="W37" s="3"/>
      <c r="X37" t="s">
        <v>353</v>
      </c>
      <c r="Y37" t="s">
        <v>352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si="0"/>
        <v/>
      </c>
      <c r="K38" s="8" t="e">
        <f t="shared" si="1"/>
        <v>#VALUE!</v>
      </c>
      <c r="L38" s="10" t="e">
        <f>IF(H38=$X$10,SQRT(K38*10000),SQRT('Parcellaire (2)'!K38*10000)/$AB$11)</f>
        <v>#VALUE!</v>
      </c>
      <c r="M38" s="10">
        <f t="shared" si="7"/>
        <v>6</v>
      </c>
      <c r="N38" s="24"/>
      <c r="O38" s="26"/>
      <c r="P38" s="155">
        <f t="shared" si="8"/>
        <v>0</v>
      </c>
      <c r="Q38" s="10">
        <f t="shared" si="2"/>
        <v>0</v>
      </c>
      <c r="R38" s="10">
        <f t="shared" si="3"/>
        <v>0</v>
      </c>
      <c r="S38" s="10" t="e">
        <f t="shared" si="4"/>
        <v>#VALUE!</v>
      </c>
      <c r="T38" s="10">
        <f t="shared" si="5"/>
        <v>0</v>
      </c>
      <c r="U38" s="27" t="e">
        <f t="shared" si="6"/>
        <v>#VALUE!</v>
      </c>
      <c r="X38" t="s">
        <v>354</v>
      </c>
      <c r="Y38" t="s">
        <v>355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0"/>
        <v/>
      </c>
      <c r="K39" s="8" t="e">
        <f t="shared" si="1"/>
        <v>#VALUE!</v>
      </c>
      <c r="L39" s="10" t="e">
        <f>IF(H39=$X$10,SQRT(K39*10000),SQRT('Parcellaire (2)'!K39*10000)/$AB$11)</f>
        <v>#VALUE!</v>
      </c>
      <c r="M39" s="10">
        <f t="shared" si="7"/>
        <v>6</v>
      </c>
      <c r="N39" s="24"/>
      <c r="O39" s="26"/>
      <c r="P39" s="155">
        <f t="shared" si="8"/>
        <v>0</v>
      </c>
      <c r="Q39" s="10">
        <f t="shared" si="2"/>
        <v>0</v>
      </c>
      <c r="R39" s="10">
        <f t="shared" si="3"/>
        <v>0</v>
      </c>
      <c r="S39" s="10" t="e">
        <f t="shared" si="4"/>
        <v>#VALUE!</v>
      </c>
      <c r="T39" s="10">
        <f t="shared" si="5"/>
        <v>0</v>
      </c>
      <c r="U39" s="27" t="e">
        <f t="shared" si="6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0"/>
        <v/>
      </c>
      <c r="K40" s="8" t="e">
        <f t="shared" si="1"/>
        <v>#VALUE!</v>
      </c>
      <c r="L40" s="10" t="e">
        <f>IF(H40=$X$10,SQRT(K40*10000),SQRT('Parcellaire (2)'!K40*10000)/$AB$11)</f>
        <v>#VALUE!</v>
      </c>
      <c r="M40" s="10">
        <f t="shared" si="7"/>
        <v>6</v>
      </c>
      <c r="N40" s="24"/>
      <c r="O40" s="26"/>
      <c r="P40" s="155">
        <f t="shared" si="8"/>
        <v>0</v>
      </c>
      <c r="Q40" s="10">
        <f t="shared" si="2"/>
        <v>0</v>
      </c>
      <c r="R40" s="10">
        <f t="shared" si="3"/>
        <v>0</v>
      </c>
      <c r="S40" s="10" t="e">
        <f t="shared" si="4"/>
        <v>#VALUE!</v>
      </c>
      <c r="T40" s="10">
        <f t="shared" si="5"/>
        <v>0</v>
      </c>
      <c r="U40" s="27" t="e">
        <f t="shared" si="6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0"/>
        <v/>
      </c>
      <c r="K41" s="8" t="e">
        <f t="shared" si="1"/>
        <v>#VALUE!</v>
      </c>
      <c r="L41" s="10" t="e">
        <f>IF(H41=$X$10,SQRT(K41*10000),SQRT('Parcellaire (2)'!K41*10000)/$AB$11)</f>
        <v>#VALUE!</v>
      </c>
      <c r="M41" s="10">
        <f t="shared" si="7"/>
        <v>6</v>
      </c>
      <c r="N41" s="24"/>
      <c r="O41" s="26"/>
      <c r="P41" s="155">
        <f t="shared" si="8"/>
        <v>0</v>
      </c>
      <c r="Q41" s="10">
        <f t="shared" si="2"/>
        <v>0</v>
      </c>
      <c r="R41" s="10">
        <f t="shared" si="3"/>
        <v>0</v>
      </c>
      <c r="S41" s="10" t="e">
        <f t="shared" si="4"/>
        <v>#VALUE!</v>
      </c>
      <c r="T41" s="10">
        <f t="shared" si="5"/>
        <v>0</v>
      </c>
      <c r="U41" s="27" t="e">
        <f t="shared" si="6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0"/>
        <v/>
      </c>
      <c r="K42" s="8" t="e">
        <f t="shared" si="1"/>
        <v>#VALUE!</v>
      </c>
      <c r="L42" s="10" t="e">
        <f>IF(H42=$X$10,SQRT(K42*10000),SQRT('Parcellaire (2)'!K42*10000)/$AB$11)</f>
        <v>#VALUE!</v>
      </c>
      <c r="M42" s="10">
        <f t="shared" si="7"/>
        <v>6</v>
      </c>
      <c r="N42" s="24"/>
      <c r="O42" s="26"/>
      <c r="P42" s="155">
        <f t="shared" si="8"/>
        <v>0</v>
      </c>
      <c r="Q42" s="10">
        <f t="shared" si="2"/>
        <v>0</v>
      </c>
      <c r="R42" s="10">
        <f t="shared" si="3"/>
        <v>0</v>
      </c>
      <c r="S42" s="10" t="e">
        <f t="shared" si="4"/>
        <v>#VALUE!</v>
      </c>
      <c r="T42" s="10">
        <f t="shared" si="5"/>
        <v>0</v>
      </c>
      <c r="U42" s="27" t="e">
        <f t="shared" si="6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0"/>
        <v/>
      </c>
      <c r="K43" s="8" t="e">
        <f t="shared" si="1"/>
        <v>#VALUE!</v>
      </c>
      <c r="L43" s="10" t="e">
        <f>IF(H43=$X$10,SQRT(K43*10000),SQRT('Parcellaire (2)'!K43*10000)/$AB$11)</f>
        <v>#VALUE!</v>
      </c>
      <c r="M43" s="10">
        <f t="shared" si="7"/>
        <v>6</v>
      </c>
      <c r="N43" s="24"/>
      <c r="O43" s="26"/>
      <c r="P43" s="155">
        <f t="shared" si="8"/>
        <v>0</v>
      </c>
      <c r="Q43" s="10">
        <f t="shared" si="2"/>
        <v>0</v>
      </c>
      <c r="R43" s="10">
        <f t="shared" si="3"/>
        <v>0</v>
      </c>
      <c r="S43" s="10" t="e">
        <f t="shared" si="4"/>
        <v>#VALUE!</v>
      </c>
      <c r="T43" s="10">
        <f t="shared" si="5"/>
        <v>0</v>
      </c>
      <c r="U43" s="27" t="e">
        <f t="shared" si="6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0"/>
        <v/>
      </c>
      <c r="K44" s="8" t="e">
        <f t="shared" si="1"/>
        <v>#VALUE!</v>
      </c>
      <c r="L44" s="10" t="e">
        <f>IF(H44=$X$10,SQRT(K44*10000),SQRT('Parcellaire (2)'!K44*10000)/$AB$11)</f>
        <v>#VALUE!</v>
      </c>
      <c r="M44" s="10">
        <f t="shared" si="7"/>
        <v>6</v>
      </c>
      <c r="N44" s="24"/>
      <c r="O44" s="26"/>
      <c r="P44" s="155">
        <f t="shared" si="8"/>
        <v>0</v>
      </c>
      <c r="Q44" s="10">
        <f t="shared" si="2"/>
        <v>0</v>
      </c>
      <c r="R44" s="10">
        <f t="shared" si="3"/>
        <v>0</v>
      </c>
      <c r="S44" s="10" t="e">
        <f t="shared" si="4"/>
        <v>#VALUE!</v>
      </c>
      <c r="T44" s="10">
        <f t="shared" si="5"/>
        <v>0</v>
      </c>
      <c r="U44" s="27" t="e">
        <f t="shared" si="6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0"/>
        <v/>
      </c>
      <c r="K45" s="8" t="e">
        <f t="shared" si="1"/>
        <v>#VALUE!</v>
      </c>
      <c r="L45" s="10" t="e">
        <f>IF(H45=$X$10,SQRT(K45*10000),SQRT('Parcellaire (2)'!K45*10000)/$AB$11)</f>
        <v>#VALUE!</v>
      </c>
      <c r="M45" s="10">
        <f t="shared" si="7"/>
        <v>6</v>
      </c>
      <c r="N45" s="24"/>
      <c r="O45" s="26"/>
      <c r="P45" s="155">
        <f t="shared" si="8"/>
        <v>0</v>
      </c>
      <c r="Q45" s="10">
        <f t="shared" si="2"/>
        <v>0</v>
      </c>
      <c r="R45" s="10">
        <f t="shared" si="3"/>
        <v>0</v>
      </c>
      <c r="S45" s="10" t="e">
        <f t="shared" si="4"/>
        <v>#VALUE!</v>
      </c>
      <c r="T45" s="10">
        <f t="shared" si="5"/>
        <v>0</v>
      </c>
      <c r="U45" s="27" t="e">
        <f t="shared" si="6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0"/>
        <v/>
      </c>
      <c r="K46" s="8" t="e">
        <f t="shared" si="1"/>
        <v>#VALUE!</v>
      </c>
      <c r="L46" s="10" t="e">
        <f>IF(H46=$X$10,SQRT(K46*10000),SQRT('Parcellaire (2)'!K46*10000)/$AB$11)</f>
        <v>#VALUE!</v>
      </c>
      <c r="M46" s="10">
        <f t="shared" si="7"/>
        <v>6</v>
      </c>
      <c r="N46" s="24"/>
      <c r="O46" s="26"/>
      <c r="P46" s="155">
        <f t="shared" si="8"/>
        <v>0</v>
      </c>
      <c r="Q46" s="10">
        <f t="shared" si="2"/>
        <v>0</v>
      </c>
      <c r="R46" s="10">
        <f t="shared" si="3"/>
        <v>0</v>
      </c>
      <c r="S46" s="10" t="e">
        <f t="shared" si="4"/>
        <v>#VALUE!</v>
      </c>
      <c r="T46" s="10">
        <f t="shared" si="5"/>
        <v>0</v>
      </c>
      <c r="U46" s="27" t="e">
        <f t="shared" si="6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0"/>
        <v/>
      </c>
      <c r="K47" s="8" t="e">
        <f t="shared" si="1"/>
        <v>#VALUE!</v>
      </c>
      <c r="L47" s="10" t="e">
        <f>IF(H47=$X$10,SQRT(K47*10000),SQRT('Parcellaire (2)'!K47*10000)/$AB$11)</f>
        <v>#VALUE!</v>
      </c>
      <c r="M47" s="10">
        <f t="shared" si="7"/>
        <v>6</v>
      </c>
      <c r="N47" s="24"/>
      <c r="O47" s="26"/>
      <c r="P47" s="155">
        <f t="shared" si="8"/>
        <v>0</v>
      </c>
      <c r="Q47" s="10">
        <f t="shared" si="2"/>
        <v>0</v>
      </c>
      <c r="R47" s="10">
        <f t="shared" si="3"/>
        <v>0</v>
      </c>
      <c r="S47" s="10" t="e">
        <f t="shared" si="4"/>
        <v>#VALUE!</v>
      </c>
      <c r="T47" s="10">
        <f t="shared" si="5"/>
        <v>0</v>
      </c>
      <c r="U47" s="27" t="e">
        <f t="shared" si="6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0"/>
        <v/>
      </c>
      <c r="K48" s="8" t="e">
        <f t="shared" si="1"/>
        <v>#VALUE!</v>
      </c>
      <c r="L48" s="10" t="e">
        <f>IF(H48=$X$10,SQRT(K48*10000),SQRT('Parcellaire (2)'!K48*10000)/$AB$11)</f>
        <v>#VALUE!</v>
      </c>
      <c r="M48" s="10">
        <f t="shared" si="7"/>
        <v>6</v>
      </c>
      <c r="N48" s="24"/>
      <c r="O48" s="26"/>
      <c r="P48" s="155">
        <f t="shared" si="8"/>
        <v>0</v>
      </c>
      <c r="Q48" s="10">
        <f t="shared" si="2"/>
        <v>0</v>
      </c>
      <c r="R48" s="10">
        <f t="shared" si="3"/>
        <v>0</v>
      </c>
      <c r="S48" s="10" t="e">
        <f t="shared" si="4"/>
        <v>#VALUE!</v>
      </c>
      <c r="T48" s="10">
        <f t="shared" si="5"/>
        <v>0</v>
      </c>
      <c r="U48" s="27" t="e">
        <f t="shared" si="6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0"/>
        <v/>
      </c>
      <c r="K49" s="8" t="e">
        <f t="shared" si="1"/>
        <v>#VALUE!</v>
      </c>
      <c r="L49" s="10" t="e">
        <f>IF(H49=$X$10,SQRT(K49*10000),SQRT('Parcellaire (2)'!K49*10000)/$AB$11)</f>
        <v>#VALUE!</v>
      </c>
      <c r="M49" s="10">
        <f t="shared" si="7"/>
        <v>6</v>
      </c>
      <c r="N49" s="24"/>
      <c r="O49" s="26"/>
      <c r="P49" s="155">
        <f t="shared" si="8"/>
        <v>0</v>
      </c>
      <c r="Q49" s="10">
        <f t="shared" si="2"/>
        <v>0</v>
      </c>
      <c r="R49" s="10">
        <f t="shared" si="3"/>
        <v>0</v>
      </c>
      <c r="S49" s="10" t="e">
        <f t="shared" si="4"/>
        <v>#VALUE!</v>
      </c>
      <c r="T49" s="10">
        <f t="shared" si="5"/>
        <v>0</v>
      </c>
      <c r="U49" s="27" t="e">
        <f t="shared" si="6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0"/>
        <v/>
      </c>
      <c r="K50" s="8" t="e">
        <f t="shared" si="1"/>
        <v>#VALUE!</v>
      </c>
      <c r="L50" s="10" t="e">
        <f>IF(H50=$X$10,SQRT(K50*10000),SQRT('Parcellaire (2)'!K50*10000)/$AB$11)</f>
        <v>#VALUE!</v>
      </c>
      <c r="M50" s="10">
        <f t="shared" si="7"/>
        <v>6</v>
      </c>
      <c r="N50" s="24"/>
      <c r="O50" s="26"/>
      <c r="P50" s="155">
        <f t="shared" si="8"/>
        <v>0</v>
      </c>
      <c r="Q50" s="10">
        <f t="shared" si="2"/>
        <v>0</v>
      </c>
      <c r="R50" s="10">
        <f t="shared" si="3"/>
        <v>0</v>
      </c>
      <c r="S50" s="10" t="e">
        <f t="shared" si="4"/>
        <v>#VALUE!</v>
      </c>
      <c r="T50" s="10">
        <f t="shared" si="5"/>
        <v>0</v>
      </c>
      <c r="U50" s="27" t="e">
        <f t="shared" si="6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0"/>
        <v/>
      </c>
      <c r="K51" s="8" t="e">
        <f t="shared" si="1"/>
        <v>#VALUE!</v>
      </c>
      <c r="L51" s="10" t="e">
        <f>IF(H51=$X$10,SQRT(K51*10000),SQRT('Parcellaire (2)'!K51*10000)/$AB$11)</f>
        <v>#VALUE!</v>
      </c>
      <c r="M51" s="10">
        <f t="shared" si="7"/>
        <v>6</v>
      </c>
      <c r="N51" s="24"/>
      <c r="O51" s="26"/>
      <c r="P51" s="155">
        <f t="shared" si="8"/>
        <v>0</v>
      </c>
      <c r="Q51" s="10">
        <f t="shared" si="2"/>
        <v>0</v>
      </c>
      <c r="R51" s="10">
        <f t="shared" si="3"/>
        <v>0</v>
      </c>
      <c r="S51" s="10" t="e">
        <f t="shared" si="4"/>
        <v>#VALUE!</v>
      </c>
      <c r="T51" s="10">
        <f t="shared" si="5"/>
        <v>0</v>
      </c>
      <c r="U51" s="27" t="e">
        <f t="shared" si="6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0"/>
        <v/>
      </c>
      <c r="K52" s="8" t="e">
        <f t="shared" si="1"/>
        <v>#VALUE!</v>
      </c>
      <c r="L52" s="10" t="e">
        <f>IF(H52=$X$10,SQRT(K52*10000),SQRT('Parcellaire (2)'!K52*10000)/$AB$11)</f>
        <v>#VALUE!</v>
      </c>
      <c r="M52" s="10">
        <f t="shared" si="7"/>
        <v>6</v>
      </c>
      <c r="N52" s="24"/>
      <c r="O52" s="26"/>
      <c r="P52" s="155">
        <f t="shared" si="8"/>
        <v>0</v>
      </c>
      <c r="Q52" s="10">
        <f t="shared" si="2"/>
        <v>0</v>
      </c>
      <c r="R52" s="10">
        <f t="shared" si="3"/>
        <v>0</v>
      </c>
      <c r="S52" s="10" t="e">
        <f t="shared" si="4"/>
        <v>#VALUE!</v>
      </c>
      <c r="T52" s="10">
        <f t="shared" si="5"/>
        <v>0</v>
      </c>
      <c r="U52" s="27" t="e">
        <f t="shared" si="6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0"/>
        <v/>
      </c>
      <c r="K53" s="8" t="e">
        <f t="shared" si="1"/>
        <v>#VALUE!</v>
      </c>
      <c r="L53" s="10" t="e">
        <f>IF(H53=$X$10,SQRT(K53*10000),SQRT('Parcellaire (2)'!K53*10000)/$AB$11)</f>
        <v>#VALUE!</v>
      </c>
      <c r="M53" s="10">
        <f t="shared" si="7"/>
        <v>6</v>
      </c>
      <c r="N53" s="24"/>
      <c r="O53" s="26"/>
      <c r="P53" s="155">
        <f t="shared" si="8"/>
        <v>0</v>
      </c>
      <c r="Q53" s="10">
        <f t="shared" si="2"/>
        <v>0</v>
      </c>
      <c r="R53" s="10">
        <f t="shared" si="3"/>
        <v>0</v>
      </c>
      <c r="S53" s="10" t="e">
        <f t="shared" si="4"/>
        <v>#VALUE!</v>
      </c>
      <c r="T53" s="10">
        <f t="shared" si="5"/>
        <v>0</v>
      </c>
      <c r="U53" s="27" t="e">
        <f t="shared" si="6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0"/>
        <v/>
      </c>
      <c r="K54" s="8" t="e">
        <f t="shared" si="1"/>
        <v>#VALUE!</v>
      </c>
      <c r="L54" s="10" t="e">
        <f>IF(H54=$X$10,SQRT(K54*10000),SQRT('Parcellaire (2)'!K54*10000)/$AB$11)</f>
        <v>#VALUE!</v>
      </c>
      <c r="M54" s="10">
        <f t="shared" si="7"/>
        <v>6</v>
      </c>
      <c r="N54" s="24"/>
      <c r="O54" s="26"/>
      <c r="P54" s="155">
        <f t="shared" si="8"/>
        <v>0</v>
      </c>
      <c r="Q54" s="10">
        <f t="shared" si="2"/>
        <v>0</v>
      </c>
      <c r="R54" s="10">
        <f t="shared" si="3"/>
        <v>0</v>
      </c>
      <c r="S54" s="10" t="e">
        <f t="shared" si="4"/>
        <v>#VALUE!</v>
      </c>
      <c r="T54" s="10">
        <f t="shared" si="5"/>
        <v>0</v>
      </c>
      <c r="U54" s="27" t="e">
        <f t="shared" si="6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0"/>
        <v/>
      </c>
      <c r="K55" s="8" t="e">
        <f t="shared" si="1"/>
        <v>#VALUE!</v>
      </c>
      <c r="L55" s="10" t="e">
        <f>IF(H55=$X$10,SQRT(K55*10000),SQRT('Parcellaire (2)'!K55*10000)/$AB$11)</f>
        <v>#VALUE!</v>
      </c>
      <c r="M55" s="10">
        <f t="shared" si="7"/>
        <v>6</v>
      </c>
      <c r="N55" s="24"/>
      <c r="O55" s="26"/>
      <c r="P55" s="155">
        <f t="shared" si="8"/>
        <v>0</v>
      </c>
      <c r="Q55" s="10">
        <f t="shared" si="2"/>
        <v>0</v>
      </c>
      <c r="R55" s="10">
        <f t="shared" si="3"/>
        <v>0</v>
      </c>
      <c r="S55" s="10" t="e">
        <f t="shared" si="4"/>
        <v>#VALUE!</v>
      </c>
      <c r="T55" s="10">
        <f t="shared" si="5"/>
        <v>0</v>
      </c>
      <c r="U55" s="27" t="e">
        <f t="shared" si="6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0"/>
        <v/>
      </c>
      <c r="K56" s="8" t="e">
        <f t="shared" si="1"/>
        <v>#VALUE!</v>
      </c>
      <c r="L56" s="10" t="e">
        <f>IF(H56=$X$10,SQRT(K56*10000),SQRT('Parcellaire (2)'!K56*10000)/$AB$11)</f>
        <v>#VALUE!</v>
      </c>
      <c r="M56" s="10">
        <f t="shared" si="7"/>
        <v>6</v>
      </c>
      <c r="N56" s="24"/>
      <c r="O56" s="26"/>
      <c r="P56" s="155">
        <f t="shared" si="8"/>
        <v>0</v>
      </c>
      <c r="Q56" s="10">
        <f t="shared" si="2"/>
        <v>0</v>
      </c>
      <c r="R56" s="10">
        <f t="shared" si="3"/>
        <v>0</v>
      </c>
      <c r="S56" s="10" t="e">
        <f t="shared" si="4"/>
        <v>#VALUE!</v>
      </c>
      <c r="T56" s="10">
        <f t="shared" si="5"/>
        <v>0</v>
      </c>
      <c r="U56" s="27" t="e">
        <f t="shared" si="6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0"/>
        <v/>
      </c>
      <c r="K57" s="8" t="e">
        <f t="shared" si="1"/>
        <v>#VALUE!</v>
      </c>
      <c r="L57" s="10" t="e">
        <f>IF(H57=$X$10,SQRT(K57*10000),SQRT('Parcellaire (2)'!K57*10000)/$AB$11)</f>
        <v>#VALUE!</v>
      </c>
      <c r="M57" s="10">
        <f t="shared" si="7"/>
        <v>6</v>
      </c>
      <c r="N57" s="24"/>
      <c r="O57" s="26"/>
      <c r="P57" s="155">
        <f t="shared" si="8"/>
        <v>0</v>
      </c>
      <c r="Q57" s="10">
        <f t="shared" si="2"/>
        <v>0</v>
      </c>
      <c r="R57" s="10">
        <f t="shared" si="3"/>
        <v>0</v>
      </c>
      <c r="S57" s="10" t="e">
        <f t="shared" si="4"/>
        <v>#VALUE!</v>
      </c>
      <c r="T57" s="10">
        <f t="shared" si="5"/>
        <v>0</v>
      </c>
      <c r="U57" s="27" t="e">
        <f t="shared" si="6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si="0"/>
        <v/>
      </c>
      <c r="K58" s="8" t="e">
        <f t="shared" si="1"/>
        <v>#VALUE!</v>
      </c>
      <c r="L58" s="10" t="e">
        <f>IF(H58=$X$10,SQRT(K58*10000),SQRT('Parcellaire (2)'!K58*10000)/$AB$11)</f>
        <v>#VALUE!</v>
      </c>
      <c r="M58" s="10">
        <f t="shared" si="7"/>
        <v>6</v>
      </c>
      <c r="N58" s="24"/>
      <c r="O58" s="26"/>
      <c r="P58" s="155">
        <f t="shared" si="8"/>
        <v>0</v>
      </c>
      <c r="Q58" s="10">
        <f t="shared" si="2"/>
        <v>0</v>
      </c>
      <c r="R58" s="10">
        <f t="shared" si="3"/>
        <v>0</v>
      </c>
      <c r="S58" s="10" t="e">
        <f t="shared" si="4"/>
        <v>#VALUE!</v>
      </c>
      <c r="T58" s="10">
        <f t="shared" si="5"/>
        <v>0</v>
      </c>
      <c r="U58" s="27" t="e">
        <f t="shared" si="6"/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0"/>
        <v/>
      </c>
      <c r="K59" s="8" t="e">
        <f t="shared" si="1"/>
        <v>#VALUE!</v>
      </c>
      <c r="L59" s="10" t="e">
        <f>IF(H59=$X$10,SQRT(K59*10000),SQRT('Parcellaire (2)'!K59*10000)/$AB$11)</f>
        <v>#VALUE!</v>
      </c>
      <c r="M59" s="10">
        <f t="shared" si="7"/>
        <v>6</v>
      </c>
      <c r="N59" s="24"/>
      <c r="O59" s="26"/>
      <c r="P59" s="155">
        <f t="shared" si="8"/>
        <v>0</v>
      </c>
      <c r="Q59" s="10">
        <f t="shared" si="2"/>
        <v>0</v>
      </c>
      <c r="R59" s="10">
        <f t="shared" si="3"/>
        <v>0</v>
      </c>
      <c r="S59" s="10" t="e">
        <f t="shared" si="4"/>
        <v>#VALUE!</v>
      </c>
      <c r="T59" s="10">
        <f t="shared" si="5"/>
        <v>0</v>
      </c>
      <c r="U59" s="27" t="e">
        <f t="shared" si="6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0"/>
        <v/>
      </c>
      <c r="K60" s="8" t="e">
        <f t="shared" si="1"/>
        <v>#VALUE!</v>
      </c>
      <c r="L60" s="10" t="e">
        <f>IF(H60=$X$10,SQRT(K60*10000),SQRT('Parcellaire (2)'!K60*10000)/$AB$11)</f>
        <v>#VALUE!</v>
      </c>
      <c r="M60" s="10">
        <f t="shared" si="7"/>
        <v>6</v>
      </c>
      <c r="N60" s="24"/>
      <c r="O60" s="26"/>
      <c r="P60" s="155">
        <f t="shared" si="8"/>
        <v>0</v>
      </c>
      <c r="Q60" s="10">
        <f t="shared" si="2"/>
        <v>0</v>
      </c>
      <c r="R60" s="10">
        <f t="shared" si="3"/>
        <v>0</v>
      </c>
      <c r="S60" s="10" t="e">
        <f t="shared" si="4"/>
        <v>#VALUE!</v>
      </c>
      <c r="T60" s="10">
        <f t="shared" si="5"/>
        <v>0</v>
      </c>
      <c r="U60" s="27" t="e">
        <f t="shared" si="6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0"/>
        <v/>
      </c>
      <c r="K61" s="8" t="e">
        <f t="shared" si="1"/>
        <v>#VALUE!</v>
      </c>
      <c r="L61" s="10" t="e">
        <f>IF(H61=$X$10,SQRT(K61*10000),SQRT('Parcellaire (2)'!K61*10000)/$AB$11)</f>
        <v>#VALUE!</v>
      </c>
      <c r="M61" s="10">
        <f t="shared" si="7"/>
        <v>6</v>
      </c>
      <c r="N61" s="24"/>
      <c r="O61" s="26"/>
      <c r="P61" s="155">
        <f t="shared" si="8"/>
        <v>0</v>
      </c>
      <c r="Q61" s="10">
        <f t="shared" si="2"/>
        <v>0</v>
      </c>
      <c r="R61" s="10">
        <f t="shared" si="3"/>
        <v>0</v>
      </c>
      <c r="S61" s="10" t="e">
        <f t="shared" si="4"/>
        <v>#VALUE!</v>
      </c>
      <c r="T61" s="10">
        <f t="shared" si="5"/>
        <v>0</v>
      </c>
      <c r="U61" s="27" t="e">
        <f t="shared" si="6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0"/>
        <v/>
      </c>
      <c r="K62" s="8" t="e">
        <f t="shared" si="1"/>
        <v>#VALUE!</v>
      </c>
      <c r="L62" s="10" t="e">
        <f>IF(H62=$X$10,SQRT(K62*10000),SQRT('Parcellaire (2)'!K62*10000)/$AB$11)</f>
        <v>#VALUE!</v>
      </c>
      <c r="M62" s="10">
        <f t="shared" si="7"/>
        <v>6</v>
      </c>
      <c r="N62" s="24"/>
      <c r="O62" s="26"/>
      <c r="P62" s="155">
        <f t="shared" si="8"/>
        <v>0</v>
      </c>
      <c r="Q62" s="10">
        <f t="shared" si="2"/>
        <v>0</v>
      </c>
      <c r="R62" s="10">
        <f t="shared" si="3"/>
        <v>0</v>
      </c>
      <c r="S62" s="10" t="e">
        <f t="shared" si="4"/>
        <v>#VALUE!</v>
      </c>
      <c r="T62" s="10">
        <f t="shared" si="5"/>
        <v>0</v>
      </c>
      <c r="U62" s="27" t="e">
        <f t="shared" si="6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0"/>
        <v/>
      </c>
      <c r="K63" s="8" t="e">
        <f t="shared" si="1"/>
        <v>#VALUE!</v>
      </c>
      <c r="L63" s="10" t="e">
        <f>IF(H63=$X$10,SQRT(K63*10000),SQRT('Parcellaire (2)'!K63*10000)/$AB$11)</f>
        <v>#VALUE!</v>
      </c>
      <c r="M63" s="10">
        <f t="shared" si="7"/>
        <v>6</v>
      </c>
      <c r="N63" s="24"/>
      <c r="O63" s="26"/>
      <c r="P63" s="155">
        <f t="shared" si="8"/>
        <v>0</v>
      </c>
      <c r="Q63" s="10">
        <f t="shared" si="2"/>
        <v>0</v>
      </c>
      <c r="R63" s="10">
        <f t="shared" si="3"/>
        <v>0</v>
      </c>
      <c r="S63" s="10" t="e">
        <f t="shared" si="4"/>
        <v>#VALUE!</v>
      </c>
      <c r="T63" s="10">
        <f t="shared" si="5"/>
        <v>0</v>
      </c>
      <c r="U63" s="27" t="e">
        <f t="shared" si="6"/>
        <v>#VALUE!</v>
      </c>
    </row>
    <row r="64" spans="1:21" s="166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SUMIF('Parcellaire (2)'!$B$2:$B$63,1,'Parcellaire (2)'!G2:G63)</f>
        <v>33.550000000000004</v>
      </c>
      <c r="H64" s="135">
        <f>SUMIF('Parcellaire (2)'!$B$2:$B$63,1,'Parcellaire (2)'!H2:H63)</f>
        <v>48</v>
      </c>
      <c r="I64" s="135">
        <f>SUMIF('Parcellaire (2)'!$B$2:$B$63,1,'Parcellaire (2)'!I2:I63)</f>
        <v>12.5</v>
      </c>
      <c r="J64" s="135">
        <f>SUMIF('Parcellaire (2)'!$B$2:$B$63,1,'Parcellaire (2)'!J2:J63)</f>
        <v>36.480000000000004</v>
      </c>
      <c r="K64" s="135">
        <f>SUMIF('Parcellaire (2)'!$B$2:$B$63,1,'Parcellaire (2)'!K2:K63)</f>
        <v>42.397500000000001</v>
      </c>
      <c r="L64" s="135">
        <f>SUMIF('Parcellaire (2)'!$B$2:$B$63,1,'Parcellaire (2)'!L2:L63)</f>
        <v>1464.5234869700485</v>
      </c>
      <c r="M64" s="135">
        <f>SUMIF('Parcellaire (2)'!$B$2:$B$63,1,'Parcellaire (2)'!M2:M63)</f>
        <v>106</v>
      </c>
      <c r="N64" s="135">
        <f>SUMIF('Parcellaire (2)'!$B$2:$B$63,1,'Parcellaire (2)'!N2:N63)</f>
        <v>70</v>
      </c>
      <c r="O64" s="135">
        <f>SUMIF('Parcellaire (2)'!$B$2:$B$63,1,'Parcellaire (2)'!O2:O63)</f>
        <v>0</v>
      </c>
      <c r="P64" s="135">
        <f>SUMIF('Parcellaire (2)'!$B$2:$B$63,1,'Parcellaire (2)'!P2:P63)</f>
        <v>28</v>
      </c>
      <c r="Q64" s="135">
        <f>SUMIF('Parcellaire (2)'!$B$2:$B$63,1,'Parcellaire (2)'!Q2:Q63)</f>
        <v>0</v>
      </c>
      <c r="R64" s="135">
        <f>SUMIF('Parcellaire (2)'!$B$2:$B$63,1,'Parcellaire (2)'!R2:R63)</f>
        <v>0</v>
      </c>
      <c r="S64" s="135">
        <f>SUMIF('Parcellaire (2)'!$B$2:$B$63,1,'Parcellaire (2)'!S2:S63)</f>
        <v>6922.5803999050404</v>
      </c>
      <c r="T64" s="135">
        <f>SUMIF('Parcellaire (2)'!$B$2:$B$63,1,'Parcellaire (2)'!T2:T63)</f>
        <v>3072.9764625436937</v>
      </c>
      <c r="U64" s="135">
        <f>SUMIF('Parcellaire (2)'!$B$2:$B$63,1,'Parcellaire (2)'!U2:U63)</f>
        <v>8617.4352943355207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73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466</v>
      </c>
      <c r="K1" s="80" t="s">
        <v>1449</v>
      </c>
    </row>
    <row r="2" spans="10:22" x14ac:dyDescent="0.25">
      <c r="J2" s="14" t="s">
        <v>467</v>
      </c>
      <c r="K2" s="80" t="s">
        <v>468</v>
      </c>
      <c r="P2" s="14" t="s">
        <v>468</v>
      </c>
      <c r="R2">
        <v>0</v>
      </c>
      <c r="S2" t="s">
        <v>469</v>
      </c>
    </row>
    <row r="3" spans="10:22" x14ac:dyDescent="0.25">
      <c r="J3" s="14" t="s">
        <v>470</v>
      </c>
      <c r="K3" s="80"/>
      <c r="P3" s="14" t="s">
        <v>471</v>
      </c>
      <c r="R3">
        <v>1</v>
      </c>
      <c r="S3" t="s">
        <v>472</v>
      </c>
    </row>
    <row r="4" spans="10:22" x14ac:dyDescent="0.25">
      <c r="J4" s="14" t="s">
        <v>473</v>
      </c>
      <c r="K4" s="80">
        <v>1</v>
      </c>
      <c r="P4" s="14" t="s">
        <v>474</v>
      </c>
    </row>
    <row r="5" spans="10:22" x14ac:dyDescent="0.25">
      <c r="J5" s="14" t="s">
        <v>475</v>
      </c>
      <c r="K5" s="80">
        <v>0.5</v>
      </c>
      <c r="T5" t="s">
        <v>476</v>
      </c>
      <c r="V5" t="s">
        <v>477</v>
      </c>
    </row>
    <row r="6" spans="10:22" x14ac:dyDescent="0.25">
      <c r="J6" s="14" t="s">
        <v>478</v>
      </c>
      <c r="K6" s="80"/>
      <c r="P6" s="14">
        <v>1</v>
      </c>
      <c r="Q6" t="s">
        <v>479</v>
      </c>
      <c r="T6" s="14" t="s">
        <v>480</v>
      </c>
      <c r="V6" s="14" t="s">
        <v>481</v>
      </c>
    </row>
    <row r="7" spans="10:22" x14ac:dyDescent="0.25">
      <c r="P7" s="14">
        <v>2</v>
      </c>
      <c r="Q7" t="s">
        <v>482</v>
      </c>
      <c r="T7" s="14" t="s">
        <v>483</v>
      </c>
      <c r="V7" s="14" t="s">
        <v>484</v>
      </c>
    </row>
    <row r="8" spans="10:22" x14ac:dyDescent="0.25">
      <c r="J8" s="14" t="s">
        <v>485</v>
      </c>
      <c r="K8" s="80">
        <v>1</v>
      </c>
      <c r="P8" s="14">
        <v>3</v>
      </c>
      <c r="Q8" t="s">
        <v>486</v>
      </c>
      <c r="T8" s="14" t="s">
        <v>487</v>
      </c>
      <c r="V8" s="14" t="s">
        <v>488</v>
      </c>
    </row>
    <row r="9" spans="10:22" x14ac:dyDescent="0.25">
      <c r="J9" s="14" t="s">
        <v>489</v>
      </c>
      <c r="K9" s="80" t="s">
        <v>504</v>
      </c>
      <c r="P9" s="14">
        <v>4</v>
      </c>
      <c r="Q9" t="s">
        <v>490</v>
      </c>
      <c r="T9" s="14" t="s">
        <v>491</v>
      </c>
      <c r="V9" s="14" t="s">
        <v>492</v>
      </c>
    </row>
    <row r="10" spans="10:22" x14ac:dyDescent="0.25">
      <c r="J10" s="14" t="s">
        <v>493</v>
      </c>
      <c r="K10" s="168">
        <f>IF(K9="HM",1,IF(K9="M1",1,IF(K9="M2",1,0)))</f>
        <v>1</v>
      </c>
      <c r="P10" s="14">
        <v>5</v>
      </c>
      <c r="Q10" t="s">
        <v>494</v>
      </c>
      <c r="T10" s="14" t="s">
        <v>495</v>
      </c>
      <c r="V10" s="14" t="s">
        <v>496</v>
      </c>
    </row>
    <row r="11" spans="10:22" x14ac:dyDescent="0.25">
      <c r="J11" s="14" t="s">
        <v>497</v>
      </c>
      <c r="K11" s="168">
        <f>IF(K9=0,0,1)</f>
        <v>1</v>
      </c>
      <c r="P11" s="14"/>
      <c r="T11" s="14" t="s">
        <v>498</v>
      </c>
      <c r="V11" s="14" t="s">
        <v>499</v>
      </c>
    </row>
    <row r="12" spans="10:22" x14ac:dyDescent="0.25">
      <c r="J12" s="14" t="s">
        <v>500</v>
      </c>
      <c r="K12" s="80" t="s">
        <v>487</v>
      </c>
      <c r="P12" s="14"/>
      <c r="V12" s="14" t="s">
        <v>501</v>
      </c>
    </row>
    <row r="13" spans="10:22" x14ac:dyDescent="0.25">
      <c r="J13" s="14" t="s">
        <v>477</v>
      </c>
      <c r="K13" s="80" t="s">
        <v>492</v>
      </c>
      <c r="P13" s="14" t="s">
        <v>502</v>
      </c>
      <c r="Q13" t="s">
        <v>503</v>
      </c>
    </row>
    <row r="14" spans="10:22" x14ac:dyDescent="0.25">
      <c r="P14" s="14" t="s">
        <v>504</v>
      </c>
      <c r="Q14" t="s">
        <v>505</v>
      </c>
    </row>
    <row r="15" spans="10:22" x14ac:dyDescent="0.25">
      <c r="J15" s="14" t="s">
        <v>506</v>
      </c>
      <c r="K15" s="80">
        <v>1</v>
      </c>
      <c r="L15" t="s">
        <v>507</v>
      </c>
      <c r="P15" s="14" t="s">
        <v>508</v>
      </c>
      <c r="Q15" t="s">
        <v>509</v>
      </c>
    </row>
    <row r="16" spans="10:22" x14ac:dyDescent="0.25">
      <c r="J16" s="32" t="s">
        <v>510</v>
      </c>
      <c r="K16" s="80">
        <v>0</v>
      </c>
      <c r="P16" s="14" t="s">
        <v>511</v>
      </c>
      <c r="Q16" t="s">
        <v>512</v>
      </c>
    </row>
    <row r="17" spans="10:29" x14ac:dyDescent="0.25">
      <c r="J17" s="14" t="s">
        <v>513</v>
      </c>
      <c r="K17" s="80">
        <v>1</v>
      </c>
      <c r="P17" s="14" t="s">
        <v>514</v>
      </c>
      <c r="Q17" t="s">
        <v>515</v>
      </c>
    </row>
    <row r="18" spans="10:29" x14ac:dyDescent="0.25">
      <c r="J18" s="14" t="s">
        <v>516</v>
      </c>
      <c r="K18" s="80"/>
      <c r="P18" s="14">
        <v>0</v>
      </c>
      <c r="Q18" t="s">
        <v>517</v>
      </c>
    </row>
    <row r="19" spans="10:29" x14ac:dyDescent="0.25">
      <c r="J19" s="14" t="s">
        <v>518</v>
      </c>
      <c r="K19" s="80"/>
    </row>
    <row r="20" spans="10:29" x14ac:dyDescent="0.25">
      <c r="J20" s="14" t="s">
        <v>519</v>
      </c>
      <c r="K20" s="80"/>
    </row>
    <row r="21" spans="10:29" x14ac:dyDescent="0.25">
      <c r="J21" s="14" t="s">
        <v>520</v>
      </c>
      <c r="K21" s="80"/>
    </row>
    <row r="22" spans="10:29" x14ac:dyDescent="0.25">
      <c r="S22" s="2" t="s">
        <v>521</v>
      </c>
      <c r="T22" s="2"/>
      <c r="U22" s="2"/>
    </row>
    <row r="23" spans="10:29" x14ac:dyDescent="0.25">
      <c r="T23" s="166" t="s">
        <v>522</v>
      </c>
      <c r="U23" s="166" t="s">
        <v>52</v>
      </c>
      <c r="V23" s="166" t="s">
        <v>523</v>
      </c>
      <c r="W23" s="166" t="s">
        <v>524</v>
      </c>
      <c r="X23" s="166" t="s">
        <v>525</v>
      </c>
      <c r="Y23" s="166" t="s">
        <v>526</v>
      </c>
      <c r="Z23" s="166" t="s">
        <v>527</v>
      </c>
      <c r="AA23" s="166" t="s">
        <v>528</v>
      </c>
      <c r="AB23" s="166" t="s">
        <v>529</v>
      </c>
      <c r="AC23" s="166" t="s">
        <v>530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10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10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531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532</v>
      </c>
      <c r="K28" s="80">
        <v>11.900000000000002</v>
      </c>
      <c r="L28" t="s">
        <v>52</v>
      </c>
      <c r="M28" s="30">
        <f>U228</f>
        <v>12.9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533</v>
      </c>
      <c r="K29" s="80">
        <v>9.4</v>
      </c>
      <c r="L29" t="s">
        <v>52</v>
      </c>
      <c r="M29" s="30">
        <f>V228</f>
        <v>10.400000000000002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534</v>
      </c>
      <c r="K30" s="80">
        <v>0</v>
      </c>
      <c r="L30" t="s">
        <v>52</v>
      </c>
      <c r="M30" s="30">
        <f>W228</f>
        <v>0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535</v>
      </c>
      <c r="K31" s="80">
        <v>10</v>
      </c>
      <c r="L31" t="s">
        <v>536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537</v>
      </c>
      <c r="K32" s="168">
        <f>$AB$34</f>
        <v>10</v>
      </c>
      <c r="M32" t="s">
        <v>538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539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308</v>
      </c>
      <c r="K34" s="168">
        <f>$W$34</f>
        <v>0</v>
      </c>
      <c r="S34" s="62" t="s">
        <v>13</v>
      </c>
      <c r="T34" s="46"/>
      <c r="U34" s="62">
        <f>SUM(U24:U33)</f>
        <v>10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10</v>
      </c>
      <c r="AC34" s="62">
        <f>SUM(AC24:AC33)</f>
        <v>0</v>
      </c>
    </row>
    <row r="35" spans="10:132" x14ac:dyDescent="0.25">
      <c r="J35" s="14" t="s">
        <v>540</v>
      </c>
      <c r="K35" s="168">
        <f>$X$34</f>
        <v>0</v>
      </c>
    </row>
    <row r="36" spans="10:132" x14ac:dyDescent="0.25">
      <c r="J36" s="14" t="s">
        <v>541</v>
      </c>
      <c r="K36" s="168">
        <f>$Y$34</f>
        <v>0</v>
      </c>
    </row>
    <row r="37" spans="10:132" x14ac:dyDescent="0.25">
      <c r="J37" s="14" t="s">
        <v>542</v>
      </c>
      <c r="K37" s="168">
        <f>$Z$34</f>
        <v>0</v>
      </c>
    </row>
    <row r="38" spans="10:132" x14ac:dyDescent="0.25">
      <c r="J38" s="14" t="s">
        <v>543</v>
      </c>
      <c r="K38" s="168">
        <f>$AA$34</f>
        <v>0</v>
      </c>
    </row>
    <row r="39" spans="10:132" x14ac:dyDescent="0.25">
      <c r="J39" s="14" t="s">
        <v>544</v>
      </c>
      <c r="K39" s="168">
        <f>$AC$34</f>
        <v>0</v>
      </c>
    </row>
    <row r="40" spans="10:132" x14ac:dyDescent="0.25">
      <c r="J40" s="14" t="s">
        <v>545</v>
      </c>
      <c r="K40" s="168">
        <f>AC228</f>
        <v>1.3</v>
      </c>
    </row>
    <row r="41" spans="10:132" x14ac:dyDescent="0.25">
      <c r="J41" s="14" t="s">
        <v>546</v>
      </c>
      <c r="K41" s="168">
        <f>AD228</f>
        <v>17.099999999999998</v>
      </c>
    </row>
    <row r="42" spans="10:132" x14ac:dyDescent="0.25">
      <c r="J42" s="14" t="s">
        <v>547</v>
      </c>
      <c r="K42" s="168">
        <f>AA228</f>
        <v>0</v>
      </c>
    </row>
    <row r="43" spans="10:132" x14ac:dyDescent="0.25">
      <c r="J43" s="14" t="s">
        <v>548</v>
      </c>
      <c r="K43" s="168">
        <f>M28*K31/100</f>
        <v>1.29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549</v>
      </c>
      <c r="K48" s="168">
        <f>K33+K40+K41</f>
        <v>18.399999999999999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550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469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2</v>
      </c>
      <c r="BC50">
        <f>IF(CdTrp1!I78=1,1,IF(CdTrp1!I78=2,2,IF(CdTrp1!I78=3,2,0)))</f>
        <v>2</v>
      </c>
      <c r="BD50">
        <f>IF(CdTrp1!J78=1,1,IF(CdTrp1!J78=2,2,IF(CdTrp1!J78=3,2,0)))</f>
        <v>2</v>
      </c>
      <c r="BE50">
        <f>IF(CdTrp1!K78=1,1,IF(CdTrp1!K78=2,2,IF(CdTrp1!K78=3,2,0)))</f>
        <v>2</v>
      </c>
      <c r="BF50">
        <f>IF(CdTrp1!L78=1,1,IF(CdTrp1!L78=2,2,IF(CdTrp1!L78=3,2,0)))</f>
        <v>2</v>
      </c>
      <c r="BG50">
        <f>IF(CdTrp1!M78=1,1,IF(CdTrp1!M78=2,2,IF(CdTrp1!M78=3,2,0)))</f>
        <v>2</v>
      </c>
      <c r="BH50">
        <f>IF(CdTrp1!N78=1,1,IF(CdTrp1!N78=2,2,IF(CdTrp1!N78=3,2,0)))</f>
        <v>2</v>
      </c>
      <c r="BI50">
        <f>IF(CdTrp1!O78=1,1,IF(CdTrp1!O78=2,2,IF(CdTrp1!O78=3,2,0)))</f>
        <v>2</v>
      </c>
      <c r="BJ50">
        <f>IF(CdTrp1!P78=1,1,IF(CdTrp1!P78=2,2,IF(CdTrp1!P78=3,2,0)))</f>
        <v>2</v>
      </c>
      <c r="BK50">
        <f>IF(CdTrp1!Q78=1,1,IF(CdTrp1!Q78=2,2,IF(CdTrp1!Q78=3,2,0)))</f>
        <v>2</v>
      </c>
      <c r="BL50">
        <f>IF(CdTrp1!R78=1,1,IF(CdTrp1!R78=2,2,IF(CdTrp1!R78=3,2,0)))</f>
        <v>2</v>
      </c>
      <c r="BM50">
        <f>IF(CdTrp1!S78=1,1,IF(CdTrp1!S78=2,2,IF(CdTrp1!S78=3,2,0)))</f>
        <v>2</v>
      </c>
      <c r="BN50">
        <f>IF(CdTrp1!T78=1,1,IF(CdTrp1!T78=2,2,IF(CdTrp1!T78=3,2,0)))</f>
        <v>2</v>
      </c>
      <c r="BO50">
        <f>IF(CdTrp1!U78=1,1,IF(CdTrp1!U78=2,2,IF(CdTrp1!U78=3,2,0)))</f>
        <v>2</v>
      </c>
      <c r="BP50">
        <f>IF(CdTrp1!V78=1,1,IF(CdTrp1!V78=2,2,IF(CdTrp1!V78=3,2,0)))</f>
        <v>2</v>
      </c>
      <c r="BQ50">
        <f>IF(CdTrp1!W78=1,1,IF(CdTrp1!W78=2,2,IF(CdTrp1!W78=3,2,0)))</f>
        <v>2</v>
      </c>
      <c r="BR50">
        <f>IF(CdTrp1!X78=1,1,IF(CdTrp1!X78=2,2,IF(CdTrp1!X78=3,2,0)))</f>
        <v>2</v>
      </c>
      <c r="BS50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551</v>
      </c>
      <c r="K51" s="1">
        <v>0</v>
      </c>
      <c r="M51">
        <v>1</v>
      </c>
      <c r="N51" t="s">
        <v>472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552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553</v>
      </c>
      <c r="K53" s="168" t="str">
        <f>Troupeau!B3</f>
        <v>OL</v>
      </c>
      <c r="L53" t="s">
        <v>554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555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556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557</v>
      </c>
      <c r="K56" s="169">
        <v>1</v>
      </c>
      <c r="N56" t="s">
        <v>558</v>
      </c>
      <c r="P56" t="s">
        <v>559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560</v>
      </c>
      <c r="K57" s="80" t="s">
        <v>559</v>
      </c>
      <c r="N57" t="s">
        <v>561</v>
      </c>
      <c r="P57" t="s">
        <v>562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563</v>
      </c>
      <c r="K58" s="1"/>
      <c r="P58" t="s">
        <v>564</v>
      </c>
    </row>
    <row r="59" spans="10:132" x14ac:dyDescent="0.25">
      <c r="J59" s="14" t="s">
        <v>565</v>
      </c>
      <c r="K59" s="1">
        <v>1</v>
      </c>
      <c r="P59" t="s">
        <v>566</v>
      </c>
    </row>
    <row r="60" spans="10:132" x14ac:dyDescent="0.25">
      <c r="J60" s="40" t="s">
        <v>567</v>
      </c>
      <c r="K60" s="168">
        <f>Troupeau!C3</f>
        <v>0</v>
      </c>
      <c r="L60" t="s">
        <v>568</v>
      </c>
      <c r="P60" t="s">
        <v>569</v>
      </c>
    </row>
    <row r="61" spans="10:132" x14ac:dyDescent="0.25">
      <c r="J61" s="14" t="s">
        <v>570</v>
      </c>
      <c r="K61" s="169"/>
      <c r="L61" s="30" t="str">
        <f>IF(COUNTIF(CdTrp2!B76:Y85,5)&gt;0, "OUI", "NON")</f>
        <v>NON</v>
      </c>
      <c r="P61" t="s">
        <v>571</v>
      </c>
    </row>
    <row r="62" spans="10:132" x14ac:dyDescent="0.25">
      <c r="J62" s="14" t="s">
        <v>572</v>
      </c>
      <c r="K62" s="80"/>
    </row>
    <row r="63" spans="10:132" x14ac:dyDescent="0.25">
      <c r="J63"/>
      <c r="K63"/>
    </row>
    <row r="64" spans="10:132" x14ac:dyDescent="0.25">
      <c r="J64" s="14" t="s">
        <v>573</v>
      </c>
      <c r="K64" s="80"/>
    </row>
    <row r="65" spans="10:22" x14ac:dyDescent="0.25">
      <c r="J65" s="40" t="s">
        <v>574</v>
      </c>
      <c r="K65" s="168">
        <f>Troupeau!D3</f>
        <v>0</v>
      </c>
      <c r="L65" t="s">
        <v>575</v>
      </c>
    </row>
    <row r="66" spans="10:22" x14ac:dyDescent="0.25">
      <c r="J66" s="14" t="s">
        <v>576</v>
      </c>
      <c r="K66" s="80"/>
      <c r="L66" s="30" t="str">
        <f>IF(COUNTIF(CdTrp3!B76:Y85,5)&gt;0, "OUI", "NON")</f>
        <v>NON</v>
      </c>
    </row>
    <row r="67" spans="10:22" x14ac:dyDescent="0.25">
      <c r="J67" s="14" t="s">
        <v>577</v>
      </c>
      <c r="K67" s="80"/>
    </row>
    <row r="68" spans="10:22" x14ac:dyDescent="0.25">
      <c r="J68"/>
      <c r="K68"/>
    </row>
    <row r="69" spans="10:22" x14ac:dyDescent="0.25">
      <c r="J69" s="14" t="s">
        <v>578</v>
      </c>
      <c r="K69" s="80"/>
    </row>
    <row r="70" spans="10:22" x14ac:dyDescent="0.25">
      <c r="J70" s="14" t="s">
        <v>579</v>
      </c>
      <c r="K70" s="168">
        <f>IF(K53="OL",0,K54*K55)</f>
        <v>0</v>
      </c>
    </row>
    <row r="71" spans="10:22" x14ac:dyDescent="0.25">
      <c r="J71" s="14" t="s">
        <v>580</v>
      </c>
      <c r="K71" s="168">
        <f>IF(K60="OL",0,K61*K62)</f>
        <v>0</v>
      </c>
    </row>
    <row r="72" spans="10:22" x14ac:dyDescent="0.25">
      <c r="J72" s="14" t="s">
        <v>581</v>
      </c>
      <c r="K72" s="168">
        <f>IF(K65="OL",0,K66*K67)</f>
        <v>0</v>
      </c>
    </row>
    <row r="73" spans="10:22" x14ac:dyDescent="0.25">
      <c r="J73" s="14" t="s">
        <v>582</v>
      </c>
      <c r="K73" s="168">
        <f>SUM(K70:K72)</f>
        <v>0</v>
      </c>
    </row>
    <row r="74" spans="10:22" x14ac:dyDescent="0.25">
      <c r="J74" s="40" t="s">
        <v>583</v>
      </c>
      <c r="K74"/>
    </row>
    <row r="75" spans="10:22" x14ac:dyDescent="0.25">
      <c r="J75" s="14" t="s">
        <v>553</v>
      </c>
      <c r="K75" s="168" t="str">
        <f>Troupeau!B3</f>
        <v>OL</v>
      </c>
      <c r="L75" t="s">
        <v>584</v>
      </c>
      <c r="R75">
        <v>0</v>
      </c>
      <c r="S75" t="s">
        <v>585</v>
      </c>
      <c r="V75" s="14" t="s">
        <v>586</v>
      </c>
    </row>
    <row r="76" spans="10:22" x14ac:dyDescent="0.25">
      <c r="J76" s="14" t="s">
        <v>587</v>
      </c>
      <c r="K76" s="80"/>
      <c r="L76" s="30" t="str">
        <f>IF(COUNTIF(CdTrp1!B76:Y85,4)&gt;0, "OUI", "NON")</f>
        <v>NON</v>
      </c>
      <c r="R76">
        <v>1</v>
      </c>
      <c r="U76" s="283">
        <v>1</v>
      </c>
      <c r="V76" s="283" t="s">
        <v>588</v>
      </c>
    </row>
    <row r="77" spans="10:22" x14ac:dyDescent="0.25">
      <c r="J77" s="14" t="s">
        <v>589</v>
      </c>
      <c r="K77" s="80"/>
      <c r="R77">
        <v>2</v>
      </c>
      <c r="U77" s="283">
        <v>2</v>
      </c>
      <c r="V77" s="283" t="s">
        <v>590</v>
      </c>
    </row>
    <row r="78" spans="10:22" x14ac:dyDescent="0.25">
      <c r="J78" s="40" t="s">
        <v>567</v>
      </c>
      <c r="K78" s="168">
        <f>Troupeau!C3</f>
        <v>0</v>
      </c>
      <c r="L78" t="s">
        <v>591</v>
      </c>
      <c r="R78">
        <v>3</v>
      </c>
    </row>
    <row r="79" spans="10:22" x14ac:dyDescent="0.25">
      <c r="J79" s="14" t="s">
        <v>592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593</v>
      </c>
      <c r="K80" s="80"/>
      <c r="R80">
        <v>5</v>
      </c>
    </row>
    <row r="81" spans="9:21" x14ac:dyDescent="0.25">
      <c r="J81" s="40" t="s">
        <v>574</v>
      </c>
      <c r="K81" s="168">
        <f>Troupeau!D3</f>
        <v>0</v>
      </c>
      <c r="L81" t="s">
        <v>594</v>
      </c>
      <c r="U81" s="43" t="s">
        <v>595</v>
      </c>
    </row>
    <row r="82" spans="9:21" x14ac:dyDescent="0.25">
      <c r="J82" s="14" t="s">
        <v>596</v>
      </c>
      <c r="K82" s="80"/>
      <c r="L82" s="30" t="str">
        <f>IF(COUNTIF(CdTrp3!B76:Y85,4)&gt;0, "OUI", "NON")</f>
        <v>NON</v>
      </c>
      <c r="Q82" s="43" t="s">
        <v>597</v>
      </c>
      <c r="T82">
        <v>0</v>
      </c>
      <c r="U82" t="s">
        <v>598</v>
      </c>
    </row>
    <row r="83" spans="9:21" x14ac:dyDescent="0.25">
      <c r="J83" s="14" t="s">
        <v>599</v>
      </c>
      <c r="K83" s="80"/>
      <c r="P83">
        <v>1</v>
      </c>
      <c r="Q83" t="s">
        <v>600</v>
      </c>
      <c r="T83">
        <v>1</v>
      </c>
      <c r="U83" t="s">
        <v>601</v>
      </c>
    </row>
    <row r="84" spans="9:21" x14ac:dyDescent="0.25">
      <c r="J84" s="40" t="s">
        <v>586</v>
      </c>
      <c r="K84" s="170">
        <v>1</v>
      </c>
      <c r="L84" t="s">
        <v>602</v>
      </c>
      <c r="P84">
        <v>2</v>
      </c>
      <c r="Q84" t="s">
        <v>603</v>
      </c>
      <c r="T84">
        <v>2</v>
      </c>
      <c r="U84" t="s">
        <v>604</v>
      </c>
    </row>
    <row r="85" spans="9:21" x14ac:dyDescent="0.25">
      <c r="K85"/>
      <c r="Q85" s="43" t="s">
        <v>605</v>
      </c>
      <c r="U85" s="43" t="s">
        <v>606</v>
      </c>
    </row>
    <row r="86" spans="9:21" x14ac:dyDescent="0.25">
      <c r="J86" s="40" t="s">
        <v>607</v>
      </c>
      <c r="P86">
        <v>1</v>
      </c>
      <c r="Q86" t="s">
        <v>608</v>
      </c>
      <c r="T86">
        <v>1</v>
      </c>
      <c r="U86" t="s">
        <v>598</v>
      </c>
    </row>
    <row r="87" spans="9:21" x14ac:dyDescent="0.25">
      <c r="J87" s="14" t="s">
        <v>609</v>
      </c>
      <c r="K87" s="80">
        <v>2</v>
      </c>
      <c r="P87">
        <v>2</v>
      </c>
      <c r="Q87" t="s">
        <v>610</v>
      </c>
      <c r="T87">
        <v>2</v>
      </c>
      <c r="U87" t="s">
        <v>611</v>
      </c>
    </row>
    <row r="88" spans="9:21" x14ac:dyDescent="0.25">
      <c r="J88" s="14" t="s">
        <v>597</v>
      </c>
      <c r="K88" s="80">
        <v>1</v>
      </c>
      <c r="P88">
        <v>3</v>
      </c>
      <c r="Q88" t="s">
        <v>612</v>
      </c>
      <c r="T88">
        <v>3</v>
      </c>
      <c r="U88" t="s">
        <v>613</v>
      </c>
    </row>
    <row r="89" spans="9:21" x14ac:dyDescent="0.25">
      <c r="J89" s="14" t="s">
        <v>614</v>
      </c>
      <c r="K89" s="80"/>
      <c r="T89">
        <v>4</v>
      </c>
      <c r="U89" t="s">
        <v>615</v>
      </c>
    </row>
    <row r="90" spans="9:21" x14ac:dyDescent="0.25">
      <c r="J90" s="14" t="s">
        <v>614</v>
      </c>
      <c r="K90" s="80"/>
    </row>
    <row r="91" spans="9:21" x14ac:dyDescent="0.25">
      <c r="J91" s="14" t="s">
        <v>595</v>
      </c>
      <c r="K91" s="80"/>
    </row>
    <row r="92" spans="9:21" x14ac:dyDescent="0.25">
      <c r="J92"/>
      <c r="K92"/>
    </row>
    <row r="93" spans="9:21" x14ac:dyDescent="0.25">
      <c r="J93" s="14" t="s">
        <v>616</v>
      </c>
      <c r="K93" s="80"/>
    </row>
    <row r="94" spans="9:21" x14ac:dyDescent="0.25">
      <c r="J94" s="14" t="s">
        <v>617</v>
      </c>
      <c r="K94" s="80"/>
      <c r="L94" t="s">
        <v>618</v>
      </c>
    </row>
    <row r="95" spans="9:21" x14ac:dyDescent="0.25">
      <c r="J95" s="14" t="s">
        <v>619</v>
      </c>
      <c r="L95" t="s">
        <v>620</v>
      </c>
      <c r="Q95" t="s">
        <v>621</v>
      </c>
    </row>
    <row r="96" spans="9:21" x14ac:dyDescent="0.25">
      <c r="I96" t="s">
        <v>622</v>
      </c>
      <c r="J96" s="14" t="s">
        <v>228</v>
      </c>
      <c r="K96" s="80" t="s">
        <v>623</v>
      </c>
      <c r="L96" s="30" t="str">
        <f>CdTrp1!A15</f>
        <v>laitiéres</v>
      </c>
      <c r="Q96" t="s">
        <v>623</v>
      </c>
    </row>
    <row r="97" spans="9:17" x14ac:dyDescent="0.25">
      <c r="J97" s="14" t="s">
        <v>157</v>
      </c>
      <c r="K97" s="80" t="s">
        <v>623</v>
      </c>
      <c r="L97" s="30" t="str">
        <f>CdTrp1!A16</f>
        <v>agnelles</v>
      </c>
      <c r="Q97" t="s">
        <v>624</v>
      </c>
    </row>
    <row r="98" spans="9:17" x14ac:dyDescent="0.25">
      <c r="J98" s="14" t="s">
        <v>158</v>
      </c>
      <c r="K98" s="80" t="s">
        <v>623</v>
      </c>
      <c r="L98" s="30" t="str">
        <f>CdTrp1!A17</f>
        <v>vides + mammites</v>
      </c>
    </row>
    <row r="99" spans="9:17" x14ac:dyDescent="0.25">
      <c r="J99" s="14" t="s">
        <v>159</v>
      </c>
      <c r="K99" s="80" t="s">
        <v>623</v>
      </c>
      <c r="L99" s="30" t="str">
        <f>CdTrp1!A18</f>
        <v>béliers</v>
      </c>
    </row>
    <row r="100" spans="9:17" x14ac:dyDescent="0.25">
      <c r="J100" s="14" t="s">
        <v>160</v>
      </c>
      <c r="K100" s="80"/>
      <c r="L100" s="30">
        <f>CdTrp1!A19</f>
        <v>0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625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626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627</v>
      </c>
      <c r="K127" s="80"/>
      <c r="L127" t="s">
        <v>628</v>
      </c>
    </row>
    <row r="128" spans="9:12" x14ac:dyDescent="0.25">
      <c r="K128"/>
    </row>
    <row r="129" spans="10:15" x14ac:dyDescent="0.25">
      <c r="J129" s="14" t="s">
        <v>629</v>
      </c>
      <c r="K129" s="80">
        <v>1</v>
      </c>
      <c r="L129" t="s">
        <v>630</v>
      </c>
      <c r="N129">
        <v>0</v>
      </c>
      <c r="O129" t="s">
        <v>631</v>
      </c>
    </row>
    <row r="130" spans="10:15" x14ac:dyDescent="0.25">
      <c r="J130"/>
      <c r="K130"/>
      <c r="N130">
        <v>1</v>
      </c>
      <c r="O130" t="s">
        <v>632</v>
      </c>
    </row>
    <row r="161" spans="17:41" x14ac:dyDescent="0.25">
      <c r="R161" s="2" t="s">
        <v>633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634</v>
      </c>
      <c r="U163" t="s">
        <v>635</v>
      </c>
      <c r="V163" s="166" t="s">
        <v>636</v>
      </c>
      <c r="W163" s="166" t="s">
        <v>637</v>
      </c>
      <c r="X163" s="167" t="s">
        <v>638</v>
      </c>
      <c r="Y163" s="167" t="s">
        <v>639</v>
      </c>
      <c r="Z163" s="167" t="s">
        <v>640</v>
      </c>
      <c r="AA163" s="167" t="s">
        <v>641</v>
      </c>
      <c r="AB163" s="167" t="s">
        <v>642</v>
      </c>
      <c r="AC163" s="167" t="s">
        <v>643</v>
      </c>
      <c r="AD163" s="167" t="s">
        <v>644</v>
      </c>
      <c r="AE163" s="167" t="s">
        <v>645</v>
      </c>
      <c r="AF163" s="167" t="s">
        <v>646</v>
      </c>
      <c r="AG163" s="167" t="s">
        <v>647</v>
      </c>
      <c r="AH163" s="167" t="s">
        <v>648</v>
      </c>
      <c r="AI163" s="167" t="s">
        <v>649</v>
      </c>
      <c r="AJ163" s="167" t="s">
        <v>650</v>
      </c>
      <c r="AL163" s="5"/>
    </row>
    <row r="164" spans="17:41" x14ac:dyDescent="0.25">
      <c r="Q164">
        <v>1</v>
      </c>
      <c r="R164" s="168">
        <f>'Alim -Surf'!Q7</f>
        <v>265</v>
      </c>
      <c r="S164" s="168">
        <f>'Alim -Surf'!R7</f>
        <v>4.9000000000000004</v>
      </c>
      <c r="T164" s="168">
        <f>VLOOKUP($R164,[1]MEP!$A$4:$M$300,13)</f>
        <v>2</v>
      </c>
      <c r="U164" s="168">
        <f>IF($T164&gt;0,$S164,0)</f>
        <v>4.9000000000000004</v>
      </c>
      <c r="V164" s="168">
        <f>IF($T164&gt;1,$S164,0)</f>
        <v>4.9000000000000004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0</v>
      </c>
      <c r="AD164" s="168">
        <f>S164-AC164-AA164</f>
        <v>4.9000000000000004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4.9000000000000004</v>
      </c>
      <c r="AL164" s="5"/>
      <c r="AO164" s="166" t="s">
        <v>52</v>
      </c>
    </row>
    <row r="165" spans="17:41" x14ac:dyDescent="0.25">
      <c r="Q165">
        <v>2</v>
      </c>
      <c r="R165" s="168">
        <f>'Alim -Surf'!Q8</f>
        <v>264</v>
      </c>
      <c r="S165" s="168">
        <f>'Alim -Surf'!R8</f>
        <v>2.5</v>
      </c>
      <c r="T165" s="168">
        <f>VLOOKUP(R165,[1]MEP!$A$4:$M$300,13)</f>
        <v>1</v>
      </c>
      <c r="U165" s="168">
        <f t="shared" ref="U165:U207" si="10">IF($T165&gt;0,$S165,0)</f>
        <v>2.5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2.5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2.5</v>
      </c>
      <c r="AJ165" s="168">
        <f t="shared" ref="AJ165:AJ207" si="20">IF(T165&gt;1,AD165,0)</f>
        <v>0</v>
      </c>
      <c r="AL165" s="5"/>
      <c r="AN165" s="32" t="s">
        <v>651</v>
      </c>
      <c r="AO165" s="168">
        <f>SUM(AD164:AD183)</f>
        <v>12.9</v>
      </c>
    </row>
    <row r="166" spans="17:41" x14ac:dyDescent="0.25">
      <c r="Q166">
        <v>3</v>
      </c>
      <c r="R166" s="168">
        <f>'Alim -Surf'!Q9</f>
        <v>266</v>
      </c>
      <c r="S166" s="168">
        <f>'Alim -Surf'!R9</f>
        <v>5.5</v>
      </c>
      <c r="T166" s="168">
        <f>VLOOKUP(R166,[1]MEP!$A$4:$M$300,13)</f>
        <v>0</v>
      </c>
      <c r="U166" s="168">
        <f t="shared" si="10"/>
        <v>0</v>
      </c>
      <c r="V166" s="168">
        <f t="shared" si="11"/>
        <v>0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5.5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5.5</v>
      </c>
      <c r="AI166" s="168">
        <f t="shared" si="19"/>
        <v>0</v>
      </c>
      <c r="AJ166" s="168">
        <f t="shared" si="20"/>
        <v>0</v>
      </c>
      <c r="AL166" s="5"/>
      <c r="AN166" s="32" t="s">
        <v>652</v>
      </c>
      <c r="AO166" s="168">
        <f>SUM(AC164:AC183)</f>
        <v>0</v>
      </c>
    </row>
    <row r="167" spans="17:41" x14ac:dyDescent="0.25">
      <c r="Q167">
        <v>4</v>
      </c>
      <c r="R167" s="168">
        <f>'Alim -Surf'!Q10</f>
        <v>0</v>
      </c>
      <c r="S167" s="168">
        <f>'Alim -Surf'!R10</f>
        <v>0</v>
      </c>
      <c r="T167" s="168">
        <f>VLOOKUP(R167,[1]MEP!$A$4:$M$300,13)</f>
        <v>0</v>
      </c>
      <c r="U167" s="168">
        <f t="shared" si="10"/>
        <v>0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0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0</v>
      </c>
      <c r="AI167" s="168">
        <f t="shared" si="19"/>
        <v>0</v>
      </c>
      <c r="AJ167" s="168">
        <f t="shared" si="20"/>
        <v>0</v>
      </c>
      <c r="AL167" s="5"/>
      <c r="AN167" s="32" t="s">
        <v>653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0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0</v>
      </c>
      <c r="AI168" s="168">
        <f t="shared" si="19"/>
        <v>0</v>
      </c>
      <c r="AJ168" s="168">
        <f t="shared" si="20"/>
        <v>0</v>
      </c>
      <c r="AL168" s="5"/>
      <c r="AN168" s="32" t="s">
        <v>654</v>
      </c>
      <c r="AO168" s="168">
        <f>SUM(AD186:AD205)</f>
        <v>4.2</v>
      </c>
    </row>
    <row r="169" spans="17:41" x14ac:dyDescent="0.25"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0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0</v>
      </c>
      <c r="AJ169" s="168">
        <f t="shared" si="20"/>
        <v>0</v>
      </c>
      <c r="AL169" s="5"/>
      <c r="AN169" s="32" t="s">
        <v>655</v>
      </c>
      <c r="AO169" s="168">
        <f>SUM(AC186:AC205)</f>
        <v>1.3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656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657</v>
      </c>
      <c r="AO171" s="168">
        <f>'Alim -Surf'!O51</f>
        <v>10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294</v>
      </c>
      <c r="S186" s="168">
        <f>'Alim -Surf'!R29</f>
        <v>1.2</v>
      </c>
      <c r="T186" s="168">
        <f>VLOOKUP(R186,[1]MEP!$A$4:$M$300,13)</f>
        <v>2</v>
      </c>
      <c r="U186" s="168">
        <f t="shared" si="10"/>
        <v>1.2</v>
      </c>
      <c r="V186" s="168">
        <f t="shared" si="11"/>
        <v>1.2</v>
      </c>
      <c r="W186" s="168">
        <f t="shared" si="12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1.2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0</v>
      </c>
      <c r="AI186" s="168">
        <f t="shared" si="19"/>
        <v>0</v>
      </c>
      <c r="AJ186" s="168">
        <f t="shared" si="20"/>
        <v>1.2</v>
      </c>
      <c r="AL186" s="5"/>
    </row>
    <row r="187" spans="17:38" x14ac:dyDescent="0.25">
      <c r="Q187">
        <v>2</v>
      </c>
      <c r="R187" s="168">
        <f>'Alim -Surf'!Q30</f>
        <v>269</v>
      </c>
      <c r="S187" s="168">
        <f>'Alim -Surf'!R30</f>
        <v>2.1</v>
      </c>
      <c r="T187" s="168">
        <f>VLOOKUP(R187,[1]MEP!$A$4:$M$300,13)</f>
        <v>2</v>
      </c>
      <c r="U187" s="168">
        <f t="shared" si="10"/>
        <v>2.1</v>
      </c>
      <c r="V187" s="168">
        <f t="shared" si="11"/>
        <v>2.1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2.1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2.1</v>
      </c>
      <c r="AL187" s="5"/>
    </row>
    <row r="188" spans="17:38" x14ac:dyDescent="0.25">
      <c r="Q188">
        <v>3</v>
      </c>
      <c r="R188" s="168">
        <f>'Alim -Surf'!Q31</f>
        <v>265</v>
      </c>
      <c r="S188" s="168">
        <f>'Alim -Surf'!R31</f>
        <v>0.9</v>
      </c>
      <c r="T188" s="168">
        <f>VLOOKUP(R188,[1]MEP!$A$4:$M$300,13)</f>
        <v>2</v>
      </c>
      <c r="U188" s="168">
        <f t="shared" si="10"/>
        <v>0.9</v>
      </c>
      <c r="V188" s="168">
        <f t="shared" si="11"/>
        <v>0.9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0.9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0.9</v>
      </c>
      <c r="AL188" s="5"/>
    </row>
    <row r="189" spans="17:38" x14ac:dyDescent="0.25">
      <c r="Q189">
        <v>4</v>
      </c>
      <c r="R189" s="168">
        <f>'Alim -Surf'!Q32</f>
        <v>194</v>
      </c>
      <c r="S189" s="168">
        <f>'Alim -Surf'!R32</f>
        <v>1.3</v>
      </c>
      <c r="T189" s="168">
        <f>VLOOKUP(R189,[1]MEP!$A$4:$M$300,13)</f>
        <v>2</v>
      </c>
      <c r="U189" s="168">
        <f t="shared" si="10"/>
        <v>1.3</v>
      </c>
      <c r="V189" s="168">
        <f t="shared" si="11"/>
        <v>1.3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1</v>
      </c>
      <c r="AA189" s="168">
        <f t="shared" si="8"/>
        <v>0</v>
      </c>
      <c r="AB189" s="168">
        <f t="shared" si="9"/>
        <v>0</v>
      </c>
      <c r="AC189" s="168">
        <f t="shared" si="13"/>
        <v>1.3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1.3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658</v>
      </c>
      <c r="R228" s="2"/>
      <c r="S228" s="62">
        <f t="shared" ref="S228" si="21">SUM(S164:S227)</f>
        <v>18.399999999999999</v>
      </c>
      <c r="U228" s="62">
        <f>SUM(U164:U227)</f>
        <v>12.9</v>
      </c>
      <c r="V228" s="62">
        <f t="shared" ref="V228:W228" si="22">SUM(V164:V227)</f>
        <v>10.400000000000002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1.3</v>
      </c>
      <c r="AD228" s="62">
        <f>SUM(AD164:AD227)</f>
        <v>17.099999999999998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1.3</v>
      </c>
      <c r="AH228" s="62">
        <f t="shared" si="24"/>
        <v>5.5</v>
      </c>
      <c r="AI228" s="62">
        <f t="shared" si="24"/>
        <v>2.5</v>
      </c>
      <c r="AJ228" s="62">
        <f t="shared" si="24"/>
        <v>9.1000000000000014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D1" zoomScale="90" zoomScaleNormal="90" workbookViewId="0">
      <selection activeCell="AJ8" sqref="AJ8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659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660</v>
      </c>
      <c r="BJ1" t="s">
        <v>661</v>
      </c>
    </row>
    <row r="2" spans="1:64" x14ac:dyDescent="0.25">
      <c r="A2" s="14" t="s">
        <v>662</v>
      </c>
      <c r="B2" t="s">
        <v>553</v>
      </c>
      <c r="C2" s="172">
        <f>SUM(C3:C4)</f>
        <v>1</v>
      </c>
      <c r="D2" s="172">
        <f t="shared" ref="D2:Z2" si="0">SUM(D3:D4)</f>
        <v>1</v>
      </c>
      <c r="E2" s="172">
        <f t="shared" si="0"/>
        <v>1</v>
      </c>
      <c r="F2" s="172">
        <f t="shared" si="0"/>
        <v>2</v>
      </c>
      <c r="G2" s="172">
        <f t="shared" si="0"/>
        <v>2</v>
      </c>
      <c r="H2" s="172">
        <f t="shared" si="0"/>
        <v>2</v>
      </c>
      <c r="I2" s="172">
        <f t="shared" si="0"/>
        <v>2</v>
      </c>
      <c r="J2" s="172">
        <f t="shared" si="0"/>
        <v>2</v>
      </c>
      <c r="K2" s="172">
        <f t="shared" si="0"/>
        <v>2</v>
      </c>
      <c r="L2" s="172">
        <f t="shared" si="0"/>
        <v>2</v>
      </c>
      <c r="M2" s="172">
        <f t="shared" si="0"/>
        <v>2</v>
      </c>
      <c r="N2" s="172">
        <f t="shared" si="0"/>
        <v>2</v>
      </c>
      <c r="O2" s="172">
        <f t="shared" si="0"/>
        <v>2</v>
      </c>
      <c r="P2" s="172">
        <f t="shared" si="0"/>
        <v>2</v>
      </c>
      <c r="Q2" s="172">
        <f t="shared" si="0"/>
        <v>2</v>
      </c>
      <c r="R2" s="172">
        <f t="shared" si="0"/>
        <v>2</v>
      </c>
      <c r="S2" s="172">
        <f t="shared" si="0"/>
        <v>2</v>
      </c>
      <c r="T2" s="172">
        <f t="shared" si="0"/>
        <v>2</v>
      </c>
      <c r="U2" s="172">
        <f t="shared" si="0"/>
        <v>2</v>
      </c>
      <c r="V2" s="172">
        <f t="shared" si="0"/>
        <v>2</v>
      </c>
      <c r="W2" s="172">
        <f t="shared" si="0"/>
        <v>2</v>
      </c>
      <c r="X2" s="172">
        <f t="shared" si="0"/>
        <v>2</v>
      </c>
      <c r="Y2" s="172">
        <f t="shared" si="0"/>
        <v>2</v>
      </c>
      <c r="Z2" s="172">
        <f t="shared" si="0"/>
        <v>1</v>
      </c>
      <c r="AH2" s="166"/>
      <c r="AP2" t="s">
        <v>663</v>
      </c>
      <c r="AQ2" t="s">
        <v>664</v>
      </c>
      <c r="AV2" t="s">
        <v>665</v>
      </c>
      <c r="AW2" t="s">
        <v>34</v>
      </c>
      <c r="AX2" t="s">
        <v>445</v>
      </c>
      <c r="AY2" t="s">
        <v>76</v>
      </c>
      <c r="AZ2" t="s">
        <v>18</v>
      </c>
      <c r="BA2" t="s">
        <v>666</v>
      </c>
      <c r="BB2" t="s">
        <v>667</v>
      </c>
      <c r="BC2" t="s">
        <v>668</v>
      </c>
      <c r="BD2" t="s">
        <v>669</v>
      </c>
      <c r="BE2" t="s">
        <v>670</v>
      </c>
      <c r="BF2" t="s">
        <v>671</v>
      </c>
      <c r="BG2" s="166" t="s">
        <v>221</v>
      </c>
      <c r="BH2" s="166" t="s">
        <v>219</v>
      </c>
      <c r="BI2" s="166" t="s">
        <v>220</v>
      </c>
      <c r="BJ2" s="166" t="s">
        <v>221</v>
      </c>
      <c r="BK2" s="166" t="s">
        <v>219</v>
      </c>
      <c r="BL2" s="166" t="s">
        <v>220</v>
      </c>
    </row>
    <row r="3" spans="1:64" x14ac:dyDescent="0.25">
      <c r="A3" s="14" t="s">
        <v>672</v>
      </c>
      <c r="B3" t="s">
        <v>553</v>
      </c>
      <c r="C3" s="172">
        <f t="shared" ref="C3:Z3" si="1">COUNTIF(C81:C90,1)</f>
        <v>0</v>
      </c>
      <c r="D3" s="172">
        <f t="shared" si="1"/>
        <v>0</v>
      </c>
      <c r="E3" s="172">
        <f t="shared" si="1"/>
        <v>0</v>
      </c>
      <c r="F3" s="172">
        <f t="shared" si="1"/>
        <v>1</v>
      </c>
      <c r="G3" s="172">
        <f t="shared" si="1"/>
        <v>1</v>
      </c>
      <c r="H3" s="172">
        <f t="shared" si="1"/>
        <v>1</v>
      </c>
      <c r="I3" s="172">
        <f t="shared" si="1"/>
        <v>1</v>
      </c>
      <c r="J3" s="172">
        <f t="shared" si="1"/>
        <v>1</v>
      </c>
      <c r="K3" s="172">
        <f t="shared" si="1"/>
        <v>1</v>
      </c>
      <c r="L3" s="172">
        <f t="shared" si="1"/>
        <v>1</v>
      </c>
      <c r="M3" s="172">
        <f t="shared" si="1"/>
        <v>1</v>
      </c>
      <c r="N3" s="172">
        <f t="shared" si="1"/>
        <v>1</v>
      </c>
      <c r="O3" s="172">
        <f t="shared" si="1"/>
        <v>1</v>
      </c>
      <c r="P3" s="172">
        <f t="shared" si="1"/>
        <v>1</v>
      </c>
      <c r="Q3" s="172">
        <f t="shared" si="1"/>
        <v>1</v>
      </c>
      <c r="R3" s="172">
        <f t="shared" si="1"/>
        <v>1</v>
      </c>
      <c r="S3" s="172">
        <f t="shared" si="1"/>
        <v>1</v>
      </c>
      <c r="T3" s="172">
        <f t="shared" si="1"/>
        <v>1</v>
      </c>
      <c r="U3" s="172">
        <f t="shared" si="1"/>
        <v>1</v>
      </c>
      <c r="V3" s="172">
        <f t="shared" si="1"/>
        <v>1</v>
      </c>
      <c r="W3" s="172">
        <f t="shared" si="1"/>
        <v>1</v>
      </c>
      <c r="X3" s="172">
        <f t="shared" si="1"/>
        <v>1</v>
      </c>
      <c r="Y3" s="172">
        <f t="shared" si="1"/>
        <v>1</v>
      </c>
      <c r="Z3" s="172">
        <f t="shared" si="1"/>
        <v>0</v>
      </c>
      <c r="AO3" s="14" t="s">
        <v>673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0</v>
      </c>
      <c r="AX3" s="30">
        <f>Parcellaire!D2</f>
        <v>0</v>
      </c>
      <c r="AY3" s="30">
        <f>Parcellaire!F2</f>
        <v>0</v>
      </c>
      <c r="AZ3" s="30">
        <f>Parcellaire!G2</f>
        <v>0</v>
      </c>
      <c r="BA3" s="30">
        <f>ROUND(Parcellaire!S2,0)</f>
        <v>0</v>
      </c>
      <c r="BB3" s="30" t="e">
        <f>ROUND(Parcellaire!T2,0)</f>
        <v>#VALUE!</v>
      </c>
      <c r="BC3" s="30">
        <f>ROUND(Parcellaire!U2,0)</f>
        <v>0</v>
      </c>
      <c r="BD3" s="30" t="e">
        <f>IF(AW3=2,"",VLOOKUP(AY3,[1]MEP!$X$5:$AA$250,4))</f>
        <v>#N/A</v>
      </c>
      <c r="BE3" s="30" t="e">
        <f>IF(AW3=2,"",VLOOKUP(BD3,[1]MEP!$AC$5:$AD$10,2))</f>
        <v>#N/A</v>
      </c>
      <c r="BF3" s="30" t="e">
        <f>IF(BE3="LP","LP",IF(AND(BE3="P",AX3="proche"),"PF",IF(AND(BE3="P",AX3="éloigné"),"PE","AU")))</f>
        <v>#N/A</v>
      </c>
      <c r="BG3" s="168">
        <f>IF($AW3&gt;0,IF(AND($BF3="LP",$AW3=1),$BB3,0),0)</f>
        <v>0</v>
      </c>
      <c r="BH3" s="168">
        <f>IF($AW3&gt;0,IF(AND($BF3="PF",$AW3=1),$BB3,0),0)</f>
        <v>0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0</v>
      </c>
      <c r="BL3" s="168">
        <f>IF($AW3&gt;0,IF(AND($BF3="PE",$AW3=1),$AZ3,0),0)</f>
        <v>0</v>
      </c>
    </row>
    <row r="4" spans="1:64" x14ac:dyDescent="0.25">
      <c r="A4" s="14" t="s">
        <v>674</v>
      </c>
      <c r="B4" t="s">
        <v>553</v>
      </c>
      <c r="C4" s="172">
        <f>COUNTIF(C81:C90,2)</f>
        <v>1</v>
      </c>
      <c r="D4" s="172">
        <f t="shared" ref="D4:Z4" si="2">COUNTIF(D81:D90,2)</f>
        <v>1</v>
      </c>
      <c r="E4" s="172">
        <f t="shared" si="2"/>
        <v>1</v>
      </c>
      <c r="F4" s="172">
        <f t="shared" si="2"/>
        <v>1</v>
      </c>
      <c r="G4" s="172">
        <f t="shared" si="2"/>
        <v>1</v>
      </c>
      <c r="H4" s="172">
        <f t="shared" si="2"/>
        <v>1</v>
      </c>
      <c r="I4" s="172">
        <f t="shared" si="2"/>
        <v>1</v>
      </c>
      <c r="J4" s="172">
        <f t="shared" si="2"/>
        <v>1</v>
      </c>
      <c r="K4" s="172">
        <f t="shared" si="2"/>
        <v>1</v>
      </c>
      <c r="L4" s="172">
        <f t="shared" si="2"/>
        <v>1</v>
      </c>
      <c r="M4" s="172">
        <f t="shared" si="2"/>
        <v>1</v>
      </c>
      <c r="N4" s="172">
        <f t="shared" si="2"/>
        <v>1</v>
      </c>
      <c r="O4" s="172">
        <f t="shared" si="2"/>
        <v>1</v>
      </c>
      <c r="P4" s="172">
        <f t="shared" si="2"/>
        <v>1</v>
      </c>
      <c r="Q4" s="172">
        <f t="shared" si="2"/>
        <v>1</v>
      </c>
      <c r="R4" s="172">
        <f t="shared" si="2"/>
        <v>1</v>
      </c>
      <c r="S4" s="172">
        <f t="shared" si="2"/>
        <v>1</v>
      </c>
      <c r="T4" s="172">
        <f t="shared" si="2"/>
        <v>1</v>
      </c>
      <c r="U4" s="172">
        <f t="shared" si="2"/>
        <v>1</v>
      </c>
      <c r="V4" s="172">
        <f t="shared" si="2"/>
        <v>1</v>
      </c>
      <c r="W4" s="172">
        <f t="shared" si="2"/>
        <v>1</v>
      </c>
      <c r="X4" s="172">
        <f t="shared" si="2"/>
        <v>1</v>
      </c>
      <c r="Y4" s="172">
        <f t="shared" si="2"/>
        <v>1</v>
      </c>
      <c r="Z4" s="172">
        <f t="shared" si="2"/>
        <v>1</v>
      </c>
      <c r="AO4" s="14" t="s">
        <v>675</v>
      </c>
      <c r="AP4" s="30">
        <f>SUM(BG31:BI31)</f>
        <v>4437</v>
      </c>
      <c r="AQ4">
        <f>SUM(BJ31:BL31)</f>
        <v>18.399999999999999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ROUND(Parcellaire!S3,0)</f>
        <v>0</v>
      </c>
      <c r="BB4" s="30" t="e">
        <f>ROUND(Parcellaire!T3,0)</f>
        <v>#VALUE!</v>
      </c>
      <c r="BC4" s="30">
        <f>ROUND(Parcellaire!U3,0)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676</v>
      </c>
      <c r="B5" t="s">
        <v>553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O5" s="14" t="s">
        <v>677</v>
      </c>
      <c r="AP5" s="30">
        <f>BI31</f>
        <v>1296</v>
      </c>
      <c r="AQ5">
        <f>+BL31</f>
        <v>5.5</v>
      </c>
      <c r="AV5" s="30">
        <f>Parcellaire!A4</f>
        <v>3</v>
      </c>
      <c r="AW5" s="30">
        <f>Parcellaire!B4</f>
        <v>1</v>
      </c>
      <c r="AX5" s="30" t="str">
        <f>Parcellaire!D4</f>
        <v>éloigné</v>
      </c>
      <c r="AY5" s="30">
        <f>Parcellaire!F4</f>
        <v>269</v>
      </c>
      <c r="AZ5" s="30">
        <f>Parcellaire!G4</f>
        <v>1.8</v>
      </c>
      <c r="BA5" s="30">
        <f>ROUND(Parcellaire!S4,0)</f>
        <v>0</v>
      </c>
      <c r="BB5" s="30">
        <f>ROUND(Parcellaire!T4,0)</f>
        <v>497</v>
      </c>
      <c r="BC5" s="30">
        <f>ROUND(Parcellaire!U4,0)</f>
        <v>199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PE</v>
      </c>
      <c r="BG5" s="168">
        <f t="shared" si="4"/>
        <v>0</v>
      </c>
      <c r="BH5" s="168">
        <f t="shared" si="5"/>
        <v>0</v>
      </c>
      <c r="BI5" s="168">
        <f t="shared" si="6"/>
        <v>497</v>
      </c>
      <c r="BJ5" s="168">
        <f t="shared" si="7"/>
        <v>0</v>
      </c>
      <c r="BK5" s="168">
        <f t="shared" si="8"/>
        <v>0</v>
      </c>
      <c r="BL5" s="168">
        <f t="shared" si="9"/>
        <v>1.8</v>
      </c>
    </row>
    <row r="6" spans="1:64" x14ac:dyDescent="0.25">
      <c r="A6" s="14" t="s">
        <v>678</v>
      </c>
      <c r="B6" t="s">
        <v>553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679</v>
      </c>
      <c r="AP6" s="30">
        <f>BH31</f>
        <v>3141</v>
      </c>
      <c r="AQ6">
        <f>BK31</f>
        <v>12.9</v>
      </c>
      <c r="AV6" s="30">
        <f>Parcellaire!A5</f>
        <v>4</v>
      </c>
      <c r="AW6" s="30">
        <f>Parcellaire!B5</f>
        <v>0</v>
      </c>
      <c r="AX6" s="30">
        <f>Parcellaire!D5</f>
        <v>0</v>
      </c>
      <c r="AY6" s="30">
        <f>Parcellaire!F5</f>
        <v>0</v>
      </c>
      <c r="AZ6" s="30">
        <f>Parcellaire!G5</f>
        <v>0</v>
      </c>
      <c r="BA6" s="30">
        <f>ROUND(Parcellaire!S5,0)</f>
        <v>0</v>
      </c>
      <c r="BB6" s="30" t="e">
        <f>ROUND(Parcellaire!T5,0)</f>
        <v>#VALUE!</v>
      </c>
      <c r="BC6" s="30">
        <f>ROUND(Parcellaire!U5,0)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3"/>
        <v>#N/A</v>
      </c>
      <c r="BG6" s="168">
        <f t="shared" si="4"/>
        <v>0</v>
      </c>
      <c r="BH6" s="168">
        <f t="shared" si="5"/>
        <v>0</v>
      </c>
      <c r="BI6" s="168">
        <f t="shared" si="6"/>
        <v>0</v>
      </c>
      <c r="BJ6" s="168">
        <f t="shared" si="7"/>
        <v>0</v>
      </c>
      <c r="BK6" s="168">
        <f t="shared" si="8"/>
        <v>0</v>
      </c>
      <c r="BL6" s="168">
        <f t="shared" si="9"/>
        <v>0</v>
      </c>
    </row>
    <row r="7" spans="1:64" x14ac:dyDescent="0.25">
      <c r="A7" s="14" t="s">
        <v>680</v>
      </c>
      <c r="B7" t="s">
        <v>553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0</v>
      </c>
      <c r="O7" s="172">
        <f t="shared" si="12"/>
        <v>0</v>
      </c>
      <c r="P7" s="172">
        <f t="shared" si="12"/>
        <v>0</v>
      </c>
      <c r="Q7" s="172">
        <f t="shared" si="12"/>
        <v>0</v>
      </c>
      <c r="R7" s="172">
        <f t="shared" si="12"/>
        <v>0</v>
      </c>
      <c r="S7" s="172">
        <f t="shared" si="12"/>
        <v>0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681</v>
      </c>
      <c r="AP7" s="30">
        <f>Scénario!K73*[1]Protect!$F$60</f>
        <v>0</v>
      </c>
      <c r="AV7" s="30">
        <f>Parcellaire!A6</f>
        <v>5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ROUND(Parcellaire!S6,0)</f>
        <v>0</v>
      </c>
      <c r="BB7" s="30" t="e">
        <f>ROUND(Parcellaire!T6,0)</f>
        <v>#VALUE!</v>
      </c>
      <c r="BC7" s="30">
        <f>ROUND(Parcellaire!U6,0)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68">
        <f t="shared" si="4"/>
        <v>0</v>
      </c>
      <c r="BH7" s="168">
        <f t="shared" si="5"/>
        <v>0</v>
      </c>
      <c r="BI7" s="168">
        <f t="shared" si="6"/>
        <v>0</v>
      </c>
      <c r="BJ7" s="168">
        <f t="shared" si="7"/>
        <v>0</v>
      </c>
      <c r="BK7" s="168">
        <f t="shared" si="8"/>
        <v>0</v>
      </c>
      <c r="BL7" s="168">
        <f t="shared" si="9"/>
        <v>0</v>
      </c>
    </row>
    <row r="8" spans="1:64" x14ac:dyDescent="0.25">
      <c r="A8" s="14" t="s">
        <v>682</v>
      </c>
      <c r="B8" t="s">
        <v>553</v>
      </c>
      <c r="C8" s="172">
        <f>(C3+C4)*[1]Protect!$B$12</f>
        <v>2</v>
      </c>
      <c r="D8" s="172">
        <f>(D3+D4)*[1]Protect!$B$12</f>
        <v>2</v>
      </c>
      <c r="E8" s="172">
        <f>(E3+E4)*[1]Protect!$B$12</f>
        <v>2</v>
      </c>
      <c r="F8" s="172">
        <f>(F3+F4)*[1]Protect!$B$12</f>
        <v>4</v>
      </c>
      <c r="G8" s="172">
        <f>(G3+G4)*[1]Protect!$B$12</f>
        <v>4</v>
      </c>
      <c r="H8" s="172">
        <f>(H3+H4)*[1]Protect!$B$12</f>
        <v>4</v>
      </c>
      <c r="I8" s="172">
        <f>(I3+I4)*[1]Protect!$B$12</f>
        <v>4</v>
      </c>
      <c r="J8" s="172">
        <f>(J3+J4)*[1]Protect!$B$12</f>
        <v>4</v>
      </c>
      <c r="K8" s="172">
        <f>(K3+K4)*[1]Protect!$B$12</f>
        <v>4</v>
      </c>
      <c r="L8" s="172">
        <f>(L3+L4)*[1]Protect!$B$12</f>
        <v>4</v>
      </c>
      <c r="M8" s="172">
        <f>(M3+M4)*[1]Protect!$B$12</f>
        <v>4</v>
      </c>
      <c r="N8" s="172">
        <f>(N3+N4)*[1]Protect!$B$12</f>
        <v>4</v>
      </c>
      <c r="O8" s="172">
        <f>(O3+O4)*[1]Protect!$B$12</f>
        <v>4</v>
      </c>
      <c r="P8" s="172">
        <f>(P3+P4)*[1]Protect!$B$12</f>
        <v>4</v>
      </c>
      <c r="Q8" s="172">
        <f>(Q3+Q4)*[1]Protect!$B$12</f>
        <v>4</v>
      </c>
      <c r="R8" s="172">
        <f>(R3+R4)*[1]Protect!$B$12</f>
        <v>4</v>
      </c>
      <c r="S8" s="172">
        <f>(S3+S4)*[1]Protect!$B$12</f>
        <v>4</v>
      </c>
      <c r="T8" s="172">
        <f>(T3+T4)*[1]Protect!$B$12</f>
        <v>4</v>
      </c>
      <c r="U8" s="172">
        <f>(U3+U4)*[1]Protect!$B$12</f>
        <v>4</v>
      </c>
      <c r="V8" s="172">
        <f>(V3+V4)*[1]Protect!$B$12</f>
        <v>4</v>
      </c>
      <c r="W8" s="172">
        <f>(W3+W4)*[1]Protect!$B$12</f>
        <v>4</v>
      </c>
      <c r="X8" s="172">
        <f>(X3+X4)*[1]Protect!$B$12</f>
        <v>4</v>
      </c>
      <c r="Y8" s="172">
        <f>(Y3+Y4)*[1]Protect!$B$12</f>
        <v>4</v>
      </c>
      <c r="Z8" s="172">
        <f>(Z3+Z4)*[1]Protect!$B$12</f>
        <v>2</v>
      </c>
      <c r="AI8" s="40" t="s">
        <v>683</v>
      </c>
      <c r="AJ8" s="30">
        <f>IF(Scénario!$K$87=5,2,IF(Scénario!$K$87&gt;0,MAX($C$214:$Z$214),0))</f>
        <v>4</v>
      </c>
      <c r="AO8" s="14"/>
      <c r="AV8" s="30">
        <f>Parcellaire!A7</f>
        <v>6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68">
        <f t="shared" si="4"/>
        <v>0</v>
      </c>
      <c r="BH8" s="168">
        <f t="shared" si="5"/>
        <v>0</v>
      </c>
      <c r="BI8" s="168">
        <f t="shared" si="6"/>
        <v>0</v>
      </c>
      <c r="BJ8" s="168">
        <f t="shared" si="7"/>
        <v>0</v>
      </c>
      <c r="BK8" s="168">
        <f t="shared" si="8"/>
        <v>0</v>
      </c>
      <c r="BL8" s="168">
        <f t="shared" si="9"/>
        <v>0</v>
      </c>
    </row>
    <row r="9" spans="1:64" x14ac:dyDescent="0.25">
      <c r="A9" s="14" t="s">
        <v>684</v>
      </c>
      <c r="B9" t="s">
        <v>553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éloigné</v>
      </c>
      <c r="AY9" s="30">
        <f>Parcellaire!F8</f>
        <v>194</v>
      </c>
      <c r="AZ9" s="30">
        <f>Parcellaire!G8</f>
        <v>2.7</v>
      </c>
      <c r="BA9" s="30">
        <f>ROUND(Parcellaire!S8,0)</f>
        <v>0</v>
      </c>
      <c r="BB9" s="30">
        <f>ROUND(Parcellaire!T8,0)</f>
        <v>465</v>
      </c>
      <c r="BC9" s="30">
        <f>ROUND(Parcellaire!U8,0)</f>
        <v>465</v>
      </c>
      <c r="BD9" s="30" t="str">
        <f>IF(AW9=2,"",VLOOKUP(AY9,[1]MEP!$X$5:$AA$250,4))</f>
        <v>PT</v>
      </c>
      <c r="BE9" s="30" t="str">
        <f>IF(AW9=2,"",VLOOKUP(BD9,[1]MEP!$AC$5:$AD$10,2))</f>
        <v>P</v>
      </c>
      <c r="BF9" s="30" t="str">
        <f t="shared" si="3"/>
        <v>PE</v>
      </c>
      <c r="BG9" s="168">
        <f t="shared" si="4"/>
        <v>0</v>
      </c>
      <c r="BH9" s="168">
        <f t="shared" si="5"/>
        <v>0</v>
      </c>
      <c r="BI9" s="168">
        <f t="shared" si="6"/>
        <v>465</v>
      </c>
      <c r="BJ9" s="168">
        <f t="shared" si="7"/>
        <v>0</v>
      </c>
      <c r="BK9" s="168">
        <f t="shared" si="8"/>
        <v>0</v>
      </c>
      <c r="BL9" s="168">
        <f t="shared" si="9"/>
        <v>2.7</v>
      </c>
    </row>
    <row r="10" spans="1:64" x14ac:dyDescent="0.25">
      <c r="A10" s="14" t="s">
        <v>685</v>
      </c>
      <c r="B10" t="s">
        <v>553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265</v>
      </c>
      <c r="AZ10" s="30">
        <f>Parcellaire!G9</f>
        <v>0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PE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686</v>
      </c>
      <c r="B11" t="s">
        <v>553</v>
      </c>
      <c r="C11" s="172">
        <f>SUM(C8:C10)</f>
        <v>2</v>
      </c>
      <c r="D11" s="172">
        <f t="shared" ref="D11:Z11" si="13">SUM(D8:D10)</f>
        <v>2</v>
      </c>
      <c r="E11" s="172">
        <f t="shared" si="13"/>
        <v>2</v>
      </c>
      <c r="F11" s="172">
        <f t="shared" si="13"/>
        <v>4</v>
      </c>
      <c r="G11" s="172">
        <f t="shared" si="13"/>
        <v>4</v>
      </c>
      <c r="H11" s="172">
        <f t="shared" si="13"/>
        <v>4</v>
      </c>
      <c r="I11" s="172">
        <f t="shared" si="13"/>
        <v>4</v>
      </c>
      <c r="J11" s="172">
        <f t="shared" si="13"/>
        <v>4</v>
      </c>
      <c r="K11" s="172">
        <f t="shared" si="13"/>
        <v>4</v>
      </c>
      <c r="L11" s="172">
        <f t="shared" si="13"/>
        <v>4</v>
      </c>
      <c r="M11" s="172">
        <f t="shared" si="13"/>
        <v>4</v>
      </c>
      <c r="N11" s="172">
        <f t="shared" si="13"/>
        <v>4</v>
      </c>
      <c r="O11" s="172">
        <f t="shared" si="13"/>
        <v>4</v>
      </c>
      <c r="P11" s="172">
        <f t="shared" si="13"/>
        <v>4</v>
      </c>
      <c r="Q11" s="172">
        <f t="shared" si="13"/>
        <v>4</v>
      </c>
      <c r="R11" s="172">
        <f t="shared" si="13"/>
        <v>4</v>
      </c>
      <c r="S11" s="172">
        <f t="shared" si="13"/>
        <v>4</v>
      </c>
      <c r="T11" s="172">
        <f t="shared" si="13"/>
        <v>4</v>
      </c>
      <c r="U11" s="172">
        <f t="shared" si="13"/>
        <v>4</v>
      </c>
      <c r="V11" s="172">
        <f t="shared" si="13"/>
        <v>4</v>
      </c>
      <c r="W11" s="172">
        <f t="shared" si="13"/>
        <v>4</v>
      </c>
      <c r="X11" s="172">
        <f t="shared" si="13"/>
        <v>4</v>
      </c>
      <c r="Y11" s="172">
        <f t="shared" si="13"/>
        <v>4</v>
      </c>
      <c r="Z11" s="172">
        <f t="shared" si="13"/>
        <v>2</v>
      </c>
      <c r="AB11" s="2" t="s">
        <v>687</v>
      </c>
      <c r="AC11" s="14"/>
      <c r="AV11" s="30">
        <f>Parcellaire!A10</f>
        <v>9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68">
        <f t="shared" si="4"/>
        <v>0</v>
      </c>
      <c r="BH11" s="168">
        <f t="shared" si="5"/>
        <v>0</v>
      </c>
      <c r="BI11" s="168">
        <f t="shared" si="6"/>
        <v>0</v>
      </c>
      <c r="BJ11" s="168">
        <f t="shared" si="7"/>
        <v>0</v>
      </c>
      <c r="BK11" s="168">
        <f t="shared" si="8"/>
        <v>0</v>
      </c>
      <c r="BL11" s="168">
        <f t="shared" si="9"/>
        <v>0</v>
      </c>
    </row>
    <row r="12" spans="1:64" x14ac:dyDescent="0.25">
      <c r="A12" s="14" t="s">
        <v>688</v>
      </c>
      <c r="B12" t="s">
        <v>553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0</v>
      </c>
      <c r="O12" s="172">
        <f>O7*[1]Protect!$B$15</f>
        <v>0</v>
      </c>
      <c r="P12" s="172">
        <f>P7*[1]Protect!$B$15</f>
        <v>0</v>
      </c>
      <c r="Q12" s="172">
        <f>Q7*[1]Protect!$B$15</f>
        <v>0</v>
      </c>
      <c r="R12" s="172">
        <f>R7*[1]Protect!$B$15</f>
        <v>0</v>
      </c>
      <c r="S12" s="172">
        <f>S7*[1]Protect!$B$15</f>
        <v>0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689</v>
      </c>
      <c r="AV12" s="30">
        <f>Parcellaire!A11</f>
        <v>10</v>
      </c>
      <c r="AW12" s="30">
        <f>Parcellaire!B11</f>
        <v>1</v>
      </c>
      <c r="AX12" s="30" t="str">
        <f>Parcellaire!D11</f>
        <v>éloigné</v>
      </c>
      <c r="AY12" s="30">
        <f>Parcellaire!F11</f>
        <v>266</v>
      </c>
      <c r="AZ12" s="30">
        <f>Parcellaire!G11</f>
        <v>1</v>
      </c>
      <c r="BA12" s="30">
        <f>ROUND(Parcellaire!S11,0)</f>
        <v>0</v>
      </c>
      <c r="BB12" s="30">
        <f>ROUND(Parcellaire!T11,0)</f>
        <v>334</v>
      </c>
      <c r="BC12" s="30">
        <f>ROUND(Parcellaire!U11,0)</f>
        <v>222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PE</v>
      </c>
      <c r="BG12" s="168">
        <f t="shared" si="4"/>
        <v>0</v>
      </c>
      <c r="BH12" s="168">
        <f t="shared" si="5"/>
        <v>0</v>
      </c>
      <c r="BI12" s="168">
        <f t="shared" si="6"/>
        <v>334</v>
      </c>
      <c r="BJ12" s="168">
        <f t="shared" si="7"/>
        <v>0</v>
      </c>
      <c r="BK12" s="168">
        <f t="shared" si="8"/>
        <v>0</v>
      </c>
      <c r="BL12" s="168">
        <f t="shared" si="9"/>
        <v>1</v>
      </c>
    </row>
    <row r="13" spans="1:64" x14ac:dyDescent="0.25">
      <c r="A13" s="14" t="s">
        <v>690</v>
      </c>
      <c r="B13" t="s">
        <v>553</v>
      </c>
      <c r="C13" s="172">
        <f>C11+C12</f>
        <v>2</v>
      </c>
      <c r="D13" s="172">
        <f t="shared" ref="D13:Z13" si="14">D11+D12</f>
        <v>2</v>
      </c>
      <c r="E13" s="172">
        <f t="shared" si="14"/>
        <v>2</v>
      </c>
      <c r="F13" s="172">
        <f t="shared" si="14"/>
        <v>4</v>
      </c>
      <c r="G13" s="172">
        <f t="shared" si="14"/>
        <v>4</v>
      </c>
      <c r="H13" s="172">
        <f t="shared" si="14"/>
        <v>4</v>
      </c>
      <c r="I13" s="172">
        <f t="shared" si="14"/>
        <v>4</v>
      </c>
      <c r="J13" s="172">
        <f t="shared" si="14"/>
        <v>4</v>
      </c>
      <c r="K13" s="172">
        <f t="shared" si="14"/>
        <v>4</v>
      </c>
      <c r="L13" s="172">
        <f t="shared" si="14"/>
        <v>4</v>
      </c>
      <c r="M13" s="172">
        <f t="shared" si="14"/>
        <v>4</v>
      </c>
      <c r="N13" s="172">
        <f t="shared" si="14"/>
        <v>4</v>
      </c>
      <c r="O13" s="172">
        <f t="shared" si="14"/>
        <v>4</v>
      </c>
      <c r="P13" s="172">
        <f t="shared" si="14"/>
        <v>4</v>
      </c>
      <c r="Q13" s="172">
        <f t="shared" si="14"/>
        <v>4</v>
      </c>
      <c r="R13" s="172">
        <f t="shared" si="14"/>
        <v>4</v>
      </c>
      <c r="S13" s="172">
        <f t="shared" si="14"/>
        <v>4</v>
      </c>
      <c r="T13" s="172">
        <f t="shared" si="14"/>
        <v>4</v>
      </c>
      <c r="U13" s="172">
        <f t="shared" si="14"/>
        <v>4</v>
      </c>
      <c r="V13" s="172">
        <f t="shared" si="14"/>
        <v>4</v>
      </c>
      <c r="W13" s="172">
        <f t="shared" si="14"/>
        <v>4</v>
      </c>
      <c r="X13" s="172">
        <f t="shared" si="14"/>
        <v>4</v>
      </c>
      <c r="Y13" s="172">
        <f t="shared" si="14"/>
        <v>4</v>
      </c>
      <c r="Z13" s="172">
        <f t="shared" si="14"/>
        <v>2</v>
      </c>
      <c r="AC13" s="14" t="s">
        <v>691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0</v>
      </c>
      <c r="AZ13" s="30">
        <f>Parcellaire!G12</f>
        <v>10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692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693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ROUND(Parcellaire!S13,0)</f>
        <v>0</v>
      </c>
      <c r="BB14" s="30" t="e">
        <f>ROUND(Parcellaire!T13,0)</f>
        <v>#VALUE!</v>
      </c>
      <c r="BC14" s="30">
        <f>ROUND(Parcellaire!U13,0)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694</v>
      </c>
      <c r="B15" t="s">
        <v>553</v>
      </c>
      <c r="C15" s="168">
        <f t="shared" ref="C15:Z15" si="15">COUNTIF(C68:C77,0)</f>
        <v>0</v>
      </c>
      <c r="D15" s="168">
        <f t="shared" si="15"/>
        <v>0</v>
      </c>
      <c r="E15" s="168">
        <f t="shared" si="15"/>
        <v>0</v>
      </c>
      <c r="F15" s="168">
        <f t="shared" si="15"/>
        <v>0</v>
      </c>
      <c r="G15" s="168">
        <f t="shared" si="15"/>
        <v>0</v>
      </c>
      <c r="H15" s="168">
        <f t="shared" si="15"/>
        <v>0</v>
      </c>
      <c r="I15" s="168">
        <f t="shared" si="15"/>
        <v>0</v>
      </c>
      <c r="J15" s="168">
        <f t="shared" si="15"/>
        <v>0</v>
      </c>
      <c r="K15" s="168">
        <f t="shared" si="15"/>
        <v>0</v>
      </c>
      <c r="L15" s="168">
        <f t="shared" si="15"/>
        <v>0</v>
      </c>
      <c r="M15" s="168">
        <f t="shared" si="15"/>
        <v>0</v>
      </c>
      <c r="N15" s="168">
        <f t="shared" si="15"/>
        <v>0</v>
      </c>
      <c r="O15" s="168">
        <f t="shared" si="15"/>
        <v>0</v>
      </c>
      <c r="P15" s="168">
        <f t="shared" si="15"/>
        <v>0</v>
      </c>
      <c r="Q15" s="168">
        <f t="shared" si="15"/>
        <v>0</v>
      </c>
      <c r="R15" s="168">
        <f t="shared" si="15"/>
        <v>0</v>
      </c>
      <c r="S15" s="168">
        <f t="shared" si="15"/>
        <v>0</v>
      </c>
      <c r="T15" s="168">
        <f t="shared" si="15"/>
        <v>0</v>
      </c>
      <c r="U15" s="168">
        <f t="shared" si="15"/>
        <v>0</v>
      </c>
      <c r="V15" s="168">
        <f t="shared" si="15"/>
        <v>0</v>
      </c>
      <c r="W15" s="168">
        <f t="shared" si="15"/>
        <v>0</v>
      </c>
      <c r="X15" s="168">
        <f t="shared" si="15"/>
        <v>0</v>
      </c>
      <c r="Y15" s="168">
        <f t="shared" si="15"/>
        <v>0</v>
      </c>
      <c r="Z15" s="168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proche</v>
      </c>
      <c r="AY15" s="30">
        <f>Parcellaire!F14</f>
        <v>266</v>
      </c>
      <c r="AZ15" s="30">
        <f>Parcellaire!G14</f>
        <v>5</v>
      </c>
      <c r="BA15" s="30">
        <f>ROUND(Parcellaire!S14,0)</f>
        <v>0</v>
      </c>
      <c r="BB15" s="30">
        <f>ROUND(Parcellaire!T14,0)</f>
        <v>817</v>
      </c>
      <c r="BC15" s="30">
        <f>ROUND(Parcellaire!U14,0)</f>
        <v>545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68">
        <f t="shared" si="4"/>
        <v>0</v>
      </c>
      <c r="BH15" s="168">
        <f t="shared" si="5"/>
        <v>817</v>
      </c>
      <c r="BI15" s="168">
        <f t="shared" si="6"/>
        <v>0</v>
      </c>
      <c r="BJ15" s="168">
        <f t="shared" si="7"/>
        <v>0</v>
      </c>
      <c r="BK15" s="168">
        <f t="shared" si="8"/>
        <v>5</v>
      </c>
      <c r="BL15" s="168">
        <f t="shared" si="9"/>
        <v>0</v>
      </c>
    </row>
    <row r="16" spans="1:64" x14ac:dyDescent="0.25">
      <c r="A16" s="173" t="s">
        <v>695</v>
      </c>
      <c r="B16" t="s">
        <v>553</v>
      </c>
      <c r="C16" s="168">
        <f t="shared" ref="C16:Z16" si="16">COUNTIF(C68:C77,1)</f>
        <v>3</v>
      </c>
      <c r="D16" s="168">
        <f t="shared" si="16"/>
        <v>3</v>
      </c>
      <c r="E16" s="168">
        <f t="shared" si="16"/>
        <v>3</v>
      </c>
      <c r="F16" s="168">
        <f t="shared" si="16"/>
        <v>2</v>
      </c>
      <c r="G16" s="168">
        <f t="shared" si="16"/>
        <v>2</v>
      </c>
      <c r="H16" s="168">
        <f t="shared" si="16"/>
        <v>2</v>
      </c>
      <c r="I16" s="168">
        <f t="shared" si="16"/>
        <v>2</v>
      </c>
      <c r="J16" s="168">
        <f t="shared" si="16"/>
        <v>2</v>
      </c>
      <c r="K16" s="168">
        <f t="shared" si="16"/>
        <v>2</v>
      </c>
      <c r="L16" s="168">
        <f t="shared" si="16"/>
        <v>2</v>
      </c>
      <c r="M16" s="168">
        <f t="shared" si="16"/>
        <v>2</v>
      </c>
      <c r="N16" s="168">
        <f t="shared" si="16"/>
        <v>2</v>
      </c>
      <c r="O16" s="168">
        <f t="shared" si="16"/>
        <v>2</v>
      </c>
      <c r="P16" s="168">
        <f t="shared" si="16"/>
        <v>2</v>
      </c>
      <c r="Q16" s="168">
        <f t="shared" si="16"/>
        <v>1</v>
      </c>
      <c r="R16" s="168">
        <f t="shared" si="16"/>
        <v>1</v>
      </c>
      <c r="S16" s="168">
        <f t="shared" si="16"/>
        <v>1</v>
      </c>
      <c r="T16" s="168">
        <f t="shared" si="16"/>
        <v>1</v>
      </c>
      <c r="U16" s="168">
        <f t="shared" si="16"/>
        <v>1</v>
      </c>
      <c r="V16" s="168">
        <f t="shared" si="16"/>
        <v>1</v>
      </c>
      <c r="W16" s="168">
        <f t="shared" si="16"/>
        <v>1</v>
      </c>
      <c r="X16" s="168">
        <f t="shared" si="16"/>
        <v>2</v>
      </c>
      <c r="Y16" s="168">
        <f t="shared" si="16"/>
        <v>2</v>
      </c>
      <c r="Z16" s="168">
        <f t="shared" si="16"/>
        <v>3</v>
      </c>
      <c r="AB16" s="14"/>
      <c r="AV16" s="30" t="str">
        <f>Parcellaire!A15</f>
        <v>14.1</v>
      </c>
      <c r="AW16" s="30">
        <f>Parcellaire!B15</f>
        <v>1</v>
      </c>
      <c r="AX16" s="30" t="str">
        <f>Parcellaire!D15</f>
        <v>proche</v>
      </c>
      <c r="AY16" s="30">
        <f>Parcellaire!F15</f>
        <v>265</v>
      </c>
      <c r="AZ16" s="30">
        <f>Parcellaire!G15</f>
        <v>3</v>
      </c>
      <c r="BA16" s="30">
        <f>ROUND(Parcellaire!S15,0)</f>
        <v>0</v>
      </c>
      <c r="BB16" s="30">
        <f>ROUND(Parcellaire!T15,0)</f>
        <v>774</v>
      </c>
      <c r="BC16" s="30">
        <f>ROUND(Parcellaire!U15,0)</f>
        <v>141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68">
        <f t="shared" si="4"/>
        <v>0</v>
      </c>
      <c r="BH16" s="168">
        <f t="shared" si="5"/>
        <v>774</v>
      </c>
      <c r="BI16" s="168">
        <f t="shared" si="6"/>
        <v>0</v>
      </c>
      <c r="BJ16" s="168">
        <f t="shared" si="7"/>
        <v>0</v>
      </c>
      <c r="BK16" s="168">
        <f t="shared" si="8"/>
        <v>3</v>
      </c>
      <c r="BL16" s="168">
        <f t="shared" si="9"/>
        <v>0</v>
      </c>
    </row>
    <row r="17" spans="1:64" x14ac:dyDescent="0.25">
      <c r="A17" s="173" t="s">
        <v>696</v>
      </c>
      <c r="B17" t="s">
        <v>553</v>
      </c>
      <c r="C17" s="168">
        <f t="shared" ref="C17:Z17" si="17">COUNTIF(C68:C77,0.5)</f>
        <v>1</v>
      </c>
      <c r="D17" s="168">
        <f t="shared" si="17"/>
        <v>1</v>
      </c>
      <c r="E17" s="168">
        <f t="shared" si="17"/>
        <v>1</v>
      </c>
      <c r="F17" s="168">
        <f t="shared" si="17"/>
        <v>2</v>
      </c>
      <c r="G17" s="168">
        <f t="shared" si="17"/>
        <v>2</v>
      </c>
      <c r="H17" s="168">
        <f t="shared" si="17"/>
        <v>2</v>
      </c>
      <c r="I17" s="168">
        <f t="shared" si="17"/>
        <v>2</v>
      </c>
      <c r="J17" s="168">
        <f t="shared" si="17"/>
        <v>2</v>
      </c>
      <c r="K17" s="168">
        <f t="shared" si="17"/>
        <v>2</v>
      </c>
      <c r="L17" s="168">
        <f t="shared" si="17"/>
        <v>2</v>
      </c>
      <c r="M17" s="168">
        <f t="shared" si="17"/>
        <v>2</v>
      </c>
      <c r="N17" s="168">
        <f t="shared" si="17"/>
        <v>2</v>
      </c>
      <c r="O17" s="168">
        <f t="shared" si="17"/>
        <v>2</v>
      </c>
      <c r="P17" s="168">
        <f t="shared" si="17"/>
        <v>2</v>
      </c>
      <c r="Q17" s="168">
        <f t="shared" si="17"/>
        <v>2</v>
      </c>
      <c r="R17" s="168">
        <f t="shared" si="17"/>
        <v>2</v>
      </c>
      <c r="S17" s="168">
        <f t="shared" si="17"/>
        <v>2</v>
      </c>
      <c r="T17" s="168">
        <f t="shared" si="17"/>
        <v>2</v>
      </c>
      <c r="U17" s="168">
        <f t="shared" si="17"/>
        <v>2</v>
      </c>
      <c r="V17" s="168">
        <f t="shared" si="17"/>
        <v>2</v>
      </c>
      <c r="W17" s="168">
        <f t="shared" si="17"/>
        <v>2</v>
      </c>
      <c r="X17" s="168">
        <f t="shared" si="17"/>
        <v>2</v>
      </c>
      <c r="Y17" s="168">
        <f t="shared" si="17"/>
        <v>2</v>
      </c>
      <c r="Z17" s="168">
        <f t="shared" si="17"/>
        <v>1</v>
      </c>
      <c r="AB17" s="2" t="s">
        <v>697</v>
      </c>
      <c r="AD17" s="102" t="s">
        <v>698</v>
      </c>
      <c r="AE17" s="81"/>
      <c r="AF17" s="81"/>
      <c r="AH17" s="2" t="s">
        <v>699</v>
      </c>
      <c r="AK17" t="s">
        <v>700</v>
      </c>
      <c r="AV17" s="30" t="str">
        <f>Parcellaire!A16</f>
        <v>14.2</v>
      </c>
      <c r="AW17" s="30">
        <f>Parcellaire!B16</f>
        <v>1</v>
      </c>
      <c r="AX17" s="30" t="str">
        <f>Parcellaire!D16</f>
        <v>proche</v>
      </c>
      <c r="AY17" s="30">
        <f>Parcellaire!F16</f>
        <v>264</v>
      </c>
      <c r="AZ17" s="30">
        <f>Parcellaire!G16</f>
        <v>0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701</v>
      </c>
      <c r="B18" t="s">
        <v>553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702</v>
      </c>
      <c r="AD18" s="120" t="s">
        <v>487</v>
      </c>
      <c r="AE18" s="81" t="s">
        <v>703</v>
      </c>
      <c r="AF18" s="120" t="s">
        <v>704</v>
      </c>
      <c r="AK18" t="s">
        <v>705</v>
      </c>
      <c r="AV18" s="30" t="str">
        <f>Parcellaire!A17</f>
        <v>15.1</v>
      </c>
      <c r="AW18" s="30">
        <f>Parcellaire!B17</f>
        <v>1</v>
      </c>
      <c r="AX18" s="30" t="str">
        <f>Parcellaire!D17</f>
        <v>proche</v>
      </c>
      <c r="AY18" s="30">
        <f>Parcellaire!F17</f>
        <v>265</v>
      </c>
      <c r="AZ18" s="30">
        <f>Parcellaire!G17</f>
        <v>2.5</v>
      </c>
      <c r="BA18" s="30">
        <f>ROUND(Parcellaire!S17,0)</f>
        <v>0</v>
      </c>
      <c r="BB18" s="30">
        <f>ROUND(Parcellaire!T17,0)</f>
        <v>642</v>
      </c>
      <c r="BC18" s="30">
        <f>ROUND(Parcellaire!U17,0)</f>
        <v>257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68">
        <f t="shared" si="4"/>
        <v>0</v>
      </c>
      <c r="BH18" s="168">
        <f t="shared" si="5"/>
        <v>642</v>
      </c>
      <c r="BI18" s="168">
        <f t="shared" si="6"/>
        <v>0</v>
      </c>
      <c r="BJ18" s="168">
        <f t="shared" si="7"/>
        <v>0</v>
      </c>
      <c r="BK18" s="168">
        <f t="shared" si="8"/>
        <v>2.5</v>
      </c>
      <c r="BL18" s="168">
        <f t="shared" si="9"/>
        <v>0</v>
      </c>
    </row>
    <row r="19" spans="1:64" x14ac:dyDescent="0.25">
      <c r="A19" s="173" t="s">
        <v>706</v>
      </c>
      <c r="B19" t="s">
        <v>553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707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698</v>
      </c>
      <c r="AK19" s="166" t="s">
        <v>708</v>
      </c>
      <c r="AV19" s="30" t="str">
        <f>Parcellaire!A18</f>
        <v>15.2</v>
      </c>
      <c r="AW19" s="30">
        <f>Parcellaire!B18</f>
        <v>1</v>
      </c>
      <c r="AX19" s="30" t="str">
        <f>Parcellaire!D18</f>
        <v>proche</v>
      </c>
      <c r="AY19" s="30">
        <f>Parcellaire!F18</f>
        <v>265</v>
      </c>
      <c r="AZ19" s="30">
        <f>Parcellaire!G18</f>
        <v>0</v>
      </c>
      <c r="BA19" s="30">
        <f>ROUND(Parcellaire!S18,0)</f>
        <v>0</v>
      </c>
      <c r="BB19" s="30">
        <f>ROUND(Parcellaire!T18,0)</f>
        <v>0</v>
      </c>
      <c r="BC19" s="30">
        <f>ROUND(Parcellaire!U18,0)</f>
        <v>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709</v>
      </c>
      <c r="B20" t="s">
        <v>553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0</v>
      </c>
      <c r="O20" s="168">
        <f t="shared" si="20"/>
        <v>0</v>
      </c>
      <c r="P20" s="168">
        <f t="shared" si="20"/>
        <v>0</v>
      </c>
      <c r="Q20" s="168">
        <f t="shared" si="20"/>
        <v>0</v>
      </c>
      <c r="R20" s="168">
        <f t="shared" si="20"/>
        <v>0</v>
      </c>
      <c r="S20" s="168">
        <f t="shared" si="20"/>
        <v>0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710</v>
      </c>
      <c r="AD20" s="64">
        <f>IF(AND(Troupeau!B3="OL",Scénario!K88=1),Protection!AP4,0)</f>
        <v>4437</v>
      </c>
      <c r="AE20" s="64">
        <v>0</v>
      </c>
      <c r="AF20" s="64">
        <f>SUM(AD20:AE20)</f>
        <v>4437</v>
      </c>
      <c r="AH20" s="30">
        <v>0</v>
      </c>
      <c r="AJ20" s="14" t="s">
        <v>711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proche</v>
      </c>
      <c r="AY20" s="30">
        <f>Parcellaire!F19</f>
        <v>264</v>
      </c>
      <c r="AZ20" s="30">
        <f>Parcellaire!G19</f>
        <v>1</v>
      </c>
      <c r="BA20" s="30">
        <f>ROUND(Parcellaire!S19,0)</f>
        <v>0</v>
      </c>
      <c r="BB20" s="30">
        <f>ROUND(Parcellaire!T19,0)</f>
        <v>406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68">
        <f t="shared" si="4"/>
        <v>0</v>
      </c>
      <c r="BH20" s="168">
        <f t="shared" si="5"/>
        <v>406</v>
      </c>
      <c r="BI20" s="168">
        <f t="shared" si="6"/>
        <v>0</v>
      </c>
      <c r="BJ20" s="168">
        <f t="shared" si="7"/>
        <v>0</v>
      </c>
      <c r="BK20" s="168">
        <f t="shared" si="8"/>
        <v>1</v>
      </c>
      <c r="BL20" s="168">
        <f t="shared" si="9"/>
        <v>0</v>
      </c>
    </row>
    <row r="21" spans="1:64" x14ac:dyDescent="0.25">
      <c r="A21" s="173" t="s">
        <v>712</v>
      </c>
      <c r="B21" t="s">
        <v>553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713</v>
      </c>
      <c r="AC21" s="14"/>
      <c r="AD21" s="64"/>
      <c r="AE21" s="64"/>
      <c r="AF21" s="64"/>
      <c r="AJ21" s="14" t="s">
        <v>714</v>
      </c>
      <c r="AK21" s="64">
        <f>IF(OR(Scénario!K87=1,Scénario!K87=2),Protection!AF20,IF(OR(Scénario!K87=3,Scénario!K87=4),Protection!AF22,0))</f>
        <v>4437</v>
      </c>
      <c r="AV21" s="30">
        <f>Parcellaire!A20</f>
        <v>18</v>
      </c>
      <c r="AW21" s="30">
        <f>Parcellaire!B20</f>
        <v>1</v>
      </c>
      <c r="AX21" s="30" t="str">
        <f>Parcellaire!D20</f>
        <v>proche</v>
      </c>
      <c r="AY21" s="30">
        <f>Parcellaire!F20</f>
        <v>265</v>
      </c>
      <c r="AZ21" s="30">
        <f>Parcellaire!G20</f>
        <v>0.9</v>
      </c>
      <c r="BA21" s="30">
        <f>ROUND(Parcellaire!S20,0)</f>
        <v>0</v>
      </c>
      <c r="BB21" s="30">
        <f>ROUND(Parcellaire!T20,0)</f>
        <v>317</v>
      </c>
      <c r="BC21" s="30">
        <f>ROUND(Parcellaire!U20,0)</f>
        <v>211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68">
        <f t="shared" si="4"/>
        <v>0</v>
      </c>
      <c r="BH21" s="168">
        <f t="shared" si="5"/>
        <v>317</v>
      </c>
      <c r="BI21" s="168">
        <f t="shared" si="6"/>
        <v>0</v>
      </c>
      <c r="BJ21" s="168">
        <f t="shared" si="7"/>
        <v>0</v>
      </c>
      <c r="BK21" s="168">
        <f t="shared" si="8"/>
        <v>0.9</v>
      </c>
      <c r="BL21" s="168">
        <f t="shared" si="9"/>
        <v>0</v>
      </c>
    </row>
    <row r="22" spans="1:64" x14ac:dyDescent="0.25">
      <c r="A22" s="173" t="s">
        <v>715</v>
      </c>
      <c r="B22" t="s">
        <v>553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710</v>
      </c>
      <c r="AD22" s="64">
        <f>IF(AND(Scénario!K88=1,Troupeau!B3="OL"),Protection!AP6,0)</f>
        <v>3141</v>
      </c>
      <c r="AE22" s="64">
        <f>IF(AND(LEFT(Scénario!K12,2)="OL",Troupeau!C3&lt;&gt;"",Scénario!K91=1),Protection!AP5+Protection!AP3,0)</f>
        <v>0</v>
      </c>
      <c r="AF22" s="64">
        <f>SUM(AD22:AE22)</f>
        <v>3141</v>
      </c>
      <c r="AH22" s="30">
        <f>IF(AND(Troupeau!B3&lt;&gt;"OL",Scénario!K91=1),AP4,0)</f>
        <v>0</v>
      </c>
      <c r="AJ22" s="14" t="s">
        <v>699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1</v>
      </c>
      <c r="AX22" s="30" t="str">
        <f>Parcellaire!D21</f>
        <v>proche</v>
      </c>
      <c r="AY22" s="30">
        <f>Parcellaire!F21</f>
        <v>266</v>
      </c>
      <c r="AZ22" s="30">
        <f>Parcellaire!G21</f>
        <v>0.5</v>
      </c>
      <c r="BA22" s="30">
        <f>ROUND(Parcellaire!S21,0)</f>
        <v>0</v>
      </c>
      <c r="BB22" s="30">
        <f>ROUND(Parcellaire!T21,0)</f>
        <v>185</v>
      </c>
      <c r="BC22" s="30">
        <f>ROUND(Parcellaire!U21,0)</f>
        <v>222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68">
        <f t="shared" si="4"/>
        <v>0</v>
      </c>
      <c r="BH22" s="168">
        <f t="shared" si="5"/>
        <v>185</v>
      </c>
      <c r="BI22" s="168">
        <f t="shared" si="6"/>
        <v>0</v>
      </c>
      <c r="BJ22" s="168">
        <f t="shared" si="7"/>
        <v>0</v>
      </c>
      <c r="BK22" s="168">
        <f t="shared" si="8"/>
        <v>0.5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8">
        <f t="shared" si="4"/>
        <v>0</v>
      </c>
      <c r="BH23" s="168">
        <f t="shared" si="5"/>
        <v>0</v>
      </c>
      <c r="BI23" s="168">
        <f t="shared" si="6"/>
        <v>0</v>
      </c>
      <c r="BJ23" s="168">
        <f t="shared" si="7"/>
        <v>0</v>
      </c>
      <c r="BK23" s="168">
        <f t="shared" si="8"/>
        <v>0</v>
      </c>
      <c r="BL23" s="168">
        <f t="shared" si="9"/>
        <v>0</v>
      </c>
    </row>
    <row r="24" spans="1:64" x14ac:dyDescent="0.25">
      <c r="A24" s="43" t="s">
        <v>716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16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8">
        <f t="shared" si="4"/>
        <v>0</v>
      </c>
      <c r="BH24" s="168">
        <f t="shared" si="5"/>
        <v>0</v>
      </c>
      <c r="BI24" s="168">
        <f t="shared" si="6"/>
        <v>0</v>
      </c>
      <c r="BJ24" s="168">
        <f t="shared" si="7"/>
        <v>0</v>
      </c>
      <c r="BK24" s="168">
        <f t="shared" si="8"/>
        <v>0</v>
      </c>
      <c r="BL24" s="168">
        <f t="shared" si="9"/>
        <v>0</v>
      </c>
    </row>
    <row r="25" spans="1:64" x14ac:dyDescent="0.25">
      <c r="A25" s="14" t="s">
        <v>717</v>
      </c>
      <c r="B25" t="s">
        <v>567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718</v>
      </c>
      <c r="AK25" s="30">
        <f>IF(Troupeau!B3&lt;&gt;"OL",Protection!AK22,IF(AND(Troupeau!B3="OL",Scénario!K88=1),Protection!AK21,IF(AND(Troupeau!B3="OL",Scénario!K88=2),Protection!AK20,0)))</f>
        <v>4437</v>
      </c>
      <c r="AV25" s="30">
        <f>Parcellaire!A24</f>
        <v>0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0</v>
      </c>
      <c r="BL25" s="168">
        <f t="shared" si="9"/>
        <v>0</v>
      </c>
    </row>
    <row r="26" spans="1:64" x14ac:dyDescent="0.25">
      <c r="A26" s="14" t="s">
        <v>676</v>
      </c>
      <c r="B26" t="s">
        <v>567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719</v>
      </c>
      <c r="AC26" s="14"/>
      <c r="AD26" s="166" t="s">
        <v>487</v>
      </c>
      <c r="AE26" t="s">
        <v>720</v>
      </c>
      <c r="AJ26" s="14" t="s">
        <v>661</v>
      </c>
      <c r="AK26" s="30">
        <f>IF(AK25=AP3,AQ3,IF(AK25=AP4,AQ4,IF(AK25=AP6,AQ6,0)))</f>
        <v>18.399999999999999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678</v>
      </c>
      <c r="B27" t="s">
        <v>567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721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680</v>
      </c>
      <c r="B28" t="s">
        <v>567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722</v>
      </c>
      <c r="AD28" s="168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682</v>
      </c>
      <c r="B29" t="s">
        <v>567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723</v>
      </c>
      <c r="AD29" s="168">
        <f>IF(AND(Troupeau!B3="OL",Scénario!K54&gt;0),Scénario!K59-1,)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684</v>
      </c>
      <c r="B30" t="s">
        <v>567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724</v>
      </c>
      <c r="AD30" s="168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685</v>
      </c>
      <c r="B31" t="s">
        <v>567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725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3141</v>
      </c>
      <c r="BI31" s="62">
        <f t="shared" si="26"/>
        <v>1296</v>
      </c>
      <c r="BJ31" s="62">
        <f t="shared" si="26"/>
        <v>0</v>
      </c>
      <c r="BK31" s="62">
        <f t="shared" si="26"/>
        <v>12.9</v>
      </c>
      <c r="BL31" s="62">
        <f>SUM(BL3:BL30)</f>
        <v>5.5</v>
      </c>
    </row>
    <row r="32" spans="1:64" x14ac:dyDescent="0.25">
      <c r="A32" s="14" t="s">
        <v>686</v>
      </c>
      <c r="B32" t="s">
        <v>567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726</v>
      </c>
    </row>
    <row r="33" spans="1:132" x14ac:dyDescent="0.25">
      <c r="A33" s="14" t="s">
        <v>688</v>
      </c>
      <c r="B33" t="s">
        <v>567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727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690</v>
      </c>
      <c r="B34" t="s">
        <v>567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728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694</v>
      </c>
      <c r="B36" t="s">
        <v>567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695</v>
      </c>
      <c r="B37" t="s">
        <v>567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696</v>
      </c>
      <c r="B38" t="s">
        <v>567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701</v>
      </c>
      <c r="B39" t="s">
        <v>567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706</v>
      </c>
      <c r="B40" t="s">
        <v>567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709</v>
      </c>
      <c r="B41" t="s">
        <v>567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712</v>
      </c>
      <c r="B42" t="s">
        <v>567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715</v>
      </c>
      <c r="B43" t="s">
        <v>567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729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717</v>
      </c>
      <c r="B46" t="s">
        <v>574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676</v>
      </c>
      <c r="B47" t="s">
        <v>574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678</v>
      </c>
      <c r="B48" t="s">
        <v>574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1</v>
      </c>
      <c r="BH48" s="177">
        <f>IF(CdTrp1!N76=1,1,IF(CdTrp1!N76=2,2,IF(CdTrp1!N76=3,2,0)))</f>
        <v>1</v>
      </c>
      <c r="BI48" s="177">
        <f>IF(CdTrp1!O76=1,1,IF(CdTrp1!O76=2,2,IF(CdTrp1!O76=3,2,0)))</f>
        <v>1</v>
      </c>
      <c r="BJ48" s="177">
        <f>IF(CdTrp1!P76=1,1,IF(CdTrp1!P76=2,2,IF(CdTrp1!P76=3,2,0)))</f>
        <v>1</v>
      </c>
      <c r="BK48" s="177">
        <f>IF(CdTrp1!Q76=1,1,IF(CdTrp1!Q76=2,2,IF(CdTrp1!Q76=3,2,0)))</f>
        <v>1</v>
      </c>
      <c r="BL48" s="177">
        <f>IF(CdTrp1!R76=1,1,IF(CdTrp1!R76=2,2,IF(CdTrp1!R76=3,2,0)))</f>
        <v>1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1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680</v>
      </c>
      <c r="B49" t="s">
        <v>574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0</v>
      </c>
      <c r="AY49" s="177">
        <f>IF(CdTrp1!E77=1,1,IF(CdTrp1!E77=2,2,IF(CdTrp1!E77=3,2,0)))</f>
        <v>0</v>
      </c>
      <c r="AZ49" s="177">
        <f>IF(CdTrp1!F77=1,1,IF(CdTrp1!F77=2,2,IF(CdTrp1!F77=3,2,0)))</f>
        <v>0</v>
      </c>
      <c r="BA49" s="177">
        <f>IF(CdTrp1!G77=1,1,IF(CdTrp1!G77=2,2,IF(CdTrp1!G77=3,2,0)))</f>
        <v>0</v>
      </c>
      <c r="BB49" s="177">
        <f>IF(CdTrp1!H77=1,1,IF(CdTrp1!H77=2,2,IF(CdTrp1!H77=3,2,0)))</f>
        <v>0</v>
      </c>
      <c r="BC49" s="177">
        <f>IF(CdTrp1!I77=1,1,IF(CdTrp1!I77=2,2,IF(CdTrp1!I77=3,2,0)))</f>
        <v>0</v>
      </c>
      <c r="BD49" s="177">
        <f>IF(CdTrp1!J77=1,1,IF(CdTrp1!J77=2,2,IF(CdTrp1!J77=3,2,0)))</f>
        <v>0</v>
      </c>
      <c r="BE49" s="177">
        <f>IF(CdTrp1!K77=1,1,IF(CdTrp1!K77=2,2,IF(CdTrp1!K77=3,2,0)))</f>
        <v>0</v>
      </c>
      <c r="BF49" s="177">
        <f>IF(CdTrp1!L77=1,1,IF(CdTrp1!L77=2,2,IF(CdTrp1!L77=3,2,0)))</f>
        <v>0</v>
      </c>
      <c r="BG49" s="177">
        <f>IF(CdTrp1!M77=1,1,IF(CdTrp1!M77=2,2,IF(CdTrp1!M77=3,2,0)))</f>
        <v>0</v>
      </c>
      <c r="BH49" s="177">
        <f>IF(CdTrp1!N77=1,1,IF(CdTrp1!N77=2,2,IF(CdTrp1!N77=3,2,0)))</f>
        <v>0</v>
      </c>
      <c r="BI49" s="177">
        <f>IF(CdTrp1!O77=1,1,IF(CdTrp1!O77=2,2,IF(CdTrp1!O77=3,2,0)))</f>
        <v>0</v>
      </c>
      <c r="BJ49" s="177">
        <f>IF(CdTrp1!P77=1,1,IF(CdTrp1!P77=2,2,IF(CdTrp1!P77=3,2,0)))</f>
        <v>0</v>
      </c>
      <c r="BK49" s="177">
        <f>IF(CdTrp1!Q77=1,1,IF(CdTrp1!Q77=2,2,IF(CdTrp1!Q77=3,2,0)))</f>
        <v>0</v>
      </c>
      <c r="BL49" s="177">
        <f>IF(CdTrp1!R77=1,1,IF(CdTrp1!R77=2,2,IF(CdTrp1!R77=3,2,0)))</f>
        <v>0</v>
      </c>
      <c r="BM49" s="177">
        <f>IF(CdTrp1!S77=1,1,IF(CdTrp1!S77=2,2,IF(CdTrp1!S77=3,2,0)))</f>
        <v>0</v>
      </c>
      <c r="BN49" s="177">
        <f>IF(CdTrp1!T77=1,1,IF(CdTrp1!T77=2,2,IF(CdTrp1!T77=3,2,0)))</f>
        <v>0</v>
      </c>
      <c r="BO49" s="177">
        <f>IF(CdTrp1!U77=1,1,IF(CdTrp1!U77=2,2,IF(CdTrp1!U77=3,2,0)))</f>
        <v>0</v>
      </c>
      <c r="BP49" s="177">
        <f>IF(CdTrp1!V77=1,1,IF(CdTrp1!V77=2,2,IF(CdTrp1!V77=3,2,0)))</f>
        <v>0</v>
      </c>
      <c r="BQ49" s="177">
        <f>IF(CdTrp1!W77=1,1,IF(CdTrp1!W77=2,2,IF(CdTrp1!W77=3,2,0)))</f>
        <v>0</v>
      </c>
      <c r="BR49" s="177">
        <f>IF(CdTrp1!X77=1,1,IF(CdTrp1!X77=2,2,IF(CdTrp1!X77=3,2,0)))</f>
        <v>0</v>
      </c>
      <c r="BS49" s="177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682</v>
      </c>
      <c r="B50" t="s">
        <v>574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2</v>
      </c>
      <c r="AW50" s="177">
        <f>IF(CdTrp1!C78=1,1,IF(CdTrp1!C78=2,2,IF(CdTrp1!C78=3,2,0)))</f>
        <v>2</v>
      </c>
      <c r="AX50" s="177">
        <f>IF(CdTrp1!D78=1,1,IF(CdTrp1!D78=2,2,IF(CdTrp1!D78=3,2,0)))</f>
        <v>2</v>
      </c>
      <c r="AY50" s="177">
        <f>IF(CdTrp1!E78=1,1,IF(CdTrp1!E78=2,2,IF(CdTrp1!E78=3,2,0)))</f>
        <v>2</v>
      </c>
      <c r="AZ50" s="177">
        <f>IF(CdTrp1!F78=1,1,IF(CdTrp1!F78=2,2,IF(CdTrp1!F78=3,2,0)))</f>
        <v>2</v>
      </c>
      <c r="BA50" s="177">
        <f>IF(CdTrp1!G78=1,1,IF(CdTrp1!G78=2,2,IF(CdTrp1!G78=3,2,0)))</f>
        <v>2</v>
      </c>
      <c r="BB50" s="177">
        <f>IF(CdTrp1!H78=1,1,IF(CdTrp1!H78=2,2,IF(CdTrp1!H78=3,2,0)))</f>
        <v>2</v>
      </c>
      <c r="BC50" s="177">
        <f>IF(CdTrp1!I78=1,1,IF(CdTrp1!I78=2,2,IF(CdTrp1!I78=3,2,0)))</f>
        <v>2</v>
      </c>
      <c r="BD50" s="177">
        <f>IF(CdTrp1!J78=1,1,IF(CdTrp1!J78=2,2,IF(CdTrp1!J78=3,2,0)))</f>
        <v>2</v>
      </c>
      <c r="BE50" s="177">
        <f>IF(CdTrp1!K78=1,1,IF(CdTrp1!K78=2,2,IF(CdTrp1!K78=3,2,0)))</f>
        <v>2</v>
      </c>
      <c r="BF50" s="177">
        <f>IF(CdTrp1!L78=1,1,IF(CdTrp1!L78=2,2,IF(CdTrp1!L78=3,2,0)))</f>
        <v>2</v>
      </c>
      <c r="BG50" s="177">
        <f>IF(CdTrp1!M78=1,1,IF(CdTrp1!M78=2,2,IF(CdTrp1!M78=3,2,0)))</f>
        <v>2</v>
      </c>
      <c r="BH50" s="177">
        <f>IF(CdTrp1!N78=1,1,IF(CdTrp1!N78=2,2,IF(CdTrp1!N78=3,2,0)))</f>
        <v>2</v>
      </c>
      <c r="BI50" s="177">
        <f>IF(CdTrp1!O78=1,1,IF(CdTrp1!O78=2,2,IF(CdTrp1!O78=3,2,0)))</f>
        <v>2</v>
      </c>
      <c r="BJ50" s="177">
        <f>IF(CdTrp1!P78=1,1,IF(CdTrp1!P78=2,2,IF(CdTrp1!P78=3,2,0)))</f>
        <v>2</v>
      </c>
      <c r="BK50" s="177">
        <f>IF(CdTrp1!Q78=1,1,IF(CdTrp1!Q78=2,2,IF(CdTrp1!Q78=3,2,0)))</f>
        <v>2</v>
      </c>
      <c r="BL50" s="177">
        <f>IF(CdTrp1!R78=1,1,IF(CdTrp1!R78=2,2,IF(CdTrp1!R78=3,2,0)))</f>
        <v>2</v>
      </c>
      <c r="BM50" s="177">
        <f>IF(CdTrp1!S78=1,1,IF(CdTrp1!S78=2,2,IF(CdTrp1!S78=3,2,0)))</f>
        <v>2</v>
      </c>
      <c r="BN50" s="177">
        <f>IF(CdTrp1!T78=1,1,IF(CdTrp1!T78=2,2,IF(CdTrp1!T78=3,2,0)))</f>
        <v>2</v>
      </c>
      <c r="BO50" s="177">
        <f>IF(CdTrp1!U78=1,1,IF(CdTrp1!U78=2,2,IF(CdTrp1!U78=3,2,0)))</f>
        <v>2</v>
      </c>
      <c r="BP50" s="177">
        <f>IF(CdTrp1!V78=1,1,IF(CdTrp1!V78=2,2,IF(CdTrp1!V78=3,2,0)))</f>
        <v>2</v>
      </c>
      <c r="BQ50" s="177">
        <f>IF(CdTrp1!W78=1,1,IF(CdTrp1!W78=2,2,IF(CdTrp1!W78=3,2,0)))</f>
        <v>2</v>
      </c>
      <c r="BR50" s="177">
        <f>IF(CdTrp1!X78=1,1,IF(CdTrp1!X78=2,2,IF(CdTrp1!X78=3,2,0)))</f>
        <v>2</v>
      </c>
      <c r="BS50" s="177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684</v>
      </c>
      <c r="B51" t="s">
        <v>574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0</v>
      </c>
      <c r="AW51" s="177">
        <f>IF(CdTrp1!C79=1,1,IF(CdTrp1!C79=2,2,IF(CdTrp1!C79=3,2,0)))</f>
        <v>0</v>
      </c>
      <c r="AX51" s="177">
        <f>IF(CdTrp1!D79=1,1,IF(CdTrp1!D79=2,2,IF(CdTrp1!D79=3,2,0)))</f>
        <v>0</v>
      </c>
      <c r="AY51" s="177">
        <f>IF(CdTrp1!E79=1,1,IF(CdTrp1!E79=2,2,IF(CdTrp1!E79=3,2,0)))</f>
        <v>0</v>
      </c>
      <c r="AZ51" s="177">
        <f>IF(CdTrp1!F79=1,1,IF(CdTrp1!F79=2,2,IF(CdTrp1!F79=3,2,0)))</f>
        <v>0</v>
      </c>
      <c r="BA51" s="177">
        <f>IF(CdTrp1!G79=1,1,IF(CdTrp1!G79=2,2,IF(CdTrp1!G79=3,2,0)))</f>
        <v>0</v>
      </c>
      <c r="BB51" s="177">
        <f>IF(CdTrp1!H79=1,1,IF(CdTrp1!H79=2,2,IF(CdTrp1!H79=3,2,0)))</f>
        <v>0</v>
      </c>
      <c r="BC51" s="177">
        <f>IF(CdTrp1!I79=1,1,IF(CdTrp1!I79=2,2,IF(CdTrp1!I79=3,2,0)))</f>
        <v>0</v>
      </c>
      <c r="BD51" s="177">
        <f>IF(CdTrp1!J79=1,1,IF(CdTrp1!J79=2,2,IF(CdTrp1!J79=3,2,0)))</f>
        <v>0</v>
      </c>
      <c r="BE51" s="177">
        <f>IF(CdTrp1!K79=1,1,IF(CdTrp1!K79=2,2,IF(CdTrp1!K79=3,2,0)))</f>
        <v>0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0</v>
      </c>
      <c r="BS51" s="177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685</v>
      </c>
      <c r="B52" t="s">
        <v>574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686</v>
      </c>
      <c r="B53" t="s">
        <v>574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688</v>
      </c>
      <c r="B54" t="s">
        <v>574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690</v>
      </c>
      <c r="B55" t="s">
        <v>574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730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694</v>
      </c>
      <c r="B57" t="s">
        <v>574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695</v>
      </c>
      <c r="B58" t="s">
        <v>574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696</v>
      </c>
      <c r="B59" t="s">
        <v>574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701</v>
      </c>
      <c r="B60" t="s">
        <v>574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706</v>
      </c>
      <c r="B61" t="s">
        <v>574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709</v>
      </c>
      <c r="B62" t="s">
        <v>574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712</v>
      </c>
      <c r="B63" t="s">
        <v>574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715</v>
      </c>
      <c r="B64" t="s">
        <v>574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731</v>
      </c>
      <c r="AV67" s="167"/>
      <c r="AW67" s="167"/>
    </row>
    <row r="68" spans="1:49" x14ac:dyDescent="0.25">
      <c r="A68" s="40" t="s">
        <v>732</v>
      </c>
      <c r="B68" s="30" t="str">
        <f>CdTrp1!A52</f>
        <v>laitiéres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0.5</v>
      </c>
      <c r="G68" s="168">
        <f>IF($AA68=0,99,IF(G81&gt;3,CdTrp1!F76,CdTrp1!F52))</f>
        <v>0.5</v>
      </c>
      <c r="H68" s="168">
        <f>IF($AA68=0,99,IF(H81&gt;3,CdTrp1!G76,CdTrp1!G52))</f>
        <v>0.5</v>
      </c>
      <c r="I68" s="168">
        <f>IF($AA68=0,99,IF(I81&gt;3,CdTrp1!H76,CdTrp1!H52))</f>
        <v>0.5</v>
      </c>
      <c r="J68" s="168">
        <f>IF($AA68=0,99,IF(J81&gt;3,CdTrp1!I76,CdTrp1!I52))</f>
        <v>0.5</v>
      </c>
      <c r="K68" s="168">
        <f>IF($AA68=0,99,IF(K81&gt;3,CdTrp1!J76,CdTrp1!J52))</f>
        <v>0.5</v>
      </c>
      <c r="L68" s="168">
        <f>IF($AA68=0,99,IF(L81&gt;3,CdTrp1!K76,CdTrp1!K52))</f>
        <v>0.5</v>
      </c>
      <c r="M68" s="168">
        <f>IF($AA68=0,99,IF(M81&gt;3,CdTrp1!L76,CdTrp1!L52))</f>
        <v>0.5</v>
      </c>
      <c r="N68" s="168">
        <f>IF($AA68=0,99,IF(N81&gt;3,CdTrp1!M76,CdTrp1!M52))</f>
        <v>0.5</v>
      </c>
      <c r="O68" s="168">
        <f>IF($AA68=0,99,IF(O81&gt;3,CdTrp1!N76,CdTrp1!N52))</f>
        <v>0.5</v>
      </c>
      <c r="P68" s="168">
        <f>IF($AA68=0,99,IF(P81&gt;3,CdTrp1!O76,CdTrp1!O52))</f>
        <v>0.5</v>
      </c>
      <c r="Q68" s="168">
        <f>IF($AA68=0,99,IF(Q81&gt;3,CdTrp1!P76,CdTrp1!P52))</f>
        <v>0.5</v>
      </c>
      <c r="R68" s="168">
        <f>IF($AA68=0,99,IF(R81&gt;3,CdTrp1!Q76,CdTrp1!Q52))</f>
        <v>0.5</v>
      </c>
      <c r="S68" s="168">
        <f>IF($AA68=0,99,IF(S81&gt;3,CdTrp1!R76,CdTrp1!R52))</f>
        <v>0.5</v>
      </c>
      <c r="T68" s="168">
        <f>IF($AA68=0,99,IF(T81&gt;3,CdTrp1!S76,CdTrp1!S52))</f>
        <v>0.5</v>
      </c>
      <c r="U68" s="168">
        <f>IF($AA68=0,99,IF(U81&gt;3,CdTrp1!T76,CdTrp1!T52))</f>
        <v>0.5</v>
      </c>
      <c r="V68" s="168">
        <f>IF($AA68=0,99,IF(V81&gt;3,CdTrp1!U76,CdTrp1!U52))</f>
        <v>0.5</v>
      </c>
      <c r="W68" s="168">
        <f>IF($AA68=0,99,IF(W81&gt;3,CdTrp1!V76,CdTrp1!V52))</f>
        <v>0.5</v>
      </c>
      <c r="X68" s="168">
        <f>IF($AA68=0,99,IF(X81&gt;3,CdTrp1!W76,CdTrp1!W52))</f>
        <v>0.5</v>
      </c>
      <c r="Y68" s="168">
        <f>IF($AA68=0,99,IF(Y81&gt;3,CdTrp1!X76,CdTrp1!X52))</f>
        <v>0.5</v>
      </c>
      <c r="Z68" s="168">
        <f>IF($AA68=0,99,IF(Z81&gt;3,CdTrp1!Y76,CdTrp1!Y52))</f>
        <v>1</v>
      </c>
      <c r="AA68" s="177">
        <f>SUM(CdTrp1!B15:Y15)/24</f>
        <v>220.02800000000002</v>
      </c>
      <c r="AD68" s="15"/>
      <c r="AE68" s="177"/>
      <c r="AF68" s="177"/>
      <c r="AG68" s="177"/>
      <c r="AH68" s="177"/>
      <c r="AI68" s="177"/>
    </row>
    <row r="69" spans="1:49" x14ac:dyDescent="0.25">
      <c r="B69" s="261" t="str">
        <f>CdTrp1!A53</f>
        <v>agnelles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1</v>
      </c>
      <c r="F69" s="168">
        <f>IF($AA69=0,99,IF(F82&gt;3,CdTrp1!E77,CdTrp1!E53))</f>
        <v>1</v>
      </c>
      <c r="G69" s="168">
        <f>IF($AA69=0,99,IF(G82&gt;3,CdTrp1!F77,CdTrp1!F53))</f>
        <v>1</v>
      </c>
      <c r="H69" s="168">
        <f>IF($AA69=0,99,IF(H82&gt;3,CdTrp1!G77,CdTrp1!G53))</f>
        <v>1</v>
      </c>
      <c r="I69" s="168">
        <f>IF($AA69=0,99,IF(I82&gt;3,CdTrp1!H77,CdTrp1!H53))</f>
        <v>1</v>
      </c>
      <c r="J69" s="168">
        <f>IF($AA69=0,99,IF(J82&gt;3,CdTrp1!I77,CdTrp1!I53))</f>
        <v>1</v>
      </c>
      <c r="K69" s="168">
        <f>IF($AA69=0,99,IF(K82&gt;3,CdTrp1!J77,CdTrp1!J53))</f>
        <v>1</v>
      </c>
      <c r="L69" s="168">
        <f>IF($AA69=0,99,IF(L82&gt;3,CdTrp1!K77,CdTrp1!K53))</f>
        <v>1</v>
      </c>
      <c r="M69" s="168">
        <f>IF($AA69=0,99,IF(M82&gt;3,CdTrp1!L77,CdTrp1!L53))</f>
        <v>1</v>
      </c>
      <c r="N69" s="168">
        <f>IF($AA69=0,99,IF(N82&gt;3,CdTrp1!M77,CdTrp1!M53))</f>
        <v>1</v>
      </c>
      <c r="O69" s="168">
        <f>IF($AA69=0,99,IF(O82&gt;3,CdTrp1!N77,CdTrp1!N53))</f>
        <v>1</v>
      </c>
      <c r="P69" s="168">
        <f>IF($AA69=0,99,IF(P82&gt;3,CdTrp1!O77,CdTrp1!O53))</f>
        <v>1</v>
      </c>
      <c r="Q69" s="168">
        <f>IF($AA69=0,99,IF(Q82&gt;3,CdTrp1!P77,CdTrp1!P53))</f>
        <v>1</v>
      </c>
      <c r="R69" s="168">
        <f>IF($AA69=0,99,IF(R82&gt;3,CdTrp1!Q77,CdTrp1!Q53))</f>
        <v>1</v>
      </c>
      <c r="S69" s="168">
        <f>IF($AA69=0,99,IF(S82&gt;3,CdTrp1!R77,CdTrp1!R53))</f>
        <v>1</v>
      </c>
      <c r="T69" s="168">
        <f>IF($AA69=0,99,IF(T82&gt;3,CdTrp1!S77,CdTrp1!S53))</f>
        <v>1</v>
      </c>
      <c r="U69" s="168">
        <f>IF($AA69=0,99,IF(U82&gt;3,CdTrp1!T77,CdTrp1!T53))</f>
        <v>1</v>
      </c>
      <c r="V69" s="168">
        <f>IF($AA69=0,99,IF(V82&gt;3,CdTrp1!U77,CdTrp1!U53))</f>
        <v>1</v>
      </c>
      <c r="W69" s="168">
        <f>IF($AA69=0,99,IF(W82&gt;3,CdTrp1!V77,CdTrp1!V53))</f>
        <v>1</v>
      </c>
      <c r="X69" s="168">
        <f>IF($AA69=0,99,IF(X82&gt;3,CdTrp1!W77,CdTrp1!W53))</f>
        <v>1</v>
      </c>
      <c r="Y69" s="168">
        <f>IF($AA69=0,99,IF(Y82&gt;3,CdTrp1!X77,CdTrp1!X53))</f>
        <v>1</v>
      </c>
      <c r="Z69" s="168">
        <f>IF($AA69=0,99,IF(Z82&gt;3,CdTrp1!Y77,CdTrp1!Y53))</f>
        <v>1</v>
      </c>
      <c r="AA69" s="177">
        <f>SUM(CdTrp1!B16:Y16)/24</f>
        <v>64.319999999999951</v>
      </c>
      <c r="AD69" s="15"/>
      <c r="AU69" s="179"/>
    </row>
    <row r="70" spans="1:49" x14ac:dyDescent="0.25">
      <c r="B70" s="261" t="str">
        <f>CdTrp1!A54</f>
        <v>vides + mammites</v>
      </c>
      <c r="C70" s="168">
        <f>IF($AA70=0,99,IF(C83&gt;3,CdTrp1!B78,CdTrp1!B54))</f>
        <v>0.5</v>
      </c>
      <c r="D70" s="168">
        <f>IF($AA70=0,99,IF(D83&gt;3,CdTrp1!C78,CdTrp1!C54))</f>
        <v>0.5</v>
      </c>
      <c r="E70" s="168">
        <f>IF($AA70=0,99,IF(E83&gt;3,CdTrp1!D78,CdTrp1!D54))</f>
        <v>0.5</v>
      </c>
      <c r="F70" s="168">
        <f>IF($AA70=0,99,IF(F83&gt;3,CdTrp1!E78,CdTrp1!E54))</f>
        <v>0.5</v>
      </c>
      <c r="G70" s="168">
        <f>IF($AA70=0,99,IF(G83&gt;3,CdTrp1!F78,CdTrp1!F54))</f>
        <v>0.5</v>
      </c>
      <c r="H70" s="168">
        <f>IF($AA70=0,99,IF(H83&gt;3,CdTrp1!G78,CdTrp1!G54))</f>
        <v>0.5</v>
      </c>
      <c r="I70" s="168">
        <f>IF($AA70=0,99,IF(I83&gt;3,CdTrp1!H78,CdTrp1!H54))</f>
        <v>0.5</v>
      </c>
      <c r="J70" s="168">
        <f>IF($AA70=0,99,IF(J83&gt;3,CdTrp1!I78,CdTrp1!I54))</f>
        <v>0.5</v>
      </c>
      <c r="K70" s="168">
        <f>IF($AA70=0,99,IF(K83&gt;3,CdTrp1!J78,CdTrp1!J54))</f>
        <v>0.5</v>
      </c>
      <c r="L70" s="168">
        <f>IF($AA70=0,99,IF(L83&gt;3,CdTrp1!K78,CdTrp1!K54))</f>
        <v>0.5</v>
      </c>
      <c r="M70" s="168">
        <f>IF($AA70=0,99,IF(M83&gt;3,CdTrp1!L78,CdTrp1!L54))</f>
        <v>0.5</v>
      </c>
      <c r="N70" s="168">
        <f>IF($AA70=0,99,IF(N83&gt;3,CdTrp1!M78,CdTrp1!M54))</f>
        <v>0.5</v>
      </c>
      <c r="O70" s="168">
        <f>IF($AA70=0,99,IF(O83&gt;3,CdTrp1!N78,CdTrp1!N54))</f>
        <v>0.5</v>
      </c>
      <c r="P70" s="168">
        <f>IF($AA70=0,99,IF(P83&gt;3,CdTrp1!O78,CdTrp1!O54))</f>
        <v>0.5</v>
      </c>
      <c r="Q70" s="168">
        <f>IF($AA70=0,99,IF(Q83&gt;3,CdTrp1!P78,CdTrp1!P54))</f>
        <v>0.5</v>
      </c>
      <c r="R70" s="168">
        <f>IF($AA70=0,99,IF(R83&gt;3,CdTrp1!Q78,CdTrp1!Q54))</f>
        <v>0.5</v>
      </c>
      <c r="S70" s="168">
        <f>IF($AA70=0,99,IF(S83&gt;3,CdTrp1!R78,CdTrp1!R54))</f>
        <v>0.5</v>
      </c>
      <c r="T70" s="168">
        <f>IF($AA70=0,99,IF(T83&gt;3,CdTrp1!S78,CdTrp1!S54))</f>
        <v>0.5</v>
      </c>
      <c r="U70" s="168">
        <f>IF($AA70=0,99,IF(U83&gt;3,CdTrp1!T78,CdTrp1!T54))</f>
        <v>0.5</v>
      </c>
      <c r="V70" s="168">
        <f>IF($AA70=0,99,IF(V83&gt;3,CdTrp1!U78,CdTrp1!U54))</f>
        <v>0.5</v>
      </c>
      <c r="W70" s="168">
        <f>IF($AA70=0,99,IF(W83&gt;3,CdTrp1!V78,CdTrp1!V54))</f>
        <v>0.5</v>
      </c>
      <c r="X70" s="168">
        <f>IF($AA70=0,99,IF(X83&gt;3,CdTrp1!W78,CdTrp1!W54))</f>
        <v>0.5</v>
      </c>
      <c r="Y70" s="168">
        <f>IF($AA70=0,99,IF(Y83&gt;3,CdTrp1!X78,CdTrp1!X54))</f>
        <v>0.5</v>
      </c>
      <c r="Z70" s="168">
        <f>IF($AA70=0,99,IF(Z83&gt;3,CdTrp1!Y78,CdTrp1!Y54))</f>
        <v>0.5</v>
      </c>
      <c r="AA70" s="177">
        <f>SUM(CdTrp1!B17:Y17)/24</f>
        <v>7.5933333333333364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1</v>
      </c>
      <c r="D71" s="168">
        <f>IF($AA71=0,99,IF(D84&gt;3,CdTrp1!C79,CdTrp1!C55))</f>
        <v>1</v>
      </c>
      <c r="E71" s="168">
        <f>IF($AA71=0,99,IF(E84&gt;3,CdTrp1!D79,CdTrp1!D55))</f>
        <v>1</v>
      </c>
      <c r="F71" s="168">
        <f>IF($AA71=0,99,IF(F84&gt;3,CdTrp1!E79,CdTrp1!E55))</f>
        <v>1</v>
      </c>
      <c r="G71" s="168">
        <f>IF($AA71=0,99,IF(G84&gt;3,CdTrp1!F79,CdTrp1!F55))</f>
        <v>1</v>
      </c>
      <c r="H71" s="168">
        <f>IF($AA71=0,99,IF(H84&gt;3,CdTrp1!G79,CdTrp1!G55))</f>
        <v>1</v>
      </c>
      <c r="I71" s="168">
        <f>IF($AA71=0,99,IF(I84&gt;3,CdTrp1!H79,CdTrp1!H55))</f>
        <v>1</v>
      </c>
      <c r="J71" s="168">
        <f>IF($AA71=0,99,IF(J84&gt;3,CdTrp1!I79,CdTrp1!I55))</f>
        <v>1</v>
      </c>
      <c r="K71" s="168">
        <f>IF($AA71=0,99,IF(K84&gt;3,CdTrp1!J79,CdTrp1!J55))</f>
        <v>1</v>
      </c>
      <c r="L71" s="168">
        <f>IF($AA71=0,99,IF(L84&gt;3,CdTrp1!K79,CdTrp1!K55))</f>
        <v>1</v>
      </c>
      <c r="M71" s="168">
        <f>IF($AA71=0,99,IF(M84&gt;3,CdTrp1!L79,CdTrp1!L55))</f>
        <v>1</v>
      </c>
      <c r="N71" s="168">
        <f>IF($AA71=0,99,IF(N84&gt;3,CdTrp1!M79,CdTrp1!M55))</f>
        <v>1</v>
      </c>
      <c r="O71" s="168">
        <f>IF($AA71=0,99,IF(O84&gt;3,CdTrp1!N79,CdTrp1!N55))</f>
        <v>1</v>
      </c>
      <c r="P71" s="168">
        <f>IF($AA71=0,99,IF(P84&gt;3,CdTrp1!O79,CdTrp1!O55))</f>
        <v>1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99</v>
      </c>
      <c r="X71" s="168">
        <f>IF($AA71=0,99,IF(X84&gt;3,CdTrp1!W79,CdTrp1!W55))</f>
        <v>1</v>
      </c>
      <c r="Y71" s="168">
        <f>IF($AA71=0,99,IF(Y84&gt;3,CdTrp1!X79,CdTrp1!X55))</f>
        <v>1</v>
      </c>
      <c r="Z71" s="168">
        <f>IF($AA71=0,99,IF(Z84&gt;3,CdTrp1!Y79,CdTrp1!Y55))</f>
        <v>1</v>
      </c>
      <c r="AA71" s="177">
        <f>SUM(CdTrp1!B18:Y18)/24</f>
        <v>3.7966666666666669</v>
      </c>
      <c r="AD71" s="15"/>
    </row>
    <row r="72" spans="1:49" x14ac:dyDescent="0.25">
      <c r="B72" s="261">
        <f>CdTrp1!A56</f>
        <v>0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61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61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61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733</v>
      </c>
      <c r="B81" s="30" t="str">
        <f>CdTrp1!A76</f>
        <v>laitiéres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1</v>
      </c>
      <c r="G81" s="168">
        <f>CdTrp1!F76</f>
        <v>1</v>
      </c>
      <c r="H81" s="168">
        <f>CdTrp1!G76</f>
        <v>1</v>
      </c>
      <c r="I81" s="168">
        <f>CdTrp1!H76</f>
        <v>1</v>
      </c>
      <c r="J81" s="168">
        <f>CdTrp1!I76</f>
        <v>1</v>
      </c>
      <c r="K81" s="168">
        <f>CdTrp1!J76</f>
        <v>1</v>
      </c>
      <c r="L81" s="168">
        <f>CdTrp1!K76</f>
        <v>1</v>
      </c>
      <c r="M81" s="168">
        <f>CdTrp1!L76</f>
        <v>1</v>
      </c>
      <c r="N81" s="168">
        <f>CdTrp1!M76</f>
        <v>1</v>
      </c>
      <c r="O81" s="168">
        <f>CdTrp1!N76</f>
        <v>1</v>
      </c>
      <c r="P81" s="168">
        <f>CdTrp1!O76</f>
        <v>1</v>
      </c>
      <c r="Q81" s="168">
        <f>CdTrp1!P76</f>
        <v>1</v>
      </c>
      <c r="R81" s="168">
        <f>CdTrp1!Q76</f>
        <v>1</v>
      </c>
      <c r="S81" s="168">
        <f>CdTrp1!R76</f>
        <v>1</v>
      </c>
      <c r="T81" s="168">
        <f>CdTrp1!S76</f>
        <v>1</v>
      </c>
      <c r="U81" s="168">
        <f>CdTrp1!T76</f>
        <v>1</v>
      </c>
      <c r="V81" s="168">
        <f>CdTrp1!U76</f>
        <v>1</v>
      </c>
      <c r="W81" s="168">
        <f>CdTrp1!V76</f>
        <v>1</v>
      </c>
      <c r="X81" s="168">
        <f>CdTrp1!W76</f>
        <v>1</v>
      </c>
      <c r="Y81" s="168">
        <f>CdTrp1!X76</f>
        <v>1</v>
      </c>
      <c r="Z81" s="168">
        <f>CdTrp1!Y76</f>
        <v>0</v>
      </c>
      <c r="AC81">
        <v>3</v>
      </c>
    </row>
    <row r="82" spans="1:29" x14ac:dyDescent="0.25">
      <c r="B82" s="261" t="str">
        <f>CdTrp1!A77</f>
        <v>agnelles</v>
      </c>
      <c r="C82" s="168">
        <f>CdTrp1!B77</f>
        <v>0</v>
      </c>
      <c r="D82" s="168">
        <f>CdTrp1!C77</f>
        <v>0</v>
      </c>
      <c r="E82" s="168">
        <f>CdTrp1!D77</f>
        <v>0</v>
      </c>
      <c r="F82" s="168">
        <f>CdTrp1!E77</f>
        <v>0</v>
      </c>
      <c r="G82" s="168">
        <f>CdTrp1!F77</f>
        <v>0</v>
      </c>
      <c r="H82" s="168">
        <f>CdTrp1!G77</f>
        <v>0</v>
      </c>
      <c r="I82" s="168">
        <f>CdTrp1!H77</f>
        <v>0</v>
      </c>
      <c r="J82" s="168">
        <f>CdTrp1!I77</f>
        <v>0</v>
      </c>
      <c r="K82" s="168">
        <f>CdTrp1!J77</f>
        <v>0</v>
      </c>
      <c r="L82" s="168">
        <f>CdTrp1!K77</f>
        <v>0</v>
      </c>
      <c r="M82" s="168">
        <f>CdTrp1!L77</f>
        <v>0</v>
      </c>
      <c r="N82" s="168">
        <f>CdTrp1!M77</f>
        <v>0</v>
      </c>
      <c r="O82" s="168">
        <f>CdTrp1!N77</f>
        <v>0</v>
      </c>
      <c r="P82" s="168">
        <f>CdTrp1!O77</f>
        <v>0</v>
      </c>
      <c r="Q82" s="168">
        <f>CdTrp1!P77</f>
        <v>0</v>
      </c>
      <c r="R82" s="168">
        <f>CdTrp1!Q77</f>
        <v>0</v>
      </c>
      <c r="S82" s="168">
        <f>CdTrp1!R77</f>
        <v>0</v>
      </c>
      <c r="T82" s="168">
        <f>CdTrp1!S77</f>
        <v>0</v>
      </c>
      <c r="U82" s="168">
        <f>CdTrp1!T77</f>
        <v>0</v>
      </c>
      <c r="V82" s="168">
        <f>CdTrp1!U77</f>
        <v>0</v>
      </c>
      <c r="W82" s="168">
        <f>CdTrp1!V77</f>
        <v>0</v>
      </c>
      <c r="X82" s="168">
        <f>CdTrp1!W77</f>
        <v>0</v>
      </c>
      <c r="Y82" s="168">
        <f>CdTrp1!X77</f>
        <v>0</v>
      </c>
      <c r="Z82" s="168">
        <f>CdTrp1!Y77</f>
        <v>0</v>
      </c>
      <c r="AC82">
        <v>4</v>
      </c>
    </row>
    <row r="83" spans="1:29" x14ac:dyDescent="0.25">
      <c r="B83" s="261" t="str">
        <f>CdTrp1!A78</f>
        <v>vides + mammites</v>
      </c>
      <c r="C83" s="168">
        <f>CdTrp1!B78</f>
        <v>2</v>
      </c>
      <c r="D83" s="168">
        <f>CdTrp1!C78</f>
        <v>2</v>
      </c>
      <c r="E83" s="168">
        <f>CdTrp1!D78</f>
        <v>2</v>
      </c>
      <c r="F83" s="168">
        <f>CdTrp1!E78</f>
        <v>2</v>
      </c>
      <c r="G83" s="168">
        <f>CdTrp1!F78</f>
        <v>2</v>
      </c>
      <c r="H83" s="168">
        <f>CdTrp1!G78</f>
        <v>2</v>
      </c>
      <c r="I83" s="168">
        <f>CdTrp1!H78</f>
        <v>2</v>
      </c>
      <c r="J83" s="168">
        <f>CdTrp1!I78</f>
        <v>2</v>
      </c>
      <c r="K83" s="168">
        <f>CdTrp1!J78</f>
        <v>2</v>
      </c>
      <c r="L83" s="168">
        <f>CdTrp1!K78</f>
        <v>2</v>
      </c>
      <c r="M83" s="168">
        <f>CdTrp1!L78</f>
        <v>2</v>
      </c>
      <c r="N83" s="168">
        <f>CdTrp1!M78</f>
        <v>2</v>
      </c>
      <c r="O83" s="168">
        <f>CdTrp1!N78</f>
        <v>2</v>
      </c>
      <c r="P83" s="168">
        <f>CdTrp1!O78</f>
        <v>2</v>
      </c>
      <c r="Q83" s="168">
        <f>CdTrp1!P78</f>
        <v>2</v>
      </c>
      <c r="R83" s="168">
        <f>CdTrp1!Q78</f>
        <v>2</v>
      </c>
      <c r="S83" s="168">
        <f>CdTrp1!R78</f>
        <v>2</v>
      </c>
      <c r="T83" s="168">
        <f>CdTrp1!S78</f>
        <v>2</v>
      </c>
      <c r="U83" s="168">
        <f>CdTrp1!T78</f>
        <v>2</v>
      </c>
      <c r="V83" s="168">
        <f>CdTrp1!U78</f>
        <v>2</v>
      </c>
      <c r="W83" s="168">
        <f>CdTrp1!V78</f>
        <v>2</v>
      </c>
      <c r="X83" s="168">
        <f>CdTrp1!W78</f>
        <v>2</v>
      </c>
      <c r="Y83" s="168">
        <f>CdTrp1!X78</f>
        <v>2</v>
      </c>
      <c r="Z83" s="168">
        <f>CdTrp1!Y78</f>
        <v>2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0</v>
      </c>
      <c r="D84" s="168">
        <f>CdTrp1!C79</f>
        <v>0</v>
      </c>
      <c r="E84" s="168">
        <f>CdTrp1!D79</f>
        <v>0</v>
      </c>
      <c r="F84" s="168">
        <f>CdTrp1!E79</f>
        <v>0</v>
      </c>
      <c r="G84" s="168">
        <f>CdTrp1!F79</f>
        <v>0</v>
      </c>
      <c r="H84" s="168">
        <f>CdTrp1!G79</f>
        <v>0</v>
      </c>
      <c r="I84" s="168">
        <f>CdTrp1!H79</f>
        <v>0</v>
      </c>
      <c r="J84" s="168">
        <f>CdTrp1!I79</f>
        <v>0</v>
      </c>
      <c r="K84" s="168">
        <f>CdTrp1!J79</f>
        <v>0</v>
      </c>
      <c r="L84" s="168">
        <f>CdTrp1!K79</f>
        <v>0</v>
      </c>
      <c r="M84" s="168">
        <f>CdTrp1!L79</f>
        <v>0</v>
      </c>
      <c r="N84" s="168">
        <f>CdTrp1!M79</f>
        <v>0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0</v>
      </c>
      <c r="Z84" s="168">
        <f>CdTrp1!Y79</f>
        <v>0</v>
      </c>
    </row>
    <row r="85" spans="1:29" x14ac:dyDescent="0.25">
      <c r="B85" s="261">
        <f>CdTrp1!A80</f>
        <v>0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61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61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61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731</v>
      </c>
    </row>
    <row r="110" spans="1:27" x14ac:dyDescent="0.25">
      <c r="A110" s="40" t="s">
        <v>734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3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3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3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3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3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3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735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1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1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1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1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1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1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731</v>
      </c>
    </row>
    <row r="153" spans="1:27" x14ac:dyDescent="0.25">
      <c r="A153" s="40" t="s">
        <v>736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3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3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3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3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3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3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733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1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1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1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1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1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1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737</v>
      </c>
      <c r="C180" s="168">
        <f>IF(Troupeau!$B$3="OL",Protection!C18,0)</f>
        <v>1</v>
      </c>
      <c r="D180" s="168">
        <f>IF(Troupeau!$B$3="OL",Protection!D18,0)</f>
        <v>1</v>
      </c>
      <c r="E180" s="168">
        <f>IF(Troupeau!$B$3="OL",Protection!E18,0)</f>
        <v>1</v>
      </c>
      <c r="F180" s="168">
        <f>IF(Troupeau!$B$3="OL",Protection!F18,0)</f>
        <v>1</v>
      </c>
      <c r="G180" s="168">
        <f>IF(Troupeau!$B$3="OL",Protection!G18,0)</f>
        <v>1</v>
      </c>
      <c r="H180" s="168">
        <f>IF(Troupeau!$B$3="OL",Protection!H18,0)</f>
        <v>1</v>
      </c>
      <c r="I180" s="168">
        <f>IF(Troupeau!$B$3="OL",Protection!I18,0)</f>
        <v>1</v>
      </c>
      <c r="J180" s="168">
        <f>IF(Troupeau!$B$3="OL",Protection!J18,0)</f>
        <v>1</v>
      </c>
      <c r="K180" s="168">
        <f>IF(Troupeau!$B$3="OL",Protection!K18,0)</f>
        <v>1</v>
      </c>
      <c r="L180" s="168">
        <f>IF(Troupeau!$B$3="OL",Protection!L18,0)</f>
        <v>1</v>
      </c>
      <c r="M180" s="168">
        <f>IF(Troupeau!$B$3="OL",Protection!M18,0)</f>
        <v>1</v>
      </c>
      <c r="N180" s="168">
        <f>IF(Troupeau!$B$3="OL",Protection!N18,0)</f>
        <v>1</v>
      </c>
      <c r="O180" s="168">
        <f>IF(Troupeau!$B$3="OL",Protection!O18,0)</f>
        <v>1</v>
      </c>
      <c r="P180" s="168">
        <f>IF(Troupeau!$B$3="OL",Protection!P18,0)</f>
        <v>1</v>
      </c>
      <c r="Q180" s="168">
        <f>IF(Troupeau!$B$3="OL",Protection!Q18,0)</f>
        <v>1</v>
      </c>
      <c r="R180" s="168">
        <f>IF(Troupeau!$B$3="OL",Protection!R18,0)</f>
        <v>1</v>
      </c>
      <c r="S180" s="168">
        <f>IF(Troupeau!$B$3="OL",Protection!S18,0)</f>
        <v>1</v>
      </c>
      <c r="T180" s="168">
        <f>IF(Troupeau!$B$3="OL",Protection!T18,0)</f>
        <v>1</v>
      </c>
      <c r="U180" s="168">
        <f>IF(Troupeau!$B$3="OL",Protection!U18,0)</f>
        <v>1</v>
      </c>
      <c r="V180" s="168">
        <f>IF(Troupeau!$B$3="OL",Protection!V18,0)</f>
        <v>1</v>
      </c>
      <c r="W180" s="168">
        <f>IF(Troupeau!$B$3="OL",Protection!W18,0)</f>
        <v>1</v>
      </c>
      <c r="X180" s="168">
        <f>IF(Troupeau!$B$3="OL",Protection!X18,0)</f>
        <v>1</v>
      </c>
      <c r="Y180" s="168">
        <f>IF(Troupeau!$B$3="OL",Protection!Y18,0)</f>
        <v>1</v>
      </c>
      <c r="Z180" s="168">
        <f>IF(Troupeau!$B$3="OL",Protection!Z18,0)</f>
        <v>1</v>
      </c>
    </row>
    <row r="181" spans="1:26" x14ac:dyDescent="0.25">
      <c r="A181" t="s">
        <v>738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0</v>
      </c>
      <c r="O181" s="168">
        <f>IF(Troupeau!$B$3="OL",Protection!O19+O21,0)</f>
        <v>0</v>
      </c>
      <c r="P181" s="168">
        <f>IF(Troupeau!$B$3="OL",Protection!P19+P21,0)</f>
        <v>0</v>
      </c>
      <c r="Q181" s="168">
        <f>IF(Troupeau!$B$3="OL",Protection!Q19+Q21,0)</f>
        <v>0</v>
      </c>
      <c r="R181" s="168">
        <f>IF(Troupeau!$B$3="OL",Protection!R19+R21,0)</f>
        <v>0</v>
      </c>
      <c r="S181" s="168">
        <f>IF(Troupeau!$B$3="OL",Protection!S19+S21,0)</f>
        <v>0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739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740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741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742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743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744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745</v>
      </c>
      <c r="C195" s="168">
        <f>C180+C183+C185+C187</f>
        <v>1</v>
      </c>
      <c r="D195" s="168">
        <f t="shared" ref="D195:Z196" si="49">D180+D183+D185+D187</f>
        <v>1</v>
      </c>
      <c r="E195" s="168">
        <f t="shared" si="49"/>
        <v>1</v>
      </c>
      <c r="F195" s="168">
        <f t="shared" si="49"/>
        <v>1</v>
      </c>
      <c r="G195" s="168">
        <f t="shared" si="49"/>
        <v>1</v>
      </c>
      <c r="H195" s="168">
        <f t="shared" si="49"/>
        <v>1</v>
      </c>
      <c r="I195" s="168">
        <f t="shared" si="49"/>
        <v>1</v>
      </c>
      <c r="J195" s="168">
        <f t="shared" si="49"/>
        <v>1</v>
      </c>
      <c r="K195" s="168">
        <f t="shared" si="49"/>
        <v>1</v>
      </c>
      <c r="L195" s="168">
        <f t="shared" si="49"/>
        <v>1</v>
      </c>
      <c r="M195" s="168">
        <f t="shared" si="49"/>
        <v>1</v>
      </c>
      <c r="N195" s="168">
        <f t="shared" si="49"/>
        <v>1</v>
      </c>
      <c r="O195" s="168">
        <f t="shared" si="49"/>
        <v>1</v>
      </c>
      <c r="P195" s="168">
        <f t="shared" si="49"/>
        <v>1</v>
      </c>
      <c r="Q195" s="168">
        <f t="shared" si="49"/>
        <v>1</v>
      </c>
      <c r="R195" s="168">
        <f t="shared" si="49"/>
        <v>1</v>
      </c>
      <c r="S195" s="168">
        <f t="shared" si="49"/>
        <v>1</v>
      </c>
      <c r="T195" s="168">
        <f t="shared" si="49"/>
        <v>1</v>
      </c>
      <c r="U195" s="168">
        <f t="shared" si="49"/>
        <v>1</v>
      </c>
      <c r="V195" s="168">
        <f t="shared" si="49"/>
        <v>1</v>
      </c>
      <c r="W195" s="168">
        <f t="shared" si="49"/>
        <v>1</v>
      </c>
      <c r="X195" s="168">
        <f t="shared" si="49"/>
        <v>1</v>
      </c>
      <c r="Y195" s="168">
        <f t="shared" si="49"/>
        <v>1</v>
      </c>
      <c r="Z195" s="168">
        <f t="shared" si="49"/>
        <v>1</v>
      </c>
    </row>
    <row r="196" spans="1:26" x14ac:dyDescent="0.25">
      <c r="B196" s="14" t="s">
        <v>746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0</v>
      </c>
      <c r="O196" s="168">
        <f t="shared" si="49"/>
        <v>0</v>
      </c>
      <c r="P196" s="168">
        <f t="shared" si="49"/>
        <v>0</v>
      </c>
      <c r="Q196" s="168">
        <f t="shared" si="49"/>
        <v>0</v>
      </c>
      <c r="R196" s="168">
        <f t="shared" si="49"/>
        <v>0</v>
      </c>
      <c r="S196" s="168">
        <f t="shared" si="49"/>
        <v>0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747</v>
      </c>
      <c r="C201" s="168">
        <f>IF(Troupeau!$B$3="OL",C8+C9,0)</f>
        <v>2</v>
      </c>
      <c r="D201" s="168">
        <f>IF(Troupeau!$B$3="OL",D8+D9,0)</f>
        <v>2</v>
      </c>
      <c r="E201" s="168">
        <f>IF(Troupeau!$B$3="OL",E8+E9,0)</f>
        <v>2</v>
      </c>
      <c r="F201" s="168">
        <f>IF(Troupeau!$B$3="OL",F8+F9,0)</f>
        <v>4</v>
      </c>
      <c r="G201" s="168">
        <f>IF(Troupeau!$B$3="OL",G8+G9,0)</f>
        <v>4</v>
      </c>
      <c r="H201" s="168">
        <f>IF(Troupeau!$B$3="OL",H8+H9,0)</f>
        <v>4</v>
      </c>
      <c r="I201" s="168">
        <f>IF(Troupeau!$B$3="OL",I8+I9,0)</f>
        <v>4</v>
      </c>
      <c r="J201" s="168">
        <f>IF(Troupeau!$B$3="OL",J8+J9,0)</f>
        <v>4</v>
      </c>
      <c r="K201" s="168">
        <f>IF(Troupeau!$B$3="OL",K8+K9,0)</f>
        <v>4</v>
      </c>
      <c r="L201" s="168">
        <f>IF(Troupeau!$B$3="OL",L8+L9,0)</f>
        <v>4</v>
      </c>
      <c r="M201" s="168">
        <f>IF(Troupeau!$B$3="OL",M8+M9,0)</f>
        <v>4</v>
      </c>
      <c r="N201" s="168">
        <f>IF(Troupeau!$B$3="OL",N8+N9,0)</f>
        <v>4</v>
      </c>
      <c r="O201" s="168">
        <f>IF(Troupeau!$B$3="OL",O8+O9,0)</f>
        <v>4</v>
      </c>
      <c r="P201" s="168">
        <f>IF(Troupeau!$B$3="OL",P8+P9,0)</f>
        <v>4</v>
      </c>
      <c r="Q201" s="168">
        <f>IF(Troupeau!$B$3="OL",Q8+Q9,0)</f>
        <v>4</v>
      </c>
      <c r="R201" s="168">
        <f>IF(Troupeau!$B$3="OL",R8+R9,0)</f>
        <v>4</v>
      </c>
      <c r="S201" s="168">
        <f>IF(Troupeau!$B$3="OL",S8+S9,0)</f>
        <v>4</v>
      </c>
      <c r="T201" s="168">
        <f>IF(Troupeau!$B$3="OL",T8+T9,0)</f>
        <v>4</v>
      </c>
      <c r="U201" s="168">
        <f>IF(Troupeau!$B$3="OL",U8+U9,0)</f>
        <v>4</v>
      </c>
      <c r="V201" s="168">
        <f>IF(Troupeau!$B$3="OL",V8+V9,0)</f>
        <v>4</v>
      </c>
      <c r="W201" s="168">
        <f>IF(Troupeau!$B$3="OL",W8+W9,0)</f>
        <v>4</v>
      </c>
      <c r="X201" s="168">
        <f>IF(Troupeau!$B$3="OL",X8+X9,0)</f>
        <v>4</v>
      </c>
      <c r="Y201" s="168">
        <f>IF(Troupeau!$B$3="OL",Y8+Y9,0)</f>
        <v>4</v>
      </c>
      <c r="Z201" s="168">
        <f>IF(Troupeau!$B$3="OL",Z8+Z9,0)</f>
        <v>2</v>
      </c>
    </row>
    <row r="202" spans="1:26" x14ac:dyDescent="0.25">
      <c r="A202" t="s">
        <v>748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0</v>
      </c>
      <c r="O202" s="168">
        <f>IF(Troupeau!$B$3="OL",O10+O12,0)</f>
        <v>0</v>
      </c>
      <c r="P202" s="168">
        <f>IF(Troupeau!$B$3="OL",P10+P12,0)</f>
        <v>0</v>
      </c>
      <c r="Q202" s="168">
        <f>IF(Troupeau!$B$3="OL",Q10+Q12,0)</f>
        <v>0</v>
      </c>
      <c r="R202" s="168">
        <f>IF(Troupeau!$B$3="OL",R10+R12,0)</f>
        <v>0</v>
      </c>
      <c r="S202" s="168">
        <f>IF(Troupeau!$B$3="OL",S10+S12,0)</f>
        <v>0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/>
    </row>
    <row r="204" spans="1:26" x14ac:dyDescent="0.25">
      <c r="A204" t="s">
        <v>749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750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751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752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753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754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755</v>
      </c>
      <c r="C212" s="168">
        <f>C201+C204+C206+C208</f>
        <v>2</v>
      </c>
      <c r="D212" s="168">
        <f t="shared" ref="D212:Z213" si="50">D201+D204+D206+D208</f>
        <v>2</v>
      </c>
      <c r="E212" s="168">
        <f t="shared" si="50"/>
        <v>2</v>
      </c>
      <c r="F212" s="168">
        <f t="shared" si="50"/>
        <v>4</v>
      </c>
      <c r="G212" s="168">
        <f t="shared" si="50"/>
        <v>4</v>
      </c>
      <c r="H212" s="168">
        <f t="shared" si="50"/>
        <v>4</v>
      </c>
      <c r="I212" s="168">
        <f t="shared" si="50"/>
        <v>4</v>
      </c>
      <c r="J212" s="168">
        <f t="shared" si="50"/>
        <v>4</v>
      </c>
      <c r="K212" s="168">
        <f t="shared" si="50"/>
        <v>4</v>
      </c>
      <c r="L212" s="168">
        <f t="shared" si="50"/>
        <v>4</v>
      </c>
      <c r="M212" s="168">
        <f t="shared" si="50"/>
        <v>4</v>
      </c>
      <c r="N212" s="168">
        <f t="shared" si="50"/>
        <v>4</v>
      </c>
      <c r="O212" s="168">
        <f t="shared" si="50"/>
        <v>4</v>
      </c>
      <c r="P212" s="168">
        <f t="shared" si="50"/>
        <v>4</v>
      </c>
      <c r="Q212" s="168">
        <f t="shared" si="50"/>
        <v>4</v>
      </c>
      <c r="R212" s="168">
        <f t="shared" si="50"/>
        <v>4</v>
      </c>
      <c r="S212" s="168">
        <f t="shared" si="50"/>
        <v>4</v>
      </c>
      <c r="T212" s="168">
        <f t="shared" si="50"/>
        <v>4</v>
      </c>
      <c r="U212" s="168">
        <f t="shared" si="50"/>
        <v>4</v>
      </c>
      <c r="V212" s="168">
        <f t="shared" si="50"/>
        <v>4</v>
      </c>
      <c r="W212" s="168">
        <f t="shared" si="50"/>
        <v>4</v>
      </c>
      <c r="X212" s="168">
        <f t="shared" si="50"/>
        <v>4</v>
      </c>
      <c r="Y212" s="168">
        <f t="shared" si="50"/>
        <v>4</v>
      </c>
      <c r="Z212" s="168">
        <f t="shared" si="50"/>
        <v>2</v>
      </c>
    </row>
    <row r="213" spans="1:26" x14ac:dyDescent="0.25">
      <c r="A213" s="15" t="s">
        <v>756</v>
      </c>
      <c r="C213" s="168">
        <f>C202+C205+C207+C209</f>
        <v>0</v>
      </c>
      <c r="D213" s="168">
        <f t="shared" si="50"/>
        <v>0</v>
      </c>
      <c r="E213" s="168">
        <f t="shared" si="50"/>
        <v>0</v>
      </c>
      <c r="F213" s="168">
        <f t="shared" si="50"/>
        <v>0</v>
      </c>
      <c r="G213" s="168">
        <f t="shared" si="50"/>
        <v>0</v>
      </c>
      <c r="H213" s="168">
        <f t="shared" si="50"/>
        <v>0</v>
      </c>
      <c r="I213" s="168">
        <f t="shared" si="50"/>
        <v>0</v>
      </c>
      <c r="J213" s="168">
        <f t="shared" si="50"/>
        <v>0</v>
      </c>
      <c r="K213" s="168">
        <f t="shared" si="50"/>
        <v>0</v>
      </c>
      <c r="L213" s="168">
        <f t="shared" si="50"/>
        <v>0</v>
      </c>
      <c r="M213" s="168">
        <f t="shared" si="50"/>
        <v>0</v>
      </c>
      <c r="N213" s="168">
        <f t="shared" si="50"/>
        <v>0</v>
      </c>
      <c r="O213" s="168">
        <f t="shared" si="50"/>
        <v>0</v>
      </c>
      <c r="P213" s="168">
        <f t="shared" si="50"/>
        <v>0</v>
      </c>
      <c r="Q213" s="168">
        <f t="shared" si="50"/>
        <v>0</v>
      </c>
      <c r="R213" s="168">
        <f t="shared" si="50"/>
        <v>0</v>
      </c>
      <c r="S213" s="168">
        <f t="shared" si="50"/>
        <v>0</v>
      </c>
      <c r="T213" s="168">
        <f t="shared" si="50"/>
        <v>0</v>
      </c>
      <c r="U213" s="168">
        <f t="shared" si="50"/>
        <v>0</v>
      </c>
      <c r="V213" s="168">
        <f t="shared" si="50"/>
        <v>0</v>
      </c>
      <c r="W213" s="168">
        <f t="shared" si="50"/>
        <v>0</v>
      </c>
      <c r="X213" s="168">
        <f t="shared" si="50"/>
        <v>0</v>
      </c>
      <c r="Y213" s="168">
        <f t="shared" si="50"/>
        <v>0</v>
      </c>
      <c r="Z213" s="168">
        <f t="shared" si="50"/>
        <v>0</v>
      </c>
    </row>
    <row r="214" spans="1:26" x14ac:dyDescent="0.25">
      <c r="A214" s="15" t="s">
        <v>757</v>
      </c>
      <c r="C214" s="168">
        <f>C212+C213</f>
        <v>2</v>
      </c>
      <c r="D214" s="168">
        <f t="shared" ref="D214:Z214" si="51">D212+D213</f>
        <v>2</v>
      </c>
      <c r="E214" s="168">
        <f t="shared" si="51"/>
        <v>2</v>
      </c>
      <c r="F214" s="168">
        <f t="shared" si="51"/>
        <v>4</v>
      </c>
      <c r="G214" s="168">
        <f t="shared" si="51"/>
        <v>4</v>
      </c>
      <c r="H214" s="168">
        <f t="shared" si="51"/>
        <v>4</v>
      </c>
      <c r="I214" s="168">
        <f t="shared" si="51"/>
        <v>4</v>
      </c>
      <c r="J214" s="168">
        <f t="shared" si="51"/>
        <v>4</v>
      </c>
      <c r="K214" s="168">
        <f t="shared" si="51"/>
        <v>4</v>
      </c>
      <c r="L214" s="168">
        <f t="shared" si="51"/>
        <v>4</v>
      </c>
      <c r="M214" s="168">
        <f t="shared" si="51"/>
        <v>4</v>
      </c>
      <c r="N214" s="168">
        <f t="shared" si="51"/>
        <v>4</v>
      </c>
      <c r="O214" s="168">
        <f t="shared" si="51"/>
        <v>4</v>
      </c>
      <c r="P214" s="168">
        <f t="shared" si="51"/>
        <v>4</v>
      </c>
      <c r="Q214" s="168">
        <f t="shared" si="51"/>
        <v>4</v>
      </c>
      <c r="R214" s="168">
        <f t="shared" si="51"/>
        <v>4</v>
      </c>
      <c r="S214" s="168">
        <f t="shared" si="51"/>
        <v>4</v>
      </c>
      <c r="T214" s="168">
        <f t="shared" si="51"/>
        <v>4</v>
      </c>
      <c r="U214" s="168">
        <f t="shared" si="51"/>
        <v>4</v>
      </c>
      <c r="V214" s="168">
        <f t="shared" si="51"/>
        <v>4</v>
      </c>
      <c r="W214" s="168">
        <f t="shared" si="51"/>
        <v>4</v>
      </c>
      <c r="X214" s="168">
        <f t="shared" si="51"/>
        <v>4</v>
      </c>
      <c r="Y214" s="168">
        <f t="shared" si="51"/>
        <v>4</v>
      </c>
      <c r="Z214" s="168">
        <f t="shared" si="51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3" activePane="bottomLeft" state="frozen"/>
      <selection activeCell="AB200" sqref="AB200"/>
      <selection pane="bottomLeft" activeCell="BQ110" sqref="BQ110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3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758</v>
      </c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R1" s="181" t="s">
        <v>759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759</v>
      </c>
      <c r="AS2" s="40" t="s">
        <v>553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567</v>
      </c>
      <c r="BZ2" s="168">
        <f>Troupeau!C3</f>
        <v>0</v>
      </c>
      <c r="CA2" s="168">
        <f>IF(BZ2="OL",1,IF(BZ2="BV",2,IF(BZ2="BL",3,IF(BZ2="EQ",4,0))))</f>
        <v>0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574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760</v>
      </c>
      <c r="B3" s="2"/>
      <c r="C3" s="2"/>
      <c r="D3" s="23"/>
      <c r="E3" s="23"/>
      <c r="AR3" s="181" t="s">
        <v>759</v>
      </c>
      <c r="AT3" s="2" t="s">
        <v>761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761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761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762</v>
      </c>
      <c r="B4" s="2"/>
      <c r="C4" s="2"/>
      <c r="D4" s="23"/>
      <c r="E4" s="23"/>
      <c r="F4" s="33"/>
      <c r="AR4" s="181" t="s">
        <v>759</v>
      </c>
      <c r="AT4" s="182" t="str">
        <f>AT26</f>
        <v>laitiéres</v>
      </c>
      <c r="AU4" s="167"/>
      <c r="AV4" s="168">
        <f>CdTrp1!B15</f>
        <v>192.96</v>
      </c>
      <c r="AW4" s="168">
        <f>CdTrp1!C15</f>
        <v>192.96</v>
      </c>
      <c r="AX4" s="168">
        <f>CdTrp1!D15</f>
        <v>192.96</v>
      </c>
      <c r="AY4" s="168">
        <f>CdTrp1!E15</f>
        <v>192.96</v>
      </c>
      <c r="AZ4" s="168">
        <f>CdTrp1!F15</f>
        <v>254.06399999999999</v>
      </c>
      <c r="BA4" s="168">
        <f>CdTrp1!G15</f>
        <v>252.99199999999999</v>
      </c>
      <c r="BB4" s="168">
        <f>CdTrp1!H15</f>
        <v>251.92</v>
      </c>
      <c r="BC4" s="168">
        <f>CdTrp1!I15</f>
        <v>250.84800000000001</v>
      </c>
      <c r="BD4" s="168">
        <f>CdTrp1!J15</f>
        <v>232.624</v>
      </c>
      <c r="BE4" s="168">
        <f>CdTrp1!K15</f>
        <v>231.55199999999999</v>
      </c>
      <c r="BF4" s="168">
        <f>CdTrp1!L15</f>
        <v>230.48</v>
      </c>
      <c r="BG4" s="168">
        <f>CdTrp1!M15</f>
        <v>228.33600000000001</v>
      </c>
      <c r="BH4" s="168">
        <f>CdTrp1!N15</f>
        <v>226.19200000000001</v>
      </c>
      <c r="BI4" s="168">
        <f>CdTrp1!O15</f>
        <v>224.048</v>
      </c>
      <c r="BJ4" s="168">
        <f>CdTrp1!P15</f>
        <v>226.19200000000001</v>
      </c>
      <c r="BK4" s="168">
        <f>CdTrp1!Q15</f>
        <v>226.19200000000001</v>
      </c>
      <c r="BL4" s="168">
        <f>CdTrp1!R15</f>
        <v>226.19200000000001</v>
      </c>
      <c r="BM4" s="168">
        <f>CdTrp1!S15</f>
        <v>209.04</v>
      </c>
      <c r="BN4" s="168">
        <f>CdTrp1!T15</f>
        <v>209.04</v>
      </c>
      <c r="BO4" s="168">
        <f>CdTrp1!U15</f>
        <v>209.04</v>
      </c>
      <c r="BP4" s="168">
        <f>CdTrp1!V15</f>
        <v>209.04</v>
      </c>
      <c r="BQ4" s="168">
        <f>CdTrp1!W15</f>
        <v>203.68</v>
      </c>
      <c r="BR4" s="168">
        <f>CdTrp1!X15</f>
        <v>203.68</v>
      </c>
      <c r="BS4" s="168">
        <f>CdTrp1!Y15</f>
        <v>203.68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553</v>
      </c>
      <c r="F5" s="168">
        <f>SUM(G5:AD5)</f>
        <v>574</v>
      </c>
      <c r="G5" s="168">
        <f>AV117</f>
        <v>21</v>
      </c>
      <c r="H5" s="168">
        <f t="shared" ref="H5:AD5" si="0">AW117</f>
        <v>21</v>
      </c>
      <c r="I5" s="168">
        <f t="shared" si="0"/>
        <v>21</v>
      </c>
      <c r="J5" s="168">
        <f t="shared" si="0"/>
        <v>35</v>
      </c>
      <c r="K5" s="168">
        <f t="shared" si="0"/>
        <v>35</v>
      </c>
      <c r="L5" s="168">
        <f t="shared" si="0"/>
        <v>35</v>
      </c>
      <c r="M5" s="168">
        <f t="shared" si="0"/>
        <v>35</v>
      </c>
      <c r="N5" s="168">
        <f t="shared" si="0"/>
        <v>35</v>
      </c>
      <c r="O5" s="168">
        <f t="shared" si="0"/>
        <v>35</v>
      </c>
      <c r="P5" s="168">
        <f t="shared" si="0"/>
        <v>35</v>
      </c>
      <c r="Q5" s="168">
        <f t="shared" si="0"/>
        <v>35</v>
      </c>
      <c r="R5" s="168">
        <f t="shared" si="0"/>
        <v>35</v>
      </c>
      <c r="S5" s="168">
        <f t="shared" si="0"/>
        <v>35</v>
      </c>
      <c r="T5" s="168">
        <f t="shared" si="0"/>
        <v>35</v>
      </c>
      <c r="U5" s="168">
        <f t="shared" si="0"/>
        <v>14</v>
      </c>
      <c r="V5" s="168">
        <f t="shared" si="0"/>
        <v>14</v>
      </c>
      <c r="W5" s="168">
        <f t="shared" si="0"/>
        <v>14</v>
      </c>
      <c r="X5" s="168">
        <f t="shared" si="0"/>
        <v>14</v>
      </c>
      <c r="Y5" s="168">
        <f t="shared" si="0"/>
        <v>14</v>
      </c>
      <c r="Z5" s="168">
        <f t="shared" si="0"/>
        <v>14</v>
      </c>
      <c r="AA5" s="168">
        <f t="shared" si="0"/>
        <v>14</v>
      </c>
      <c r="AB5" s="168">
        <f t="shared" si="0"/>
        <v>14</v>
      </c>
      <c r="AC5" s="168">
        <f t="shared" si="0"/>
        <v>14</v>
      </c>
      <c r="AD5" s="168">
        <f t="shared" si="0"/>
        <v>0</v>
      </c>
      <c r="AR5" s="181" t="s">
        <v>759</v>
      </c>
      <c r="AT5" s="182" t="str">
        <f t="shared" ref="AT5:AT13" si="1">AT27</f>
        <v>agnelles</v>
      </c>
      <c r="AU5" s="167"/>
      <c r="AV5" s="168">
        <f>CdTrp1!B16</f>
        <v>64.319999999999993</v>
      </c>
      <c r="AW5" s="168">
        <f>CdTrp1!C16</f>
        <v>64.319999999999993</v>
      </c>
      <c r="AX5" s="168">
        <f>CdTrp1!D16</f>
        <v>64.319999999999993</v>
      </c>
      <c r="AY5" s="168">
        <f>CdTrp1!E16</f>
        <v>64.319999999999993</v>
      </c>
      <c r="AZ5" s="168">
        <f>CdTrp1!F16</f>
        <v>64.319999999999993</v>
      </c>
      <c r="BA5" s="168">
        <f>CdTrp1!G16</f>
        <v>64.319999999999993</v>
      </c>
      <c r="BB5" s="168">
        <f>CdTrp1!H16</f>
        <v>64.319999999999993</v>
      </c>
      <c r="BC5" s="168">
        <f>CdTrp1!I16</f>
        <v>64.319999999999993</v>
      </c>
      <c r="BD5" s="168">
        <f>CdTrp1!J16</f>
        <v>64.319999999999993</v>
      </c>
      <c r="BE5" s="168">
        <f>CdTrp1!K16</f>
        <v>64.319999999999993</v>
      </c>
      <c r="BF5" s="168">
        <f>CdTrp1!L16</f>
        <v>64.319999999999993</v>
      </c>
      <c r="BG5" s="168">
        <f>CdTrp1!M16</f>
        <v>64.319999999999993</v>
      </c>
      <c r="BH5" s="168">
        <f>CdTrp1!N16</f>
        <v>64.319999999999993</v>
      </c>
      <c r="BI5" s="168">
        <f>CdTrp1!O16</f>
        <v>64.319999999999993</v>
      </c>
      <c r="BJ5" s="168">
        <f>CdTrp1!P16</f>
        <v>64.319999999999993</v>
      </c>
      <c r="BK5" s="168">
        <f>CdTrp1!Q16</f>
        <v>64.319999999999993</v>
      </c>
      <c r="BL5" s="168">
        <f>CdTrp1!R16</f>
        <v>64.319999999999993</v>
      </c>
      <c r="BM5" s="168">
        <f>CdTrp1!S16</f>
        <v>64.319999999999993</v>
      </c>
      <c r="BN5" s="168">
        <f>CdTrp1!T16</f>
        <v>64.319999999999993</v>
      </c>
      <c r="BO5" s="168">
        <f>CdTrp1!U16</f>
        <v>64.319999999999993</v>
      </c>
      <c r="BP5" s="168">
        <f>CdTrp1!V16</f>
        <v>64.319999999999993</v>
      </c>
      <c r="BQ5" s="168">
        <f>CdTrp1!W16</f>
        <v>64.319999999999993</v>
      </c>
      <c r="BR5" s="168">
        <f>CdTrp1!X16</f>
        <v>64.319999999999993</v>
      </c>
      <c r="BS5" s="168">
        <f>CdTrp1!Y16</f>
        <v>64.319999999999993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567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759</v>
      </c>
      <c r="AT6" s="182" t="str">
        <f t="shared" si="1"/>
        <v>vides + mammites</v>
      </c>
      <c r="AU6" s="167"/>
      <c r="AV6" s="168">
        <f>CdTrp1!B17</f>
        <v>10.72</v>
      </c>
      <c r="AW6" s="168">
        <f>CdTrp1!C17</f>
        <v>10.72</v>
      </c>
      <c r="AX6" s="168">
        <f>CdTrp1!D17</f>
        <v>10.72</v>
      </c>
      <c r="AY6" s="168">
        <f>CdTrp1!E17</f>
        <v>10.72</v>
      </c>
      <c r="AZ6" s="168">
        <f>CdTrp1!F17</f>
        <v>13.936</v>
      </c>
      <c r="BA6" s="168">
        <f>CdTrp1!G17</f>
        <v>13.936</v>
      </c>
      <c r="BB6" s="168">
        <f>CdTrp1!H17</f>
        <v>13.936</v>
      </c>
      <c r="BC6" s="168">
        <f>CdTrp1!I17</f>
        <v>13.936</v>
      </c>
      <c r="BD6" s="168">
        <f>CdTrp1!J17</f>
        <v>13.936</v>
      </c>
      <c r="BE6" s="168">
        <f>CdTrp1!K17</f>
        <v>13.936</v>
      </c>
      <c r="BF6" s="168">
        <f>CdTrp1!L17</f>
        <v>13.936</v>
      </c>
      <c r="BG6" s="168">
        <f>CdTrp1!M17</f>
        <v>13.936</v>
      </c>
      <c r="BH6" s="168">
        <f>CdTrp1!N17</f>
        <v>13.936</v>
      </c>
      <c r="BI6" s="168">
        <f>CdTrp1!O17</f>
        <v>13.936</v>
      </c>
      <c r="BJ6" s="168">
        <f>CdTrp1!P17</f>
        <v>0</v>
      </c>
      <c r="BK6" s="168">
        <f>CdTrp1!Q17</f>
        <v>0</v>
      </c>
      <c r="BL6" s="168">
        <f>CdTrp1!R17</f>
        <v>0</v>
      </c>
      <c r="BM6" s="168">
        <f>CdTrp1!S17</f>
        <v>0</v>
      </c>
      <c r="BN6" s="168">
        <f>CdTrp1!T17</f>
        <v>0</v>
      </c>
      <c r="BO6" s="168">
        <f>CdTrp1!U17</f>
        <v>0</v>
      </c>
      <c r="BP6" s="168">
        <f>CdTrp1!V17</f>
        <v>0</v>
      </c>
      <c r="BQ6" s="168">
        <f>CdTrp1!W17</f>
        <v>0</v>
      </c>
      <c r="BR6" s="168">
        <f>CdTrp1!X17</f>
        <v>0</v>
      </c>
      <c r="BS6" s="168">
        <f>CdTrp1!Y17</f>
        <v>0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574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759</v>
      </c>
      <c r="AT7" s="182" t="str">
        <f t="shared" si="1"/>
        <v>béliers</v>
      </c>
      <c r="AU7" s="167"/>
      <c r="AV7" s="168">
        <f>CdTrp1!B18</f>
        <v>5.36</v>
      </c>
      <c r="AW7" s="168">
        <f>CdTrp1!C18</f>
        <v>5.36</v>
      </c>
      <c r="AX7" s="168">
        <f>CdTrp1!D18</f>
        <v>5.36</v>
      </c>
      <c r="AY7" s="168">
        <f>CdTrp1!E18</f>
        <v>5.36</v>
      </c>
      <c r="AZ7" s="168">
        <f>CdTrp1!F18</f>
        <v>5.36</v>
      </c>
      <c r="BA7" s="168">
        <f>CdTrp1!G18</f>
        <v>5.36</v>
      </c>
      <c r="BB7" s="168">
        <f>CdTrp1!H18</f>
        <v>5.36</v>
      </c>
      <c r="BC7" s="168">
        <f>CdTrp1!I18</f>
        <v>5.36</v>
      </c>
      <c r="BD7" s="168">
        <f>CdTrp1!J18</f>
        <v>5.36</v>
      </c>
      <c r="BE7" s="168">
        <f>CdTrp1!K18</f>
        <v>5.36</v>
      </c>
      <c r="BF7" s="168">
        <f>CdTrp1!L18</f>
        <v>5.36</v>
      </c>
      <c r="BG7" s="168">
        <f>CdTrp1!M18</f>
        <v>5.36</v>
      </c>
      <c r="BH7" s="168">
        <f>CdTrp1!N18</f>
        <v>5.36</v>
      </c>
      <c r="BI7" s="168">
        <f>CdTrp1!O18</f>
        <v>5.36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0</v>
      </c>
      <c r="BQ7" s="168">
        <f>CdTrp1!W18</f>
        <v>5.36</v>
      </c>
      <c r="BR7" s="168">
        <f>CdTrp1!X18</f>
        <v>5.36</v>
      </c>
      <c r="BS7" s="168">
        <f>CdTrp1!Y18</f>
        <v>5.36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763</v>
      </c>
      <c r="B8" s="2"/>
      <c r="C8" s="2"/>
      <c r="D8" s="23"/>
      <c r="E8" s="23"/>
      <c r="AR8" s="181" t="s">
        <v>759</v>
      </c>
      <c r="AT8" s="182">
        <f t="shared" si="1"/>
        <v>0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553</v>
      </c>
      <c r="F9" s="168">
        <f>SUM(G9:AD9)</f>
        <v>1214.41992</v>
      </c>
      <c r="G9" s="30">
        <f>AV102</f>
        <v>49.817599999999999</v>
      </c>
      <c r="H9" s="30">
        <f t="shared" ref="H9:AD9" si="4">AW102</f>
        <v>49.817599999999999</v>
      </c>
      <c r="I9" s="30">
        <f t="shared" si="4"/>
        <v>49.817599999999999</v>
      </c>
      <c r="J9" s="30">
        <f t="shared" si="4"/>
        <v>49.817599999999999</v>
      </c>
      <c r="K9" s="30">
        <f t="shared" si="4"/>
        <v>52.068800000000003</v>
      </c>
      <c r="L9" s="30">
        <f t="shared" si="4"/>
        <v>52.031280000000002</v>
      </c>
      <c r="M9" s="30">
        <f t="shared" si="4"/>
        <v>51.993760000000002</v>
      </c>
      <c r="N9" s="30">
        <f t="shared" si="4"/>
        <v>51.956240000000001</v>
      </c>
      <c r="O9" s="30">
        <f t="shared" si="4"/>
        <v>51.318399999999997</v>
      </c>
      <c r="P9" s="30">
        <f t="shared" si="4"/>
        <v>51.280879999999996</v>
      </c>
      <c r="Q9" s="30">
        <f t="shared" si="4"/>
        <v>51.243359999999996</v>
      </c>
      <c r="R9" s="30">
        <f t="shared" si="4"/>
        <v>51.168320000000001</v>
      </c>
      <c r="S9" s="30">
        <f t="shared" si="4"/>
        <v>51.09328</v>
      </c>
      <c r="T9" s="30">
        <f t="shared" si="4"/>
        <v>51.018239999999999</v>
      </c>
      <c r="U9" s="30">
        <f t="shared" si="4"/>
        <v>50.417920000000002</v>
      </c>
      <c r="V9" s="30">
        <f t="shared" si="4"/>
        <v>50.417920000000002</v>
      </c>
      <c r="W9" s="30">
        <f t="shared" si="4"/>
        <v>50.417920000000002</v>
      </c>
      <c r="X9" s="30">
        <f t="shared" si="4"/>
        <v>49.817599999999999</v>
      </c>
      <c r="Y9" s="30">
        <f t="shared" si="4"/>
        <v>49.817599999999999</v>
      </c>
      <c r="Z9" s="30">
        <f t="shared" si="4"/>
        <v>49.817599999999999</v>
      </c>
      <c r="AA9" s="30">
        <f t="shared" si="4"/>
        <v>49.817599999999999</v>
      </c>
      <c r="AB9" s="30">
        <f t="shared" si="4"/>
        <v>49.817599999999999</v>
      </c>
      <c r="AC9" s="30">
        <f t="shared" si="4"/>
        <v>49.817599999999999</v>
      </c>
      <c r="AD9" s="30">
        <f t="shared" si="4"/>
        <v>49.817599999999999</v>
      </c>
      <c r="AR9" s="181" t="s">
        <v>759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567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759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574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759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759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764</v>
      </c>
      <c r="F13" s="168">
        <f t="shared" si="5"/>
        <v>1788.4199200000012</v>
      </c>
      <c r="G13" s="30">
        <f>SUM(G5:G11)</f>
        <v>70.817599999999999</v>
      </c>
      <c r="H13" s="30">
        <f t="shared" ref="H13:AD13" si="8">SUM(H5:H11)</f>
        <v>70.817599999999999</v>
      </c>
      <c r="I13" s="30">
        <f t="shared" si="8"/>
        <v>70.817599999999999</v>
      </c>
      <c r="J13" s="30">
        <f t="shared" si="8"/>
        <v>84.817599999999999</v>
      </c>
      <c r="K13" s="30">
        <f t="shared" si="8"/>
        <v>87.06880000000001</v>
      </c>
      <c r="L13" s="30">
        <f t="shared" si="8"/>
        <v>87.03128000000001</v>
      </c>
      <c r="M13" s="30">
        <f t="shared" si="8"/>
        <v>86.993760000000009</v>
      </c>
      <c r="N13" s="30">
        <f t="shared" si="8"/>
        <v>86.956240000000008</v>
      </c>
      <c r="O13" s="30">
        <f t="shared" si="8"/>
        <v>86.318399999999997</v>
      </c>
      <c r="P13" s="30">
        <f t="shared" si="8"/>
        <v>86.280879999999996</v>
      </c>
      <c r="Q13" s="30">
        <f t="shared" si="8"/>
        <v>86.243359999999996</v>
      </c>
      <c r="R13" s="30">
        <f t="shared" si="8"/>
        <v>86.168319999999994</v>
      </c>
      <c r="S13" s="30">
        <f t="shared" si="8"/>
        <v>86.093279999999993</v>
      </c>
      <c r="T13" s="30">
        <f t="shared" si="8"/>
        <v>86.018239999999992</v>
      </c>
      <c r="U13" s="30">
        <f t="shared" si="8"/>
        <v>64.417920000000009</v>
      </c>
      <c r="V13" s="30">
        <f t="shared" si="8"/>
        <v>64.417920000000009</v>
      </c>
      <c r="W13" s="30">
        <f t="shared" si="8"/>
        <v>64.417920000000009</v>
      </c>
      <c r="X13" s="30">
        <f t="shared" si="8"/>
        <v>63.817599999999999</v>
      </c>
      <c r="Y13" s="30">
        <f t="shared" si="8"/>
        <v>63.817599999999999</v>
      </c>
      <c r="Z13" s="30">
        <f t="shared" si="8"/>
        <v>63.817599999999999</v>
      </c>
      <c r="AA13" s="30">
        <f t="shared" si="8"/>
        <v>63.817599999999999</v>
      </c>
      <c r="AB13" s="30">
        <f t="shared" si="8"/>
        <v>63.817599999999999</v>
      </c>
      <c r="AC13" s="30">
        <f t="shared" si="8"/>
        <v>63.817599999999999</v>
      </c>
      <c r="AD13" s="30">
        <f t="shared" si="8"/>
        <v>49.817599999999999</v>
      </c>
      <c r="AR13" s="181" t="s">
        <v>759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759</v>
      </c>
      <c r="AT14" s="2" t="s">
        <v>765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765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765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766</v>
      </c>
      <c r="B15" s="166" t="s">
        <v>767</v>
      </c>
      <c r="C15" s="166" t="s">
        <v>768</v>
      </c>
      <c r="D15" s="167" t="s">
        <v>769</v>
      </c>
      <c r="E15" s="167" t="s">
        <v>770</v>
      </c>
      <c r="F15" s="166" t="s">
        <v>771</v>
      </c>
      <c r="H15" s="15"/>
      <c r="AR15" s="181"/>
      <c r="AT15" s="182" t="str">
        <f>AT26</f>
        <v>laitiéres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553</v>
      </c>
      <c r="B16" s="183">
        <f>Scénario!K56</f>
        <v>1</v>
      </c>
      <c r="C16" s="183">
        <f>VALUE(LEFT(Scénario!K57,1))</f>
        <v>1</v>
      </c>
      <c r="D16" s="183">
        <f>IF(B16&gt;0,VLOOKUP(C16,[1]Trav!$A$86:$D$90,4),0)</f>
        <v>12</v>
      </c>
      <c r="E16" s="183">
        <f>Scénario!K54*2</f>
        <v>0</v>
      </c>
      <c r="F16" s="168">
        <f>IF(B16&gt;0,D16*E16/B16,0)</f>
        <v>0</v>
      </c>
      <c r="H16" t="s">
        <v>772</v>
      </c>
      <c r="AR16" s="181"/>
      <c r="AT16" s="182" t="str">
        <f t="shared" ref="AT16:AT24" si="14">AT27</f>
        <v>agnelles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1</v>
      </c>
      <c r="BF16" s="168">
        <f t="shared" si="9"/>
        <v>1</v>
      </c>
      <c r="BG16" s="168">
        <f t="shared" si="9"/>
        <v>1</v>
      </c>
      <c r="BH16" s="168">
        <f t="shared" si="9"/>
        <v>1</v>
      </c>
      <c r="BI16" s="168">
        <f t="shared" si="9"/>
        <v>1</v>
      </c>
      <c r="BJ16" s="168">
        <f t="shared" si="9"/>
        <v>1</v>
      </c>
      <c r="BK16" s="168">
        <f t="shared" si="9"/>
        <v>1</v>
      </c>
      <c r="BL16" s="168">
        <f t="shared" si="9"/>
        <v>1</v>
      </c>
      <c r="BM16" s="168">
        <f t="shared" si="9"/>
        <v>1</v>
      </c>
      <c r="BN16" s="168">
        <f t="shared" si="9"/>
        <v>1</v>
      </c>
      <c r="BO16" s="168">
        <f t="shared" si="9"/>
        <v>1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567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vides + mammites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0</v>
      </c>
      <c r="BK17" s="168">
        <f t="shared" si="9"/>
        <v>0</v>
      </c>
      <c r="BL17" s="168">
        <f t="shared" si="9"/>
        <v>0</v>
      </c>
      <c r="BM17" s="168">
        <f t="shared" si="9"/>
        <v>0</v>
      </c>
      <c r="BN17" s="168">
        <f t="shared" si="9"/>
        <v>0</v>
      </c>
      <c r="BO17" s="168">
        <f t="shared" si="9"/>
        <v>0</v>
      </c>
      <c r="BP17" s="168">
        <f t="shared" si="9"/>
        <v>0</v>
      </c>
      <c r="BQ17" s="168">
        <f t="shared" si="9"/>
        <v>0</v>
      </c>
      <c r="BR17" s="168">
        <f t="shared" si="9"/>
        <v>0</v>
      </c>
      <c r="BS17" s="168">
        <f t="shared" si="9"/>
        <v>0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574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1</v>
      </c>
      <c r="BG18" s="168">
        <f t="shared" si="9"/>
        <v>1</v>
      </c>
      <c r="BH18" s="168">
        <f t="shared" si="9"/>
        <v>1</v>
      </c>
      <c r="BI18" s="168">
        <f t="shared" si="9"/>
        <v>1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0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773</v>
      </c>
      <c r="B19" s="166"/>
      <c r="C19" s="166"/>
      <c r="D19" s="167"/>
      <c r="E19" s="167"/>
      <c r="AR19" s="181"/>
      <c r="AT19" s="182">
        <f t="shared" si="14"/>
        <v>0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553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567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574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774</v>
      </c>
      <c r="AU25" s="177"/>
      <c r="BZ25" s="184" t="s">
        <v>774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774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laitiéres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775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agnelles</v>
      </c>
      <c r="AU27" s="185" t="str">
        <f>Scénario!K97</f>
        <v>fort</v>
      </c>
      <c r="AV27" s="168">
        <f t="shared" si="17"/>
        <v>2</v>
      </c>
      <c r="AW27" s="168">
        <f t="shared" si="17"/>
        <v>2</v>
      </c>
      <c r="AX27" s="168">
        <f t="shared" si="17"/>
        <v>2</v>
      </c>
      <c r="AY27" s="168">
        <f t="shared" si="17"/>
        <v>2</v>
      </c>
      <c r="AZ27" s="168">
        <f t="shared" si="17"/>
        <v>2</v>
      </c>
      <c r="BA27" s="168">
        <f t="shared" si="17"/>
        <v>2</v>
      </c>
      <c r="BB27" s="168">
        <f t="shared" si="17"/>
        <v>2</v>
      </c>
      <c r="BC27" s="168">
        <f t="shared" si="17"/>
        <v>2</v>
      </c>
      <c r="BD27" s="168">
        <f t="shared" si="17"/>
        <v>2</v>
      </c>
      <c r="BE27" s="168">
        <f t="shared" si="17"/>
        <v>2</v>
      </c>
      <c r="BF27" s="168">
        <f t="shared" si="17"/>
        <v>2</v>
      </c>
      <c r="BG27" s="168">
        <f t="shared" si="17"/>
        <v>2</v>
      </c>
      <c r="BH27" s="168">
        <f t="shared" si="17"/>
        <v>2</v>
      </c>
      <c r="BI27" s="168">
        <f t="shared" si="17"/>
        <v>2</v>
      </c>
      <c r="BJ27" s="168">
        <f t="shared" si="17"/>
        <v>2</v>
      </c>
      <c r="BK27" s="168">
        <f t="shared" si="17"/>
        <v>2</v>
      </c>
      <c r="BL27" s="168">
        <f t="shared" si="18"/>
        <v>2</v>
      </c>
      <c r="BM27" s="168">
        <f t="shared" si="18"/>
        <v>2</v>
      </c>
      <c r="BN27" s="168">
        <f t="shared" si="18"/>
        <v>2</v>
      </c>
      <c r="BO27" s="168">
        <f t="shared" si="18"/>
        <v>2</v>
      </c>
      <c r="BP27" s="168">
        <f t="shared" si="18"/>
        <v>2</v>
      </c>
      <c r="BQ27" s="168">
        <f t="shared" si="18"/>
        <v>2</v>
      </c>
      <c r="BR27" s="168">
        <f t="shared" si="18"/>
        <v>2</v>
      </c>
      <c r="BS27" s="168">
        <f t="shared" si="18"/>
        <v>2</v>
      </c>
      <c r="BU27">
        <v>2</v>
      </c>
      <c r="BV27" t="s">
        <v>623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759</v>
      </c>
      <c r="AT28" s="182" t="str">
        <f>CdTrp1!A17</f>
        <v>vides + mammites</v>
      </c>
      <c r="AU28" s="185" t="str">
        <f>Scénario!K98</f>
        <v>fort</v>
      </c>
      <c r="AV28" s="168">
        <f t="shared" si="17"/>
        <v>2</v>
      </c>
      <c r="AW28" s="168">
        <f t="shared" si="17"/>
        <v>2</v>
      </c>
      <c r="AX28" s="168">
        <f t="shared" si="17"/>
        <v>2</v>
      </c>
      <c r="AY28" s="168">
        <f t="shared" si="17"/>
        <v>2</v>
      </c>
      <c r="AZ28" s="168">
        <f t="shared" si="17"/>
        <v>2</v>
      </c>
      <c r="BA28" s="168">
        <f t="shared" si="17"/>
        <v>2</v>
      </c>
      <c r="BB28" s="168">
        <f t="shared" si="17"/>
        <v>2</v>
      </c>
      <c r="BC28" s="168">
        <f t="shared" si="17"/>
        <v>2</v>
      </c>
      <c r="BD28" s="168">
        <f t="shared" si="17"/>
        <v>2</v>
      </c>
      <c r="BE28" s="168">
        <f t="shared" si="17"/>
        <v>2</v>
      </c>
      <c r="BF28" s="168">
        <f t="shared" si="17"/>
        <v>2</v>
      </c>
      <c r="BG28" s="168">
        <f t="shared" si="17"/>
        <v>2</v>
      </c>
      <c r="BH28" s="168">
        <f t="shared" si="17"/>
        <v>2</v>
      </c>
      <c r="BI28" s="168">
        <f t="shared" si="17"/>
        <v>2</v>
      </c>
      <c r="BJ28" s="168">
        <f t="shared" si="17"/>
        <v>2</v>
      </c>
      <c r="BK28" s="168">
        <f t="shared" si="17"/>
        <v>2</v>
      </c>
      <c r="BL28" s="168">
        <f t="shared" si="18"/>
        <v>2</v>
      </c>
      <c r="BM28" s="168">
        <f t="shared" si="18"/>
        <v>2</v>
      </c>
      <c r="BN28" s="168">
        <f t="shared" si="18"/>
        <v>2</v>
      </c>
      <c r="BO28" s="168">
        <f t="shared" si="18"/>
        <v>2</v>
      </c>
      <c r="BP28" s="168">
        <f t="shared" si="18"/>
        <v>2</v>
      </c>
      <c r="BQ28" s="168">
        <f t="shared" si="18"/>
        <v>2</v>
      </c>
      <c r="BR28" s="168">
        <f t="shared" si="18"/>
        <v>2</v>
      </c>
      <c r="BS28" s="168">
        <f t="shared" si="18"/>
        <v>2</v>
      </c>
      <c r="BU28">
        <v>1</v>
      </c>
      <c r="BV28" t="s">
        <v>624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759</v>
      </c>
      <c r="AT29" s="182" t="str">
        <f>CdTrp1!A18</f>
        <v>béliers</v>
      </c>
      <c r="AU29" s="185" t="str">
        <f>Scénario!K99</f>
        <v>fort</v>
      </c>
      <c r="AV29" s="168">
        <f t="shared" si="17"/>
        <v>2</v>
      </c>
      <c r="AW29" s="168">
        <f t="shared" si="17"/>
        <v>2</v>
      </c>
      <c r="AX29" s="168">
        <f t="shared" si="17"/>
        <v>2</v>
      </c>
      <c r="AY29" s="168">
        <f t="shared" si="17"/>
        <v>2</v>
      </c>
      <c r="AZ29" s="168">
        <f t="shared" si="17"/>
        <v>2</v>
      </c>
      <c r="BA29" s="168">
        <f t="shared" si="17"/>
        <v>2</v>
      </c>
      <c r="BB29" s="168">
        <f t="shared" si="17"/>
        <v>2</v>
      </c>
      <c r="BC29" s="168">
        <f t="shared" si="17"/>
        <v>2</v>
      </c>
      <c r="BD29" s="168">
        <f t="shared" si="17"/>
        <v>2</v>
      </c>
      <c r="BE29" s="168">
        <f t="shared" si="17"/>
        <v>2</v>
      </c>
      <c r="BF29" s="168">
        <f t="shared" si="17"/>
        <v>2</v>
      </c>
      <c r="BG29" s="168">
        <f t="shared" si="17"/>
        <v>2</v>
      </c>
      <c r="BH29" s="168">
        <f t="shared" si="17"/>
        <v>2</v>
      </c>
      <c r="BI29" s="168">
        <f t="shared" si="17"/>
        <v>2</v>
      </c>
      <c r="BJ29" s="168">
        <f t="shared" si="17"/>
        <v>2</v>
      </c>
      <c r="BK29" s="168">
        <f t="shared" si="17"/>
        <v>2</v>
      </c>
      <c r="BL29" s="168">
        <f t="shared" si="18"/>
        <v>2</v>
      </c>
      <c r="BM29" s="168">
        <f t="shared" si="18"/>
        <v>2</v>
      </c>
      <c r="BN29" s="168">
        <f t="shared" si="18"/>
        <v>2</v>
      </c>
      <c r="BO29" s="168">
        <f t="shared" si="18"/>
        <v>2</v>
      </c>
      <c r="BP29" s="168">
        <f t="shared" si="18"/>
        <v>2</v>
      </c>
      <c r="BQ29" s="168">
        <f t="shared" si="18"/>
        <v>2</v>
      </c>
      <c r="BR29" s="168">
        <f t="shared" si="18"/>
        <v>2</v>
      </c>
      <c r="BS29" s="168">
        <f t="shared" si="18"/>
        <v>2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776</v>
      </c>
      <c r="B30" s="186" t="s">
        <v>777</v>
      </c>
      <c r="C30" s="186" t="s">
        <v>778</v>
      </c>
      <c r="D30" s="187"/>
      <c r="E30" s="187"/>
      <c r="AR30" s="181" t="s">
        <v>759</v>
      </c>
      <c r="AT30" s="182">
        <f>CdTrp1!A19</f>
        <v>0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553</v>
      </c>
      <c r="B31" s="168">
        <f>Troupeau!B18</f>
        <v>254</v>
      </c>
      <c r="C31" s="183">
        <f>IF(B31&gt;0,VLOOKUP(Troupeau!B3,[1]Trav!$A$96:$B$99,2),0)</f>
        <v>110</v>
      </c>
      <c r="D31" s="167"/>
      <c r="E31" s="167"/>
      <c r="F31" s="168">
        <f>B31*C31/60</f>
        <v>465.66666666666669</v>
      </c>
      <c r="AR31" s="181" t="s">
        <v>759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567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759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574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759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779</v>
      </c>
      <c r="B34" s="186" t="s">
        <v>780</v>
      </c>
      <c r="C34" s="186" t="s">
        <v>781</v>
      </c>
      <c r="D34" s="186" t="s">
        <v>782</v>
      </c>
      <c r="E34" s="187"/>
      <c r="F34" s="33"/>
      <c r="AR34" s="181" t="s">
        <v>759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553</v>
      </c>
      <c r="B35" s="183">
        <f>IF(Troupeau!B3="BL",[1]Trav!$F$102,IF(Troupeau!B3="OL",[1]Trav!$F$103,0))</f>
        <v>220</v>
      </c>
      <c r="C35" s="168">
        <f>Troupeau!B19</f>
        <v>241</v>
      </c>
      <c r="D35" s="183">
        <f>IF(Troupeau!B3="OL",[1]Trav!$B$103,0)</f>
        <v>2.4900000000000002</v>
      </c>
      <c r="E35" s="167"/>
      <c r="F35" s="168">
        <f>B35+C35*D35</f>
        <v>820.09</v>
      </c>
      <c r="AR35" s="181" t="s">
        <v>759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567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759</v>
      </c>
      <c r="AT36" s="2" t="s">
        <v>736</v>
      </c>
      <c r="BZ36" s="2" t="s">
        <v>736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736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574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759</v>
      </c>
      <c r="AT37" s="182" t="str">
        <f>CdTrp1!$A52</f>
        <v>laitiéres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2</v>
      </c>
      <c r="AZ37" s="168">
        <f>IF(CdTrp1!F52=1,3,IF(CdTrp1!F52=0.5,2,IF(CdTrp1!F52=0,1,0)))</f>
        <v>2</v>
      </c>
      <c r="BA37" s="168">
        <f>IF(CdTrp1!G52=1,3,IF(CdTrp1!G52=0.5,2,IF(CdTrp1!G52=0,1,0)))</f>
        <v>2</v>
      </c>
      <c r="BB37" s="168">
        <f>IF(CdTrp1!H52=1,3,IF(CdTrp1!H52=0.5,2,IF(CdTrp1!H52=0,1,0)))</f>
        <v>2</v>
      </c>
      <c r="BC37" s="168">
        <f>IF(CdTrp1!I52=1,3,IF(CdTrp1!I52=0.5,2,IF(CdTrp1!I52=0,1,0)))</f>
        <v>2</v>
      </c>
      <c r="BD37" s="168">
        <f>IF(CdTrp1!J52=1,3,IF(CdTrp1!J52=0.5,2,IF(CdTrp1!J52=0,1,0)))</f>
        <v>2</v>
      </c>
      <c r="BE37" s="168">
        <f>IF(CdTrp1!K52=1,3,IF(CdTrp1!K52=0.5,2,IF(CdTrp1!K52=0,1,0)))</f>
        <v>2</v>
      </c>
      <c r="BF37" s="168">
        <f>IF(CdTrp1!L52=1,3,IF(CdTrp1!L52=0.5,2,IF(CdTrp1!L52=0,1,0)))</f>
        <v>2</v>
      </c>
      <c r="BG37" s="168">
        <f>IF(CdTrp1!M52=1,3,IF(CdTrp1!M52=0.5,2,IF(CdTrp1!M52=0,1,0)))</f>
        <v>2</v>
      </c>
      <c r="BH37" s="168">
        <f>IF(CdTrp1!N52=1,3,IF(CdTrp1!N52=0.5,2,IF(CdTrp1!N52=0,1,0)))</f>
        <v>2</v>
      </c>
      <c r="BI37" s="168">
        <f>IF(CdTrp1!O52=1,3,IF(CdTrp1!O52=0.5,2,IF(CdTrp1!O52=0,1,0)))</f>
        <v>2</v>
      </c>
      <c r="BJ37" s="168">
        <f>IF(CdTrp1!P52=1,3,IF(CdTrp1!P52=0.5,2,IF(CdTrp1!P52=0,1,0)))</f>
        <v>2</v>
      </c>
      <c r="BK37" s="168">
        <f>IF(CdTrp1!Q52=1,3,IF(CdTrp1!Q52=0.5,2,IF(CdTrp1!Q52=0,1,0)))</f>
        <v>2</v>
      </c>
      <c r="BL37" s="168">
        <f>IF(CdTrp1!R52=1,3,IF(CdTrp1!R52=0.5,2,IF(CdTrp1!R52=0,1,0)))</f>
        <v>2</v>
      </c>
      <c r="BM37" s="168">
        <f>IF(CdTrp1!S52=1,3,IF(CdTrp1!S52=0.5,2,IF(CdTrp1!S52=0,1,0)))</f>
        <v>2</v>
      </c>
      <c r="BN37" s="168">
        <f>IF(CdTrp1!T52=1,3,IF(CdTrp1!T52=0.5,2,IF(CdTrp1!T52=0,1,0)))</f>
        <v>2</v>
      </c>
      <c r="BO37" s="168">
        <f>IF(CdTrp1!U52=1,3,IF(CdTrp1!U52=0.5,2,IF(CdTrp1!U52=0,1,0)))</f>
        <v>2</v>
      </c>
      <c r="BP37" s="168">
        <f>IF(CdTrp1!V52=1,3,IF(CdTrp1!V52=0.5,2,IF(CdTrp1!V52=0,1,0)))</f>
        <v>2</v>
      </c>
      <c r="BQ37" s="168">
        <f>IF(CdTrp1!W52=1,3,IF(CdTrp1!W52=0.5,2,IF(CdTrp1!W52=0,1,0)))</f>
        <v>2</v>
      </c>
      <c r="BR37" s="168">
        <f>IF(CdTrp1!X52=1,3,IF(CdTrp1!X52=0.5,2,IF(CdTrp1!X52=0,1,0)))</f>
        <v>2</v>
      </c>
      <c r="BS37" s="168">
        <f>IF(CdTrp1!Y52=1,3,IF(CdTrp1!Y52=0.5,2,IF(CdTrp1!Y52=0,1,0)))</f>
        <v>3</v>
      </c>
      <c r="BU37">
        <v>3</v>
      </c>
      <c r="BV37" t="s">
        <v>783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784</v>
      </c>
      <c r="B38" s="188" t="s">
        <v>785</v>
      </c>
      <c r="C38" s="188" t="s">
        <v>786</v>
      </c>
      <c r="D38" s="187"/>
      <c r="E38" s="187"/>
      <c r="F38" s="33"/>
      <c r="AR38" s="181" t="s">
        <v>759</v>
      </c>
      <c r="AT38" s="262" t="str">
        <f>CdTrp1!$A53</f>
        <v>agnelles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3</v>
      </c>
      <c r="AY38" s="168">
        <f>IF(CdTrp1!E53=1,3,IF(CdTrp1!E53=0.5,2,IF(CdTrp1!E53=0,1,0)))</f>
        <v>3</v>
      </c>
      <c r="AZ38" s="168">
        <f>IF(CdTrp1!F53=1,3,IF(CdTrp1!F53=0.5,2,IF(CdTrp1!F53=0,1,0)))</f>
        <v>3</v>
      </c>
      <c r="BA38" s="168">
        <f>IF(CdTrp1!G53=1,3,IF(CdTrp1!G53=0.5,2,IF(CdTrp1!G53=0,1,0)))</f>
        <v>3</v>
      </c>
      <c r="BB38" s="168">
        <f>IF(CdTrp1!H53=1,3,IF(CdTrp1!H53=0.5,2,IF(CdTrp1!H53=0,1,0)))</f>
        <v>3</v>
      </c>
      <c r="BC38" s="168">
        <f>IF(CdTrp1!I53=1,3,IF(CdTrp1!I53=0.5,2,IF(CdTrp1!I53=0,1,0)))</f>
        <v>3</v>
      </c>
      <c r="BD38" s="168">
        <f>IF(CdTrp1!J53=1,3,IF(CdTrp1!J53=0.5,2,IF(CdTrp1!J53=0,1,0)))</f>
        <v>3</v>
      </c>
      <c r="BE38" s="168">
        <f>IF(CdTrp1!K53=1,3,IF(CdTrp1!K53=0.5,2,IF(CdTrp1!K53=0,1,0)))</f>
        <v>3</v>
      </c>
      <c r="BF38" s="168">
        <f>IF(CdTrp1!L53=1,3,IF(CdTrp1!L53=0.5,2,IF(CdTrp1!L53=0,1,0)))</f>
        <v>3</v>
      </c>
      <c r="BG38" s="168">
        <f>IF(CdTrp1!M53=1,3,IF(CdTrp1!M53=0.5,2,IF(CdTrp1!M53=0,1,0)))</f>
        <v>3</v>
      </c>
      <c r="BH38" s="168">
        <f>IF(CdTrp1!N53=1,3,IF(CdTrp1!N53=0.5,2,IF(CdTrp1!N53=0,1,0)))</f>
        <v>3</v>
      </c>
      <c r="BI38" s="168">
        <f>IF(CdTrp1!O53=1,3,IF(CdTrp1!O53=0.5,2,IF(CdTrp1!O53=0,1,0)))</f>
        <v>3</v>
      </c>
      <c r="BJ38" s="168">
        <f>IF(CdTrp1!P53=1,3,IF(CdTrp1!P53=0.5,2,IF(CdTrp1!P53=0,1,0)))</f>
        <v>3</v>
      </c>
      <c r="BK38" s="168">
        <f>IF(CdTrp1!Q53=1,3,IF(CdTrp1!Q53=0.5,2,IF(CdTrp1!Q53=0,1,0)))</f>
        <v>3</v>
      </c>
      <c r="BL38" s="168">
        <f>IF(CdTrp1!R53=1,3,IF(CdTrp1!R53=0.5,2,IF(CdTrp1!R53=0,1,0)))</f>
        <v>3</v>
      </c>
      <c r="BM38" s="168">
        <f>IF(CdTrp1!S53=1,3,IF(CdTrp1!S53=0.5,2,IF(CdTrp1!S53=0,1,0)))</f>
        <v>3</v>
      </c>
      <c r="BN38" s="168">
        <f>IF(CdTrp1!T53=1,3,IF(CdTrp1!T53=0.5,2,IF(CdTrp1!T53=0,1,0)))</f>
        <v>3</v>
      </c>
      <c r="BO38" s="168">
        <f>IF(CdTrp1!U53=1,3,IF(CdTrp1!U53=0.5,2,IF(CdTrp1!U53=0,1,0)))</f>
        <v>3</v>
      </c>
      <c r="BP38" s="168">
        <f>IF(CdTrp1!V53=1,3,IF(CdTrp1!V53=0.5,2,IF(CdTrp1!V53=0,1,0)))</f>
        <v>3</v>
      </c>
      <c r="BQ38" s="168">
        <f>IF(CdTrp1!W53=1,3,IF(CdTrp1!W53=0.5,2,IF(CdTrp1!W53=0,1,0)))</f>
        <v>3</v>
      </c>
      <c r="BR38" s="168">
        <f>IF(CdTrp1!X53=1,3,IF(CdTrp1!X53=0.5,2,IF(CdTrp1!X53=0,1,0)))</f>
        <v>3</v>
      </c>
      <c r="BS38" s="168">
        <f>IF(CdTrp1!Y53=1,3,IF(CdTrp1!Y53=0.5,2,IF(CdTrp1!Y53=0,1,0)))</f>
        <v>3</v>
      </c>
      <c r="BU38">
        <v>2</v>
      </c>
      <c r="BV38" t="s">
        <v>787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553</v>
      </c>
      <c r="B39" s="30">
        <f>Troupeau!B35*Scénario!K16/100</f>
        <v>0</v>
      </c>
      <c r="C39" s="183">
        <f>IF(B39=0,0,VLOOKUP(Troupeau!B3,[1]Trav!$A$108:$B$109,2))</f>
        <v>0</v>
      </c>
      <c r="D39" s="167"/>
      <c r="E39" s="167"/>
      <c r="F39" s="168">
        <f>ROUND(B39*C39/60,0)</f>
        <v>0</v>
      </c>
      <c r="AR39" s="181" t="s">
        <v>759</v>
      </c>
      <c r="AT39" s="262" t="str">
        <f>CdTrp1!$A54</f>
        <v>vides + mammites</v>
      </c>
      <c r="AU39" s="32"/>
      <c r="AV39" s="168">
        <f>IF(CdTrp1!B54=1,3,IF(CdTrp1!B54=0.5,2,IF(CdTrp1!B54=0,1,0)))</f>
        <v>2</v>
      </c>
      <c r="AW39" s="168">
        <f>IF(CdTrp1!C54=1,3,IF(CdTrp1!C54=0.5,2,IF(CdTrp1!C54=0,1,0)))</f>
        <v>2</v>
      </c>
      <c r="AX39" s="168">
        <f>IF(CdTrp1!D54=1,3,IF(CdTrp1!D54=0.5,2,IF(CdTrp1!D54=0,1,0)))</f>
        <v>2</v>
      </c>
      <c r="AY39" s="168">
        <f>IF(CdTrp1!E54=1,3,IF(CdTrp1!E54=0.5,2,IF(CdTrp1!E54=0,1,0)))</f>
        <v>2</v>
      </c>
      <c r="AZ39" s="168">
        <f>IF(CdTrp1!F54=1,3,IF(CdTrp1!F54=0.5,2,IF(CdTrp1!F54=0,1,0)))</f>
        <v>2</v>
      </c>
      <c r="BA39" s="168">
        <f>IF(CdTrp1!G54=1,3,IF(CdTrp1!G54=0.5,2,IF(CdTrp1!G54=0,1,0)))</f>
        <v>2</v>
      </c>
      <c r="BB39" s="168">
        <f>IF(CdTrp1!H54=1,3,IF(CdTrp1!H54=0.5,2,IF(CdTrp1!H54=0,1,0)))</f>
        <v>2</v>
      </c>
      <c r="BC39" s="168">
        <f>IF(CdTrp1!I54=1,3,IF(CdTrp1!I54=0.5,2,IF(CdTrp1!I54=0,1,0)))</f>
        <v>2</v>
      </c>
      <c r="BD39" s="168">
        <f>IF(CdTrp1!J54=1,3,IF(CdTrp1!J54=0.5,2,IF(CdTrp1!J54=0,1,0)))</f>
        <v>2</v>
      </c>
      <c r="BE39" s="168">
        <f>IF(CdTrp1!K54=1,3,IF(CdTrp1!K54=0.5,2,IF(CdTrp1!K54=0,1,0)))</f>
        <v>2</v>
      </c>
      <c r="BF39" s="168">
        <f>IF(CdTrp1!L54=1,3,IF(CdTrp1!L54=0.5,2,IF(CdTrp1!L54=0,1,0)))</f>
        <v>2</v>
      </c>
      <c r="BG39" s="168">
        <f>IF(CdTrp1!M54=1,3,IF(CdTrp1!M54=0.5,2,IF(CdTrp1!M54=0,1,0)))</f>
        <v>2</v>
      </c>
      <c r="BH39" s="168">
        <f>IF(CdTrp1!N54=1,3,IF(CdTrp1!N54=0.5,2,IF(CdTrp1!N54=0,1,0)))</f>
        <v>2</v>
      </c>
      <c r="BI39" s="168">
        <f>IF(CdTrp1!O54=1,3,IF(CdTrp1!O54=0.5,2,IF(CdTrp1!O54=0,1,0)))</f>
        <v>2</v>
      </c>
      <c r="BJ39" s="168">
        <f>IF(CdTrp1!P54=1,3,IF(CdTrp1!P54=0.5,2,IF(CdTrp1!P54=0,1,0)))</f>
        <v>2</v>
      </c>
      <c r="BK39" s="168">
        <f>IF(CdTrp1!Q54=1,3,IF(CdTrp1!Q54=0.5,2,IF(CdTrp1!Q54=0,1,0)))</f>
        <v>2</v>
      </c>
      <c r="BL39" s="168">
        <f>IF(CdTrp1!R54=1,3,IF(CdTrp1!R54=0.5,2,IF(CdTrp1!R54=0,1,0)))</f>
        <v>2</v>
      </c>
      <c r="BM39" s="168">
        <f>IF(CdTrp1!S54=1,3,IF(CdTrp1!S54=0.5,2,IF(CdTrp1!S54=0,1,0)))</f>
        <v>2</v>
      </c>
      <c r="BN39" s="168">
        <f>IF(CdTrp1!T54=1,3,IF(CdTrp1!T54=0.5,2,IF(CdTrp1!T54=0,1,0)))</f>
        <v>2</v>
      </c>
      <c r="BO39" s="168">
        <f>IF(CdTrp1!U54=1,3,IF(CdTrp1!U54=0.5,2,IF(CdTrp1!U54=0,1,0)))</f>
        <v>2</v>
      </c>
      <c r="BP39" s="168">
        <f>IF(CdTrp1!V54=1,3,IF(CdTrp1!V54=0.5,2,IF(CdTrp1!V54=0,1,0)))</f>
        <v>2</v>
      </c>
      <c r="BQ39" s="168">
        <f>IF(CdTrp1!W54=1,3,IF(CdTrp1!W54=0.5,2,IF(CdTrp1!W54=0,1,0)))</f>
        <v>2</v>
      </c>
      <c r="BR39" s="168">
        <f>IF(CdTrp1!X54=1,3,IF(CdTrp1!X54=0.5,2,IF(CdTrp1!X54=0,1,0)))</f>
        <v>2</v>
      </c>
      <c r="BS39" s="168">
        <f>IF(CdTrp1!Y54=1,3,IF(CdTrp1!Y54=0.5,2,IF(CdTrp1!Y54=0,1,0)))</f>
        <v>2</v>
      </c>
      <c r="BU39">
        <v>1</v>
      </c>
      <c r="BV39" t="s">
        <v>788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759</v>
      </c>
      <c r="AT40" s="182" t="str">
        <f>CdTrp1!$A55</f>
        <v>béliers</v>
      </c>
      <c r="AU40" s="32"/>
      <c r="AV40" s="168">
        <f>IF(CdTrp1!B55=1,3,IF(CdTrp1!B55=0.5,2,IF(CdTrp1!B55=0,1,0)))</f>
        <v>3</v>
      </c>
      <c r="AW40" s="168">
        <f>IF(CdTrp1!C55=1,3,IF(CdTrp1!C55=0.5,2,IF(CdTrp1!C55=0,1,0)))</f>
        <v>3</v>
      </c>
      <c r="AX40" s="168">
        <f>IF(CdTrp1!D55=1,3,IF(CdTrp1!D55=0.5,2,IF(CdTrp1!D55=0,1,0)))</f>
        <v>3</v>
      </c>
      <c r="AY40" s="168">
        <f>IF(CdTrp1!E55=1,3,IF(CdTrp1!E55=0.5,2,IF(CdTrp1!E55=0,1,0)))</f>
        <v>3</v>
      </c>
      <c r="AZ40" s="168">
        <f>IF(CdTrp1!F55=1,3,IF(CdTrp1!F55=0.5,2,IF(CdTrp1!F55=0,1,0)))</f>
        <v>3</v>
      </c>
      <c r="BA40" s="168">
        <f>IF(CdTrp1!G55=1,3,IF(CdTrp1!G55=0.5,2,IF(CdTrp1!G55=0,1,0)))</f>
        <v>3</v>
      </c>
      <c r="BB40" s="168">
        <f>IF(CdTrp1!H55=1,3,IF(CdTrp1!H55=0.5,2,IF(CdTrp1!H55=0,1,0)))</f>
        <v>3</v>
      </c>
      <c r="BC40" s="168">
        <f>IF(CdTrp1!I55=1,3,IF(CdTrp1!I55=0.5,2,IF(CdTrp1!I55=0,1,0)))</f>
        <v>3</v>
      </c>
      <c r="BD40" s="168">
        <f>IF(CdTrp1!J55=1,3,IF(CdTrp1!J55=0.5,2,IF(CdTrp1!J55=0,1,0)))</f>
        <v>3</v>
      </c>
      <c r="BE40" s="168">
        <f>IF(CdTrp1!K55=1,3,IF(CdTrp1!K55=0.5,2,IF(CdTrp1!K55=0,1,0)))</f>
        <v>3</v>
      </c>
      <c r="BF40" s="168">
        <f>IF(CdTrp1!L55=1,3,IF(CdTrp1!L55=0.5,2,IF(CdTrp1!L55=0,1,0)))</f>
        <v>3</v>
      </c>
      <c r="BG40" s="168">
        <f>IF(CdTrp1!M55=1,3,IF(CdTrp1!M55=0.5,2,IF(CdTrp1!M55=0,1,0)))</f>
        <v>3</v>
      </c>
      <c r="BH40" s="168">
        <f>IF(CdTrp1!N55=1,3,IF(CdTrp1!N55=0.5,2,IF(CdTrp1!N55=0,1,0)))</f>
        <v>3</v>
      </c>
      <c r="BI40" s="168">
        <f>IF(CdTrp1!O55=1,3,IF(CdTrp1!O55=0.5,2,IF(CdTrp1!O55=0,1,0)))</f>
        <v>3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0</v>
      </c>
      <c r="BQ40" s="168">
        <f>IF(CdTrp1!W55=1,3,IF(CdTrp1!W55=0.5,2,IF(CdTrp1!W55=0,1,0)))</f>
        <v>3</v>
      </c>
      <c r="BR40" s="168">
        <f>IF(CdTrp1!X55=1,3,IF(CdTrp1!X55=0.5,2,IF(CdTrp1!X55=0,1,0)))</f>
        <v>3</v>
      </c>
      <c r="BS40" s="168">
        <f>IF(CdTrp1!Y55=1,3,IF(CdTrp1!Y55=0.5,2,IF(CdTrp1!Y55=0,1,0)))</f>
        <v>3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759</v>
      </c>
      <c r="AT41" s="262">
        <f>CdTrp1!$A56</f>
        <v>0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61" t="s">
        <v>789</v>
      </c>
      <c r="B42" s="2"/>
      <c r="F42" s="33"/>
      <c r="AR42" s="181" t="s">
        <v>759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63" t="s">
        <v>553</v>
      </c>
      <c r="AR43" s="181" t="s">
        <v>759</v>
      </c>
      <c r="AT43" s="262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63" t="s">
        <v>567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759</v>
      </c>
      <c r="AT44" s="262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3" t="s">
        <v>574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759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759</v>
      </c>
      <c r="AT46" s="262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759</v>
      </c>
      <c r="AT47" s="2" t="s">
        <v>790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790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790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791</v>
      </c>
      <c r="AR48" s="181" t="s">
        <v>759</v>
      </c>
      <c r="AT48" s="182" t="str">
        <f>AT37</f>
        <v>laitiéres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1</v>
      </c>
      <c r="AZ48" s="168">
        <f>IF(CdTrp1!F76=1,1,IF(CdTrp1!F76=2,2,IF(CdTrp1!F76=3,2,0)))</f>
        <v>1</v>
      </c>
      <c r="BA48" s="168">
        <f>IF(CdTrp1!G76=1,1,IF(CdTrp1!G76=2,2,IF(CdTrp1!G76=3,2,0)))</f>
        <v>1</v>
      </c>
      <c r="BB48" s="168">
        <f>IF(CdTrp1!H76=1,1,IF(CdTrp1!H76=2,2,IF(CdTrp1!H76=3,2,0)))</f>
        <v>1</v>
      </c>
      <c r="BC48" s="168">
        <f>IF(CdTrp1!I76=1,1,IF(CdTrp1!I76=2,2,IF(CdTrp1!I76=3,2,0)))</f>
        <v>1</v>
      </c>
      <c r="BD48" s="168">
        <f>IF(CdTrp1!J76=1,1,IF(CdTrp1!J76=2,2,IF(CdTrp1!J76=3,2,0)))</f>
        <v>1</v>
      </c>
      <c r="BE48" s="168">
        <f>IF(CdTrp1!K76=1,1,IF(CdTrp1!K76=2,2,IF(CdTrp1!K76=3,2,0)))</f>
        <v>1</v>
      </c>
      <c r="BF48" s="168">
        <f>IF(CdTrp1!L76=1,1,IF(CdTrp1!L76=2,2,IF(CdTrp1!L76=3,2,0)))</f>
        <v>1</v>
      </c>
      <c r="BG48" s="168">
        <f>IF(CdTrp1!M76=1,1,IF(CdTrp1!M76=2,2,IF(CdTrp1!M76=3,2,0)))</f>
        <v>1</v>
      </c>
      <c r="BH48" s="168">
        <f>IF(CdTrp1!N76=1,1,IF(CdTrp1!N76=2,2,IF(CdTrp1!N76=3,2,0)))</f>
        <v>1</v>
      </c>
      <c r="BI48" s="168">
        <f>IF(CdTrp1!O76=1,1,IF(CdTrp1!O76=2,2,IF(CdTrp1!O76=3,2,0)))</f>
        <v>1</v>
      </c>
      <c r="BJ48" s="168">
        <f>IF(CdTrp1!P76=1,1,IF(CdTrp1!P76=2,2,IF(CdTrp1!P76=3,2,0)))</f>
        <v>1</v>
      </c>
      <c r="BK48" s="168">
        <f>IF(CdTrp1!Q76=1,1,IF(CdTrp1!Q76=2,2,IF(CdTrp1!Q76=3,2,0)))</f>
        <v>1</v>
      </c>
      <c r="BL48" s="168">
        <f>IF(CdTrp1!R76=1,1,IF(CdTrp1!R76=2,2,IF(CdTrp1!R76=3,2,0)))</f>
        <v>1</v>
      </c>
      <c r="BM48" s="168">
        <f>IF(CdTrp1!S76=1,1,IF(CdTrp1!S76=2,2,IF(CdTrp1!S76=3,2,0)))</f>
        <v>1</v>
      </c>
      <c r="BN48" s="168">
        <f>IF(CdTrp1!T76=1,1,IF(CdTrp1!T76=2,2,IF(CdTrp1!T76=3,2,0)))</f>
        <v>1</v>
      </c>
      <c r="BO48" s="168">
        <f>IF(CdTrp1!U76=1,1,IF(CdTrp1!U76=2,2,IF(CdTrp1!U76=3,2,0)))</f>
        <v>1</v>
      </c>
      <c r="BP48" s="168">
        <f>IF(CdTrp1!V76=1,1,IF(CdTrp1!V76=2,2,IF(CdTrp1!V76=3,2,0)))</f>
        <v>1</v>
      </c>
      <c r="BQ48" s="168">
        <f>IF(CdTrp1!W76=1,1,IF(CdTrp1!W76=2,2,IF(CdTrp1!W76=3,2,0)))</f>
        <v>1</v>
      </c>
      <c r="BR48" s="168">
        <f>IF(CdTrp1!X76=1,1,IF(CdTrp1!X76=2,2,IF(CdTrp1!X76=3,2,0)))</f>
        <v>1</v>
      </c>
      <c r="BS48" s="168">
        <f>IF(CdTrp1!Y76=1,1,IF(CdTrp1!Y76=2,2,IF(CdTrp1!Y76=3,2,0)))</f>
        <v>0</v>
      </c>
      <c r="BU48">
        <v>1</v>
      </c>
      <c r="BV48" t="s">
        <v>219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792</v>
      </c>
      <c r="B49" s="166" t="s">
        <v>52</v>
      </c>
      <c r="C49" t="s">
        <v>793</v>
      </c>
      <c r="AR49" s="181" t="s">
        <v>759</v>
      </c>
      <c r="AT49" s="182" t="str">
        <f t="shared" ref="AT49:AT57" si="31">AT38</f>
        <v>agnelles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0</v>
      </c>
      <c r="AY49" s="168">
        <f>IF(CdTrp1!E77=1,1,IF(CdTrp1!E77=2,2,IF(CdTrp1!E77=3,2,0)))</f>
        <v>0</v>
      </c>
      <c r="AZ49" s="168">
        <f>IF(CdTrp1!F77=1,1,IF(CdTrp1!F77=2,2,IF(CdTrp1!F77=3,2,0)))</f>
        <v>0</v>
      </c>
      <c r="BA49" s="168">
        <f>IF(CdTrp1!G77=1,1,IF(CdTrp1!G77=2,2,IF(CdTrp1!G77=3,2,0)))</f>
        <v>0</v>
      </c>
      <c r="BB49" s="168">
        <f>IF(CdTrp1!H77=1,1,IF(CdTrp1!H77=2,2,IF(CdTrp1!H77=3,2,0)))</f>
        <v>0</v>
      </c>
      <c r="BC49" s="168">
        <f>IF(CdTrp1!I77=1,1,IF(CdTrp1!I77=2,2,IF(CdTrp1!I77=3,2,0)))</f>
        <v>0</v>
      </c>
      <c r="BD49" s="168">
        <f>IF(CdTrp1!J77=1,1,IF(CdTrp1!J77=2,2,IF(CdTrp1!J77=3,2,0)))</f>
        <v>0</v>
      </c>
      <c r="BE49" s="168">
        <f>IF(CdTrp1!K77=1,1,IF(CdTrp1!K77=2,2,IF(CdTrp1!K77=3,2,0)))</f>
        <v>0</v>
      </c>
      <c r="BF49" s="168">
        <f>IF(CdTrp1!L77=1,1,IF(CdTrp1!L77=2,2,IF(CdTrp1!L77=3,2,0)))</f>
        <v>0</v>
      </c>
      <c r="BG49" s="168">
        <f>IF(CdTrp1!M77=1,1,IF(CdTrp1!M77=2,2,IF(CdTrp1!M77=3,2,0)))</f>
        <v>0</v>
      </c>
      <c r="BH49" s="168">
        <f>IF(CdTrp1!N77=1,1,IF(CdTrp1!N77=2,2,IF(CdTrp1!N77=3,2,0)))</f>
        <v>0</v>
      </c>
      <c r="BI49" s="168">
        <f>IF(CdTrp1!O77=1,1,IF(CdTrp1!O77=2,2,IF(CdTrp1!O77=3,2,0)))</f>
        <v>0</v>
      </c>
      <c r="BJ49" s="168">
        <f>IF(CdTrp1!P77=1,1,IF(CdTrp1!P77=2,2,IF(CdTrp1!P77=3,2,0)))</f>
        <v>0</v>
      </c>
      <c r="BK49" s="168">
        <f>IF(CdTrp1!Q77=1,1,IF(CdTrp1!Q77=2,2,IF(CdTrp1!Q77=3,2,0)))</f>
        <v>0</v>
      </c>
      <c r="BL49" s="168">
        <f>IF(CdTrp1!R77=1,1,IF(CdTrp1!R77=2,2,IF(CdTrp1!R77=3,2,0)))</f>
        <v>0</v>
      </c>
      <c r="BM49" s="168">
        <f>IF(CdTrp1!S77=1,1,IF(CdTrp1!S77=2,2,IF(CdTrp1!S77=3,2,0)))</f>
        <v>0</v>
      </c>
      <c r="BN49" s="168">
        <f>IF(CdTrp1!T77=1,1,IF(CdTrp1!T77=2,2,IF(CdTrp1!T77=3,2,0)))</f>
        <v>0</v>
      </c>
      <c r="BO49" s="168">
        <f>IF(CdTrp1!U77=1,1,IF(CdTrp1!U77=2,2,IF(CdTrp1!U77=3,2,0)))</f>
        <v>0</v>
      </c>
      <c r="BP49" s="168">
        <f>IF(CdTrp1!V77=1,1,IF(CdTrp1!V77=2,2,IF(CdTrp1!V77=3,2,0)))</f>
        <v>0</v>
      </c>
      <c r="BQ49" s="168">
        <f>IF(CdTrp1!W77=1,1,IF(CdTrp1!W77=2,2,IF(CdTrp1!W77=3,2,0)))</f>
        <v>0</v>
      </c>
      <c r="BR49" s="168">
        <f>IF(CdTrp1!X77=1,1,IF(CdTrp1!X77=2,2,IF(CdTrp1!X77=3,2,0)))</f>
        <v>0</v>
      </c>
      <c r="BS49" s="168">
        <f>IF(CdTrp1!Y77=1,1,IF(CdTrp1!Y77=2,2,IF(CdTrp1!Y77=3,2,0)))</f>
        <v>0</v>
      </c>
      <c r="BU49">
        <v>2</v>
      </c>
      <c r="BV49" t="s">
        <v>794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795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759</v>
      </c>
      <c r="AT50" s="182" t="str">
        <f t="shared" si="31"/>
        <v>vides + mammites</v>
      </c>
      <c r="AU50" s="32"/>
      <c r="AV50" s="168">
        <f>IF(CdTrp1!B78=1,1,IF(CdTrp1!B78=2,2,IF(CdTrp1!B78=3,2,0)))</f>
        <v>2</v>
      </c>
      <c r="AW50" s="168">
        <f>IF(CdTrp1!C78=1,1,IF(CdTrp1!C78=2,2,IF(CdTrp1!C78=3,2,0)))</f>
        <v>2</v>
      </c>
      <c r="AX50" s="168">
        <f>IF(CdTrp1!D78=1,1,IF(CdTrp1!D78=2,2,IF(CdTrp1!D78=3,2,0)))</f>
        <v>2</v>
      </c>
      <c r="AY50" s="168">
        <f>IF(CdTrp1!E78=1,1,IF(CdTrp1!E78=2,2,IF(CdTrp1!E78=3,2,0)))</f>
        <v>2</v>
      </c>
      <c r="AZ50" s="168">
        <f>IF(CdTrp1!F78=1,1,IF(CdTrp1!F78=2,2,IF(CdTrp1!F78=3,2,0)))</f>
        <v>2</v>
      </c>
      <c r="BA50" s="168">
        <f>IF(CdTrp1!G78=1,1,IF(CdTrp1!G78=2,2,IF(CdTrp1!G78=3,2,0)))</f>
        <v>2</v>
      </c>
      <c r="BB50" s="168">
        <f>IF(CdTrp1!H78=1,1,IF(CdTrp1!H78=2,2,IF(CdTrp1!H78=3,2,0)))</f>
        <v>2</v>
      </c>
      <c r="BC50" s="168">
        <f>IF(CdTrp1!I78=1,1,IF(CdTrp1!I78=2,2,IF(CdTrp1!I78=3,2,0)))</f>
        <v>2</v>
      </c>
      <c r="BD50" s="168">
        <f>IF(CdTrp1!J78=1,1,IF(CdTrp1!J78=2,2,IF(CdTrp1!J78=3,2,0)))</f>
        <v>2</v>
      </c>
      <c r="BE50" s="168">
        <f>IF(CdTrp1!K78=1,1,IF(CdTrp1!K78=2,2,IF(CdTrp1!K78=3,2,0)))</f>
        <v>2</v>
      </c>
      <c r="BF50" s="168">
        <f>IF(CdTrp1!L78=1,1,IF(CdTrp1!L78=2,2,IF(CdTrp1!L78=3,2,0)))</f>
        <v>2</v>
      </c>
      <c r="BG50" s="168">
        <f>IF(CdTrp1!M78=1,1,IF(CdTrp1!M78=2,2,IF(CdTrp1!M78=3,2,0)))</f>
        <v>2</v>
      </c>
      <c r="BH50" s="168">
        <f>IF(CdTrp1!N78=1,1,IF(CdTrp1!N78=2,2,IF(CdTrp1!N78=3,2,0)))</f>
        <v>2</v>
      </c>
      <c r="BI50" s="168">
        <f>IF(CdTrp1!O78=1,1,IF(CdTrp1!O78=2,2,IF(CdTrp1!O78=3,2,0)))</f>
        <v>2</v>
      </c>
      <c r="BJ50" s="168">
        <f>IF(CdTrp1!P78=1,1,IF(CdTrp1!P78=2,2,IF(CdTrp1!P78=3,2,0)))</f>
        <v>2</v>
      </c>
      <c r="BK50" s="168">
        <f>IF(CdTrp1!Q78=1,1,IF(CdTrp1!Q78=2,2,IF(CdTrp1!Q78=3,2,0)))</f>
        <v>2</v>
      </c>
      <c r="BL50" s="168">
        <f>IF(CdTrp1!R78=1,1,IF(CdTrp1!R78=2,2,IF(CdTrp1!R78=3,2,0)))</f>
        <v>2</v>
      </c>
      <c r="BM50" s="168">
        <f>IF(CdTrp1!S78=1,1,IF(CdTrp1!S78=2,2,IF(CdTrp1!S78=3,2,0)))</f>
        <v>2</v>
      </c>
      <c r="BN50" s="168">
        <f>IF(CdTrp1!T78=1,1,IF(CdTrp1!T78=2,2,IF(CdTrp1!T78=3,2,0)))</f>
        <v>2</v>
      </c>
      <c r="BO50" s="168">
        <f>IF(CdTrp1!U78=1,1,IF(CdTrp1!U78=2,2,IF(CdTrp1!U78=3,2,0)))</f>
        <v>2</v>
      </c>
      <c r="BP50" s="168">
        <f>IF(CdTrp1!V78=1,1,IF(CdTrp1!V78=2,2,IF(CdTrp1!V78=3,2,0)))</f>
        <v>2</v>
      </c>
      <c r="BQ50" s="168">
        <f>IF(CdTrp1!W78=1,1,IF(CdTrp1!W78=2,2,IF(CdTrp1!W78=3,2,0)))</f>
        <v>2</v>
      </c>
      <c r="BR50" s="168">
        <f>IF(CdTrp1!X78=1,1,IF(CdTrp1!X78=2,2,IF(CdTrp1!X78=3,2,0)))</f>
        <v>2</v>
      </c>
      <c r="BS50" s="168">
        <f>IF(CdTrp1!Y78=1,1,IF(CdTrp1!Y78=2,2,IF(CdTrp1!Y78=3,2,0)))</f>
        <v>2</v>
      </c>
      <c r="BU50" s="189">
        <v>4</v>
      </c>
      <c r="BV50" t="s">
        <v>796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797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759</v>
      </c>
      <c r="AT51" s="182" t="str">
        <f t="shared" si="31"/>
        <v>béliers</v>
      </c>
      <c r="AU51" s="32"/>
      <c r="AV51" s="168">
        <f>IF(CdTrp1!B79=1,1,IF(CdTrp1!B79=2,2,IF(CdTrp1!B79=3,2,0)))</f>
        <v>0</v>
      </c>
      <c r="AW51" s="168">
        <f>IF(CdTrp1!C79=1,1,IF(CdTrp1!C79=2,2,IF(CdTrp1!C79=3,2,0)))</f>
        <v>0</v>
      </c>
      <c r="AX51" s="168">
        <f>IF(CdTrp1!D79=1,1,IF(CdTrp1!D79=2,2,IF(CdTrp1!D79=3,2,0)))</f>
        <v>0</v>
      </c>
      <c r="AY51" s="168">
        <f>IF(CdTrp1!E79=1,1,IF(CdTrp1!E79=2,2,IF(CdTrp1!E79=3,2,0)))</f>
        <v>0</v>
      </c>
      <c r="AZ51" s="168">
        <f>IF(CdTrp1!F79=1,1,IF(CdTrp1!F79=2,2,IF(CdTrp1!F79=3,2,0)))</f>
        <v>0</v>
      </c>
      <c r="BA51" s="168">
        <f>IF(CdTrp1!G79=1,1,IF(CdTrp1!G79=2,2,IF(CdTrp1!G79=3,2,0)))</f>
        <v>0</v>
      </c>
      <c r="BB51" s="168">
        <f>IF(CdTrp1!H79=1,1,IF(CdTrp1!H79=2,2,IF(CdTrp1!H79=3,2,0)))</f>
        <v>0</v>
      </c>
      <c r="BC51" s="168">
        <f>IF(CdTrp1!I79=1,1,IF(CdTrp1!I79=2,2,IF(CdTrp1!I79=3,2,0)))</f>
        <v>0</v>
      </c>
      <c r="BD51" s="168">
        <f>IF(CdTrp1!J79=1,1,IF(CdTrp1!J79=2,2,IF(CdTrp1!J79=3,2,0)))</f>
        <v>0</v>
      </c>
      <c r="BE51" s="168">
        <f>IF(CdTrp1!K79=1,1,IF(CdTrp1!K79=2,2,IF(CdTrp1!K79=3,2,0)))</f>
        <v>0</v>
      </c>
      <c r="BF51" s="168">
        <f>IF(CdTrp1!L79=1,1,IF(CdTrp1!L79=2,2,IF(CdTrp1!L79=3,2,0)))</f>
        <v>0</v>
      </c>
      <c r="BG51" s="168">
        <f>IF(CdTrp1!M79=1,1,IF(CdTrp1!M79=2,2,IF(CdTrp1!M79=3,2,0)))</f>
        <v>0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0</v>
      </c>
      <c r="BS51" s="168">
        <f>IF(CdTrp1!Y79=1,1,IF(CdTrp1!Y79=2,2,IF(CdTrp1!Y79=3,2,0)))</f>
        <v>0</v>
      </c>
      <c r="BU51">
        <v>0</v>
      </c>
      <c r="BV51" t="s">
        <v>798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799</v>
      </c>
      <c r="B52" s="168">
        <f>Scénario!K40/[1]Trav!$B$124</f>
        <v>0.32500000000000001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0</v>
      </c>
      <c r="AR52" s="181" t="s">
        <v>759</v>
      </c>
      <c r="AT52" s="182">
        <f t="shared" si="31"/>
        <v>0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800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759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801</v>
      </c>
      <c r="B54" s="168">
        <f>SUM(Scénario!K40:K42)</f>
        <v>18.399999999999999</v>
      </c>
      <c r="C54" s="183">
        <f>IF(B54&gt;[1]Trav!E119,[1]Trav!C119,[1]Trav!B119)</f>
        <v>1.4</v>
      </c>
      <c r="D54"/>
      <c r="E54" s="167"/>
      <c r="F54" s="168">
        <f t="shared" si="32"/>
        <v>26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759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802</v>
      </c>
      <c r="B55" s="168">
        <f>Scénario!M28*(1-Scénario!K31/100)</f>
        <v>11.610000000000001</v>
      </c>
      <c r="C55" s="183">
        <f>IF(B55&gt;[1]Trav!E121,[1]Trav!C121,[1]Trav!B121)</f>
        <v>7.2</v>
      </c>
      <c r="D55"/>
      <c r="E55" s="167"/>
      <c r="F55" s="168">
        <f t="shared" si="32"/>
        <v>84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759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803</v>
      </c>
      <c r="B56" s="168">
        <f>Scénario!M29</f>
        <v>10.400000000000002</v>
      </c>
      <c r="C56" s="183">
        <f>IF(B56&gt;[1]Trav!E121,[1]Trav!C121,[1]Trav!B121)</f>
        <v>7.2</v>
      </c>
      <c r="D56"/>
      <c r="E56" s="167"/>
      <c r="F56" s="168">
        <f t="shared" si="32"/>
        <v>75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759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804</v>
      </c>
      <c r="B57" s="168">
        <f>Scénario!M30</f>
        <v>0</v>
      </c>
      <c r="C57" s="183">
        <f>IF(B57&gt;[1]Trav!E121,[1]Trav!C121,[1]Trav!B121)</f>
        <v>7.2</v>
      </c>
      <c r="D57"/>
      <c r="E57" s="167"/>
      <c r="F57" s="168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0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759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805</v>
      </c>
      <c r="B58" s="172">
        <f>Scénario!M28-Travail!B55</f>
        <v>1.2899999999999991</v>
      </c>
      <c r="C58" s="183">
        <f>IF(B58&gt;[1]Trav!E122,[1]Trav!C122,[1]Trav!B122)</f>
        <v>4.4000000000000004</v>
      </c>
      <c r="E58" s="167"/>
      <c r="F58" s="168">
        <f t="shared" si="32"/>
        <v>6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759</v>
      </c>
      <c r="AT58" s="40" t="s">
        <v>806</v>
      </c>
      <c r="AU58" s="14"/>
      <c r="BZ58" s="40" t="s">
        <v>806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806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807</v>
      </c>
      <c r="B59" s="172">
        <f>Scénario!K32</f>
        <v>10</v>
      </c>
      <c r="C59" s="183">
        <f>[1]Trav!$B$123</f>
        <v>7.2</v>
      </c>
      <c r="E59" s="167"/>
      <c r="F59" s="168">
        <f t="shared" si="32"/>
        <v>72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759</v>
      </c>
      <c r="AT59" s="14" t="s">
        <v>808</v>
      </c>
      <c r="AU59" s="30">
        <f>VALUE(CONCATENATE(Scénario!K8,Travail!AU2))</f>
        <v>11</v>
      </c>
      <c r="BZ59" s="14" t="s">
        <v>808</v>
      </c>
      <c r="CA59" s="30">
        <f>VALUE(CONCATENATE(Scénario!K8,Travail!CA2))</f>
        <v>10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808</v>
      </c>
      <c r="DD59" s="30">
        <f>VALUE(CONCATENATE(Scénario!K8,Travail!DD2))</f>
        <v>10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809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759</v>
      </c>
      <c r="AT60" s="182" t="str">
        <f>+AT48</f>
        <v>laitiéres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221</v>
      </c>
      <c r="AZ60" s="168">
        <f>IF(AZ15=0,0,IF(AZ37=3,0,VALUE(CONCATENATE(Travail!AZ26,Travail!AZ37,Travail!AZ48))))</f>
        <v>221</v>
      </c>
      <c r="BA60" s="168">
        <f>IF(BA15=0,0,IF(BA37=3,0,VALUE(CONCATENATE(Travail!BA26,Travail!BA37,Travail!BA48))))</f>
        <v>221</v>
      </c>
      <c r="BB60" s="168">
        <f>IF(BB15=0,0,IF(BB37=3,0,VALUE(CONCATENATE(Travail!BB26,Travail!BB37,Travail!BB48))))</f>
        <v>221</v>
      </c>
      <c r="BC60" s="168">
        <f>IF(BC15=0,0,IF(BC37=3,0,VALUE(CONCATENATE(Travail!BC26,Travail!BC37,Travail!BC48))))</f>
        <v>221</v>
      </c>
      <c r="BD60" s="168">
        <f>IF(BD15=0,0,IF(BD37=3,0,VALUE(CONCATENATE(Travail!BD26,Travail!BD37,Travail!BD48))))</f>
        <v>221</v>
      </c>
      <c r="BE60" s="168">
        <f>IF(BE15=0,0,IF(BE37=3,0,VALUE(CONCATENATE(Travail!BE26,Travail!BE37,Travail!BE48))))</f>
        <v>221</v>
      </c>
      <c r="BF60" s="168">
        <f>IF(BF15=0,0,IF(BF37=3,0,VALUE(CONCATENATE(Travail!BF26,Travail!BF37,Travail!BF48))))</f>
        <v>221</v>
      </c>
      <c r="BG60" s="168">
        <f>IF(BG15=0,0,IF(BG37=3,0,VALUE(CONCATENATE(Travail!BG26,Travail!BG37,Travail!BG48))))</f>
        <v>221</v>
      </c>
      <c r="BH60" s="168">
        <f>IF(BH15=0,0,IF(BH37=3,0,VALUE(CONCATENATE(Travail!BH26,Travail!BH37,Travail!BH48))))</f>
        <v>221</v>
      </c>
      <c r="BI60" s="168">
        <f>IF(BI15=0,0,IF(BI37=3,0,VALUE(CONCATENATE(Travail!BI26,Travail!BI37,Travail!BI48))))</f>
        <v>221</v>
      </c>
      <c r="BJ60" s="168">
        <f>IF(BJ15=0,0,IF(BJ37=3,0,VALUE(CONCATENATE(Travail!BJ26,Travail!BJ37,Travail!BJ48))))</f>
        <v>221</v>
      </c>
      <c r="BK60" s="168">
        <f>IF(BK15=0,0,IF(BK37=3,0,VALUE(CONCATENATE(Travail!BK26,Travail!BK37,Travail!BK48))))</f>
        <v>221</v>
      </c>
      <c r="BL60" s="168">
        <f>IF(BL15=0,0,IF(BL37=3,0,VALUE(CONCATENATE(Travail!BL26,Travail!BL37,Travail!BL48))))</f>
        <v>221</v>
      </c>
      <c r="BM60" s="168">
        <f>IF(BM15=0,0,IF(BM37=3,0,VALUE(CONCATENATE(Travail!BM26,Travail!BM37,Travail!BM48))))</f>
        <v>221</v>
      </c>
      <c r="BN60" s="168">
        <f>IF(BN15=0,0,IF(BN37=3,0,VALUE(CONCATENATE(Travail!BN26,Travail!BN37,Travail!BN48))))</f>
        <v>221</v>
      </c>
      <c r="BO60" s="168">
        <f>IF(BO15=0,0,IF(BO37=3,0,VALUE(CONCATENATE(Travail!BO26,Travail!BO37,Travail!BO48))))</f>
        <v>221</v>
      </c>
      <c r="BP60" s="168">
        <f>IF(BP15=0,0,IF(BP37=3,0,VALUE(CONCATENATE(Travail!BP26,Travail!BP37,Travail!BP48))))</f>
        <v>221</v>
      </c>
      <c r="BQ60" s="168">
        <f>IF(BQ15=0,0,IF(BQ37=3,0,VALUE(CONCATENATE(Travail!BQ26,Travail!BQ37,Travail!BQ48))))</f>
        <v>221</v>
      </c>
      <c r="BR60" s="168">
        <f>IF(BR15=0,0,IF(BR37=3,0,VALUE(CONCATENATE(Travail!BR26,Travail!BR37,Travail!BR48))))</f>
        <v>221</v>
      </c>
      <c r="BS60" s="168">
        <f>IF(BS15=0,0,IF(BS37=3,0,VALUE(CONCATENATE(Travail!BS26,Travail!BS37,Travail!BS48))))</f>
        <v>0</v>
      </c>
      <c r="BU60">
        <v>1</v>
      </c>
      <c r="BV60" t="s">
        <v>810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811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759</v>
      </c>
      <c r="AT61" s="182" t="str">
        <f>+AT49</f>
        <v>agnelles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0</v>
      </c>
      <c r="AY61" s="168">
        <f>IF(AY16=0,0,IF(AY38=3,0,VALUE(CONCATENATE(Travail!AY27,Travail!AY38,Travail!AY49))))</f>
        <v>0</v>
      </c>
      <c r="AZ61" s="168">
        <f>IF(AZ16=0,0,IF(AZ38=3,0,VALUE(CONCATENATE(Travail!AZ27,Travail!AZ38,Travail!AZ49))))</f>
        <v>0</v>
      </c>
      <c r="BA61" s="168">
        <f>IF(BA16=0,0,IF(BA38=3,0,VALUE(CONCATENATE(Travail!BA27,Travail!BA38,Travail!BA49))))</f>
        <v>0</v>
      </c>
      <c r="BB61" s="168">
        <f>IF(BB16=0,0,IF(BB38=3,0,VALUE(CONCATENATE(Travail!BB27,Travail!BB38,Travail!BB49))))</f>
        <v>0</v>
      </c>
      <c r="BC61" s="168">
        <f>IF(BC16=0,0,IF(BC38=3,0,VALUE(CONCATENATE(Travail!BC27,Travail!BC38,Travail!BC49))))</f>
        <v>0</v>
      </c>
      <c r="BD61" s="168">
        <f>IF(BD16=0,0,IF(BD38=3,0,VALUE(CONCATENATE(Travail!BD27,Travail!BD38,Travail!BD49))))</f>
        <v>0</v>
      </c>
      <c r="BE61" s="168">
        <f>IF(BE16=0,0,IF(BE38=3,0,VALUE(CONCATENATE(Travail!BE27,Travail!BE38,Travail!BE49))))</f>
        <v>0</v>
      </c>
      <c r="BF61" s="168">
        <f>IF(BF16=0,0,IF(BF38=3,0,VALUE(CONCATENATE(Travail!BF27,Travail!BF38,Travail!BF49))))</f>
        <v>0</v>
      </c>
      <c r="BG61" s="168">
        <f>IF(BG16=0,0,IF(BG38=3,0,VALUE(CONCATENATE(Travail!BG27,Travail!BG38,Travail!BG49))))</f>
        <v>0</v>
      </c>
      <c r="BH61" s="168">
        <f>IF(BH16=0,0,IF(BH38=3,0,VALUE(CONCATENATE(Travail!BH27,Travail!BH38,Travail!BH49))))</f>
        <v>0</v>
      </c>
      <c r="BI61" s="168">
        <f>IF(BI16=0,0,IF(BI38=3,0,VALUE(CONCATENATE(Travail!BI27,Travail!BI38,Travail!BI49))))</f>
        <v>0</v>
      </c>
      <c r="BJ61" s="168">
        <f>IF(BJ16=0,0,IF(BJ38=3,0,VALUE(CONCATENATE(Travail!BJ27,Travail!BJ38,Travail!BJ49))))</f>
        <v>0</v>
      </c>
      <c r="BK61" s="168">
        <f>IF(BK16=0,0,IF(BK38=3,0,VALUE(CONCATENATE(Travail!BK27,Travail!BK38,Travail!BK49))))</f>
        <v>0</v>
      </c>
      <c r="BL61" s="168">
        <f>IF(BL16=0,0,IF(BL38=3,0,VALUE(CONCATENATE(Travail!BL27,Travail!BL38,Travail!BL49))))</f>
        <v>0</v>
      </c>
      <c r="BM61" s="168">
        <f>IF(BM16=0,0,IF(BM38=3,0,VALUE(CONCATENATE(Travail!BM27,Travail!BM38,Travail!BM49))))</f>
        <v>0</v>
      </c>
      <c r="BN61" s="168">
        <f>IF(BN16=0,0,IF(BN38=3,0,VALUE(CONCATENATE(Travail!BN27,Travail!BN38,Travail!BN49))))</f>
        <v>0</v>
      </c>
      <c r="BO61" s="168">
        <f>IF(BO16=0,0,IF(BO38=3,0,VALUE(CONCATENATE(Travail!BO27,Travail!BO38,Travail!BO49))))</f>
        <v>0</v>
      </c>
      <c r="BP61" s="168">
        <f>IF(BP16=0,0,IF(BP38=3,0,VALUE(CONCATENATE(Travail!BP27,Travail!BP38,Travail!BP49))))</f>
        <v>0</v>
      </c>
      <c r="BQ61" s="168">
        <f>IF(BQ16=0,0,IF(BQ38=3,0,VALUE(CONCATENATE(Travail!BQ27,Travail!BQ38,Travail!BQ49))))</f>
        <v>0</v>
      </c>
      <c r="BR61" s="168">
        <f>IF(BR16=0,0,IF(BR38=3,0,VALUE(CONCATENATE(Travail!BR27,Travail!BR38,Travail!BR49))))</f>
        <v>0</v>
      </c>
      <c r="BS61" s="168">
        <f>IF(BS16=0,0,IF(BS38=3,0,VALUE(CONCATENATE(Travail!BS27,Travail!BS38,Travail!BS49))))</f>
        <v>0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812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759</v>
      </c>
      <c r="AS62" s="17"/>
      <c r="AT62" s="182" t="str">
        <f>+AT50</f>
        <v>vides + mammites</v>
      </c>
      <c r="AV62" s="168">
        <f>IF(AV17=0,0,IF(AV39=3,0,VALUE(CONCATENATE(Travail!AV28,Travail!AV39,Travail!AV50))))</f>
        <v>222</v>
      </c>
      <c r="AW62" s="168">
        <f>IF(AW17=0,0,IF(AW39=3,0,VALUE(CONCATENATE(Travail!AW28,Travail!AW39,Travail!AW50))))</f>
        <v>222</v>
      </c>
      <c r="AX62" s="168">
        <f>IF(AX17=0,0,IF(AX39=3,0,VALUE(CONCATENATE(Travail!AX28,Travail!AX39,Travail!AX50))))</f>
        <v>222</v>
      </c>
      <c r="AY62" s="168">
        <f>IF(AY17=0,0,IF(AY39=3,0,VALUE(CONCATENATE(Travail!AY28,Travail!AY39,Travail!AY50))))</f>
        <v>222</v>
      </c>
      <c r="AZ62" s="168">
        <f>IF(AZ17=0,0,IF(AZ39=3,0,VALUE(CONCATENATE(Travail!AZ28,Travail!AZ39,Travail!AZ50))))</f>
        <v>222</v>
      </c>
      <c r="BA62" s="168">
        <f>IF(BA17=0,0,IF(BA39=3,0,VALUE(CONCATENATE(Travail!BA28,Travail!BA39,Travail!BA50))))</f>
        <v>222</v>
      </c>
      <c r="BB62" s="168">
        <f>IF(BB17=0,0,IF(BB39=3,0,VALUE(CONCATENATE(Travail!BB28,Travail!BB39,Travail!BB50))))</f>
        <v>222</v>
      </c>
      <c r="BC62" s="168">
        <f>IF(BC17=0,0,IF(BC39=3,0,VALUE(CONCATENATE(Travail!BC28,Travail!BC39,Travail!BC50))))</f>
        <v>222</v>
      </c>
      <c r="BD62" s="168">
        <f>IF(BD17=0,0,IF(BD39=3,0,VALUE(CONCATENATE(Travail!BD28,Travail!BD39,Travail!BD50))))</f>
        <v>222</v>
      </c>
      <c r="BE62" s="168">
        <f>IF(BE17=0,0,IF(BE39=3,0,VALUE(CONCATENATE(Travail!BE28,Travail!BE39,Travail!BE50))))</f>
        <v>222</v>
      </c>
      <c r="BF62" s="168">
        <f>IF(BF17=0,0,IF(BF39=3,0,VALUE(CONCATENATE(Travail!BF28,Travail!BF39,Travail!BF50))))</f>
        <v>222</v>
      </c>
      <c r="BG62" s="168">
        <f>IF(BG17=0,0,IF(BG39=3,0,VALUE(CONCATENATE(Travail!BG28,Travail!BG39,Travail!BG50))))</f>
        <v>222</v>
      </c>
      <c r="BH62" s="168">
        <f>IF(BH17=0,0,IF(BH39=3,0,VALUE(CONCATENATE(Travail!BH28,Travail!BH39,Travail!BH50))))</f>
        <v>222</v>
      </c>
      <c r="BI62" s="168">
        <f>IF(BI17=0,0,IF(BI39=3,0,VALUE(CONCATENATE(Travail!BI28,Travail!BI39,Travail!BI50))))</f>
        <v>222</v>
      </c>
      <c r="BJ62" s="168">
        <f>IF(BJ17=0,0,IF(BJ39=3,0,VALUE(CONCATENATE(Travail!BJ28,Travail!BJ39,Travail!BJ50))))</f>
        <v>0</v>
      </c>
      <c r="BK62" s="168">
        <f>IF(BK17=0,0,IF(BK39=3,0,VALUE(CONCATENATE(Travail!BK28,Travail!BK39,Travail!BK50))))</f>
        <v>0</v>
      </c>
      <c r="BL62" s="168">
        <f>IF(BL17=0,0,IF(BL39=3,0,VALUE(CONCATENATE(Travail!BL28,Travail!BL39,Travail!BL50))))</f>
        <v>0</v>
      </c>
      <c r="BM62" s="168">
        <f>IF(BM17=0,0,IF(BM39=3,0,VALUE(CONCATENATE(Travail!BM28,Travail!BM39,Travail!BM50))))</f>
        <v>0</v>
      </c>
      <c r="BN62" s="168">
        <f>IF(BN17=0,0,IF(BN39=3,0,VALUE(CONCATENATE(Travail!BN28,Travail!BN39,Travail!BN50))))</f>
        <v>0</v>
      </c>
      <c r="BO62" s="168">
        <f>IF(BO17=0,0,IF(BO39=3,0,VALUE(CONCATENATE(Travail!BO28,Travail!BO39,Travail!BO50))))</f>
        <v>0</v>
      </c>
      <c r="BP62" s="168">
        <f>IF(BP17=0,0,IF(BP39=3,0,VALUE(CONCATENATE(Travail!BP28,Travail!BP39,Travail!BP50))))</f>
        <v>0</v>
      </c>
      <c r="BQ62" s="168">
        <f>IF(BQ17=0,0,IF(BQ39=3,0,VALUE(CONCATENATE(Travail!BQ28,Travail!BQ39,Travail!BQ50))))</f>
        <v>0</v>
      </c>
      <c r="BR62" s="168">
        <f>IF(BR17=0,0,IF(BR39=3,0,VALUE(CONCATENATE(Travail!BR28,Travail!BR39,Travail!BR50))))</f>
        <v>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813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759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0</v>
      </c>
      <c r="AW63" s="168">
        <f>IF(AW18=0,0,IF(AW40=3,0,VALUE(CONCATENATE(Travail!AW29,Travail!AW40,Travail!AW51))))</f>
        <v>0</v>
      </c>
      <c r="AX63" s="168">
        <f>IF(AX18=0,0,IF(AX40=3,0,VALUE(CONCATENATE(Travail!AX29,Travail!AX40,Travail!AX51))))</f>
        <v>0</v>
      </c>
      <c r="AY63" s="168">
        <f>IF(AY18=0,0,IF(AY40=3,0,VALUE(CONCATENATE(Travail!AY29,Travail!AY40,Travail!AY51))))</f>
        <v>0</v>
      </c>
      <c r="AZ63" s="168">
        <f>IF(AZ18=0,0,IF(AZ40=3,0,VALUE(CONCATENATE(Travail!AZ29,Travail!AZ40,Travail!AZ51))))</f>
        <v>0</v>
      </c>
      <c r="BA63" s="168">
        <f>IF(BA18=0,0,IF(BA40=3,0,VALUE(CONCATENATE(Travail!BA29,Travail!BA40,Travail!BA51))))</f>
        <v>0</v>
      </c>
      <c r="BB63" s="168">
        <f>IF(BB18=0,0,IF(BB40=3,0,VALUE(CONCATENATE(Travail!BB29,Travail!BB40,Travail!BB51))))</f>
        <v>0</v>
      </c>
      <c r="BC63" s="168">
        <f>IF(BC18=0,0,IF(BC40=3,0,VALUE(CONCATENATE(Travail!BC29,Travail!BC40,Travail!BC51))))</f>
        <v>0</v>
      </c>
      <c r="BD63" s="168">
        <f>IF(BD18=0,0,IF(BD40=3,0,VALUE(CONCATENATE(Travail!BD29,Travail!BD40,Travail!BD51))))</f>
        <v>0</v>
      </c>
      <c r="BE63" s="168">
        <f>IF(BE18=0,0,IF(BE40=3,0,VALUE(CONCATENATE(Travail!BE29,Travail!BE40,Travail!BE51))))</f>
        <v>0</v>
      </c>
      <c r="BF63" s="168">
        <f>IF(BF18=0,0,IF(BF40=3,0,VALUE(CONCATENATE(Travail!BF29,Travail!BF40,Travail!BF51))))</f>
        <v>0</v>
      </c>
      <c r="BG63" s="168">
        <f>IF(BG18=0,0,IF(BG40=3,0,VALUE(CONCATENATE(Travail!BG29,Travail!BG40,Travail!BG51))))</f>
        <v>0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0</v>
      </c>
      <c r="BR63" s="168">
        <f>IF(BR18=0,0,IF(BR40=3,0,VALUE(CONCATENATE(Travail!BR29,Travail!BR40,Travail!BR51))))</f>
        <v>0</v>
      </c>
      <c r="BS63" s="168">
        <f>IF(BS18=0,0,IF(BS40=3,0,VALUE(CONCATENATE(Travail!BS29,Travail!BS40,Travail!BS51))))</f>
        <v>0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814</v>
      </c>
      <c r="B64" s="23"/>
      <c r="C64" s="23"/>
      <c r="D64" s="23"/>
      <c r="E64" s="23"/>
      <c r="F64" s="168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>
        <f t="shared" si="35"/>
        <v>0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815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759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759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816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759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817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759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818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759</v>
      </c>
      <c r="AT70" s="40" t="s">
        <v>819</v>
      </c>
      <c r="BZ70" s="40" t="s">
        <v>819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819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820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759</v>
      </c>
      <c r="AT71" s="182" t="str">
        <f>AT60</f>
        <v>laitiéres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22</v>
      </c>
      <c r="AZ71" s="168">
        <f t="shared" si="36"/>
        <v>22</v>
      </c>
      <c r="BA71" s="168">
        <f t="shared" si="36"/>
        <v>22</v>
      </c>
      <c r="BB71" s="168">
        <f t="shared" si="36"/>
        <v>22</v>
      </c>
      <c r="BC71" s="168">
        <f t="shared" si="36"/>
        <v>22</v>
      </c>
      <c r="BD71" s="168">
        <f t="shared" si="36"/>
        <v>22</v>
      </c>
      <c r="BE71" s="168">
        <f t="shared" si="36"/>
        <v>22</v>
      </c>
      <c r="BF71" s="168">
        <f t="shared" si="36"/>
        <v>22</v>
      </c>
      <c r="BG71" s="168">
        <f t="shared" si="36"/>
        <v>22</v>
      </c>
      <c r="BH71" s="168">
        <f t="shared" si="36"/>
        <v>22</v>
      </c>
      <c r="BI71" s="168">
        <f t="shared" si="36"/>
        <v>22</v>
      </c>
      <c r="BJ71" s="168">
        <f t="shared" si="36"/>
        <v>22</v>
      </c>
      <c r="BK71" s="168">
        <f t="shared" si="36"/>
        <v>22</v>
      </c>
      <c r="BL71" s="168">
        <f t="shared" si="36"/>
        <v>22</v>
      </c>
      <c r="BM71" s="168">
        <f t="shared" si="36"/>
        <v>22</v>
      </c>
      <c r="BN71" s="168">
        <f t="shared" si="36"/>
        <v>22</v>
      </c>
      <c r="BO71" s="168">
        <f t="shared" si="36"/>
        <v>22</v>
      </c>
      <c r="BP71" s="168">
        <f t="shared" si="36"/>
        <v>22</v>
      </c>
      <c r="BQ71" s="168">
        <f t="shared" si="36"/>
        <v>22</v>
      </c>
      <c r="BR71" s="168">
        <f t="shared" si="36"/>
        <v>22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821</v>
      </c>
      <c r="B72" s="5"/>
      <c r="C72" s="5"/>
      <c r="F72" s="168">
        <f t="shared" ref="F72:F73" si="39">ROUND(SUM(G72:AD72),0)</f>
        <v>220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759</v>
      </c>
      <c r="AT72" s="182" t="str">
        <f t="shared" ref="AT72:AT80" si="40">AT61</f>
        <v>agnelles</v>
      </c>
      <c r="AV72" s="168">
        <f t="shared" si="36"/>
        <v>23</v>
      </c>
      <c r="AW72" s="168">
        <f t="shared" si="36"/>
        <v>23</v>
      </c>
      <c r="AX72" s="168">
        <f t="shared" si="36"/>
        <v>23</v>
      </c>
      <c r="AY72" s="168">
        <f t="shared" si="36"/>
        <v>23</v>
      </c>
      <c r="AZ72" s="168">
        <f t="shared" si="36"/>
        <v>23</v>
      </c>
      <c r="BA72" s="168">
        <f t="shared" si="36"/>
        <v>23</v>
      </c>
      <c r="BB72" s="168">
        <f t="shared" si="36"/>
        <v>23</v>
      </c>
      <c r="BC72" s="168">
        <f t="shared" si="36"/>
        <v>23</v>
      </c>
      <c r="BD72" s="168">
        <f t="shared" si="36"/>
        <v>23</v>
      </c>
      <c r="BE72" s="168">
        <f t="shared" si="36"/>
        <v>23</v>
      </c>
      <c r="BF72" s="168">
        <f t="shared" si="36"/>
        <v>23</v>
      </c>
      <c r="BG72" s="168">
        <f t="shared" si="36"/>
        <v>23</v>
      </c>
      <c r="BH72" s="168">
        <f t="shared" si="36"/>
        <v>23</v>
      </c>
      <c r="BI72" s="168">
        <f t="shared" si="36"/>
        <v>23</v>
      </c>
      <c r="BJ72" s="168">
        <f t="shared" si="36"/>
        <v>23</v>
      </c>
      <c r="BK72" s="168">
        <f t="shared" si="36"/>
        <v>23</v>
      </c>
      <c r="BL72" s="168">
        <f t="shared" si="36"/>
        <v>23</v>
      </c>
      <c r="BM72" s="168">
        <f t="shared" si="36"/>
        <v>23</v>
      </c>
      <c r="BN72" s="168">
        <f t="shared" si="36"/>
        <v>23</v>
      </c>
      <c r="BO72" s="168">
        <f t="shared" si="36"/>
        <v>23</v>
      </c>
      <c r="BP72" s="168">
        <f t="shared" si="36"/>
        <v>23</v>
      </c>
      <c r="BQ72" s="168">
        <f t="shared" si="36"/>
        <v>23</v>
      </c>
      <c r="BR72" s="168">
        <f t="shared" si="36"/>
        <v>23</v>
      </c>
      <c r="BS72" s="168">
        <f t="shared" si="36"/>
        <v>23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822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759</v>
      </c>
      <c r="AT73" s="182" t="str">
        <f t="shared" si="40"/>
        <v>vides + mammites</v>
      </c>
      <c r="AV73" s="168">
        <f t="shared" si="36"/>
        <v>22</v>
      </c>
      <c r="AW73" s="168">
        <f t="shared" si="36"/>
        <v>22</v>
      </c>
      <c r="AX73" s="168">
        <f t="shared" si="36"/>
        <v>22</v>
      </c>
      <c r="AY73" s="168">
        <f t="shared" si="36"/>
        <v>22</v>
      </c>
      <c r="AZ73" s="168">
        <f t="shared" si="36"/>
        <v>22</v>
      </c>
      <c r="BA73" s="168">
        <f t="shared" si="36"/>
        <v>22</v>
      </c>
      <c r="BB73" s="168">
        <f t="shared" si="36"/>
        <v>22</v>
      </c>
      <c r="BC73" s="168">
        <f t="shared" si="36"/>
        <v>22</v>
      </c>
      <c r="BD73" s="168">
        <f t="shared" si="36"/>
        <v>22</v>
      </c>
      <c r="BE73" s="168">
        <f t="shared" si="36"/>
        <v>22</v>
      </c>
      <c r="BF73" s="168">
        <f t="shared" si="36"/>
        <v>22</v>
      </c>
      <c r="BG73" s="168">
        <f t="shared" si="36"/>
        <v>22</v>
      </c>
      <c r="BH73" s="168">
        <f t="shared" si="36"/>
        <v>22</v>
      </c>
      <c r="BI73" s="168">
        <f t="shared" si="36"/>
        <v>22</v>
      </c>
      <c r="BJ73" s="168">
        <f t="shared" si="36"/>
        <v>0</v>
      </c>
      <c r="BK73" s="168">
        <f t="shared" si="36"/>
        <v>0</v>
      </c>
      <c r="BL73" s="168">
        <f t="shared" si="36"/>
        <v>0</v>
      </c>
      <c r="BM73" s="168">
        <f t="shared" si="36"/>
        <v>0</v>
      </c>
      <c r="BN73" s="168">
        <f t="shared" si="36"/>
        <v>0</v>
      </c>
      <c r="BO73" s="168">
        <f t="shared" si="36"/>
        <v>0</v>
      </c>
      <c r="BP73" s="168">
        <f t="shared" si="36"/>
        <v>0</v>
      </c>
      <c r="BQ73" s="168">
        <f t="shared" si="36"/>
        <v>0</v>
      </c>
      <c r="BR73" s="168">
        <f t="shared" si="36"/>
        <v>0</v>
      </c>
      <c r="BS73" s="168">
        <f t="shared" si="36"/>
        <v>0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823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759</v>
      </c>
      <c r="AT74" s="182" t="str">
        <f t="shared" si="40"/>
        <v>béliers</v>
      </c>
      <c r="AV74" s="168">
        <f t="shared" si="36"/>
        <v>23</v>
      </c>
      <c r="AW74" s="168">
        <f t="shared" si="36"/>
        <v>23</v>
      </c>
      <c r="AX74" s="168">
        <f t="shared" si="36"/>
        <v>23</v>
      </c>
      <c r="AY74" s="168">
        <f t="shared" si="36"/>
        <v>23</v>
      </c>
      <c r="AZ74" s="168">
        <f t="shared" si="36"/>
        <v>23</v>
      </c>
      <c r="BA74" s="168">
        <f t="shared" si="36"/>
        <v>23</v>
      </c>
      <c r="BB74" s="168">
        <f t="shared" si="36"/>
        <v>23</v>
      </c>
      <c r="BC74" s="168">
        <f t="shared" si="36"/>
        <v>23</v>
      </c>
      <c r="BD74" s="168">
        <f t="shared" si="36"/>
        <v>23</v>
      </c>
      <c r="BE74" s="168">
        <f t="shared" si="36"/>
        <v>23</v>
      </c>
      <c r="BF74" s="168">
        <f t="shared" si="36"/>
        <v>23</v>
      </c>
      <c r="BG74" s="168">
        <f t="shared" si="36"/>
        <v>23</v>
      </c>
      <c r="BH74" s="168">
        <f t="shared" si="36"/>
        <v>23</v>
      </c>
      <c r="BI74" s="168">
        <f t="shared" si="36"/>
        <v>23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0</v>
      </c>
      <c r="BQ74" s="168">
        <f t="shared" si="36"/>
        <v>23</v>
      </c>
      <c r="BR74" s="168">
        <f t="shared" si="36"/>
        <v>23</v>
      </c>
      <c r="BS74" s="168">
        <f t="shared" si="36"/>
        <v>23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824</v>
      </c>
      <c r="F75" s="191">
        <f>IF(Scénario!K87=0,0,SUM(G75:AD75))</f>
        <v>84</v>
      </c>
      <c r="G75" s="191">
        <f>IF(Protection!C195=0,0,[1]Protect!$B$9*Protection!C195*14)</f>
        <v>3.5</v>
      </c>
      <c r="H75" s="191">
        <f>IF(Protection!D195=0,0,[1]Protect!$B$9*Protection!D195*14)</f>
        <v>3.5</v>
      </c>
      <c r="I75" s="191">
        <f>IF(Protection!E195=0,0,[1]Protect!$B$9*Protection!E195*14)</f>
        <v>3.5</v>
      </c>
      <c r="J75" s="191">
        <f>IF(Protection!F195=0,0,[1]Protect!$B$9*Protection!F195*14)</f>
        <v>3.5</v>
      </c>
      <c r="K75" s="191">
        <f>IF(Protection!G195=0,0,[1]Protect!$B$9*Protection!G195*14)</f>
        <v>3.5</v>
      </c>
      <c r="L75" s="191">
        <f>IF(Protection!H195=0,0,[1]Protect!$B$9*Protection!H195*14)</f>
        <v>3.5</v>
      </c>
      <c r="M75" s="191">
        <f>IF(Protection!I195=0,0,[1]Protect!$B$9*Protection!I195*14)</f>
        <v>3.5</v>
      </c>
      <c r="N75" s="191">
        <f>IF(Protection!J195=0,0,[1]Protect!$B$9*Protection!J195*14)</f>
        <v>3.5</v>
      </c>
      <c r="O75" s="191">
        <f>IF(Protection!K195=0,0,[1]Protect!$B$9*Protection!K195*14)</f>
        <v>3.5</v>
      </c>
      <c r="P75" s="191">
        <f>IF(Protection!L195=0,0,[1]Protect!$B$9*Protection!L195*14)</f>
        <v>3.5</v>
      </c>
      <c r="Q75" s="191">
        <f>IF(Protection!M195=0,0,[1]Protect!$B$9*Protection!M195*14)</f>
        <v>3.5</v>
      </c>
      <c r="R75" s="191">
        <f>IF(Protection!N195=0,0,[1]Protect!$B$9*Protection!N195*14)</f>
        <v>3.5</v>
      </c>
      <c r="S75" s="191">
        <f>IF(Protection!O195=0,0,[1]Protect!$B$9*Protection!O195*14)</f>
        <v>3.5</v>
      </c>
      <c r="T75" s="191">
        <f>IF(Protection!P195=0,0,[1]Protect!$B$9*Protection!P195*14)</f>
        <v>3.5</v>
      </c>
      <c r="U75" s="191">
        <f>IF(Protection!Q195=0,0,[1]Protect!$B$9*Protection!Q195*14)</f>
        <v>3.5</v>
      </c>
      <c r="V75" s="191">
        <f>IF(Protection!R195=0,0,[1]Protect!$B$9*Protection!R195*14)</f>
        <v>3.5</v>
      </c>
      <c r="W75" s="191">
        <f>IF(Protection!S195=0,0,[1]Protect!$B$9*Protection!S195*14)</f>
        <v>3.5</v>
      </c>
      <c r="X75" s="191">
        <f>IF(Protection!T195=0,0,[1]Protect!$B$9*Protection!T195*14)</f>
        <v>3.5</v>
      </c>
      <c r="Y75" s="191">
        <f>IF(Protection!U195=0,0,[1]Protect!$B$9*Protection!U195*14)</f>
        <v>3.5</v>
      </c>
      <c r="Z75" s="191">
        <f>IF(Protection!V195=0,0,[1]Protect!$B$9*Protection!V195*14)</f>
        <v>3.5</v>
      </c>
      <c r="AA75" s="191">
        <f>IF(Protection!W195=0,0,[1]Protect!$B$9*Protection!W195*14)</f>
        <v>3.5</v>
      </c>
      <c r="AB75" s="191">
        <f>IF(Protection!X195=0,0,[1]Protect!$B$9*Protection!X195*14)</f>
        <v>3.5</v>
      </c>
      <c r="AC75" s="191">
        <f>IF(Protection!Y195=0,0,[1]Protect!$B$9*Protection!Y195*14)</f>
        <v>3.5</v>
      </c>
      <c r="AD75" s="191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>
        <f t="shared" si="40"/>
        <v>0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825</v>
      </c>
      <c r="F76" s="168">
        <f>IF(Scénario!K87=0,0,ROUND(SUM(G76:AD76),0))</f>
        <v>0</v>
      </c>
      <c r="G76" s="191">
        <f>IF(Protection!C196=0,0,[1]Protect!$B$9*Protection!C196*14)</f>
        <v>0</v>
      </c>
      <c r="H76" s="191">
        <f>IF(Protection!D196=0,0,[1]Protect!$B$9*Protection!D196*14)</f>
        <v>0</v>
      </c>
      <c r="I76" s="191">
        <f>IF(Protection!E196=0,0,[1]Protect!$B$9*Protection!E196*14)</f>
        <v>0</v>
      </c>
      <c r="J76" s="191">
        <f>IF(Protection!F196=0,0,[1]Protect!$B$9*Protection!F196*14)</f>
        <v>0</v>
      </c>
      <c r="K76" s="191">
        <f>IF(Protection!G196=0,0,[1]Protect!$B$9*Protection!G196*14)</f>
        <v>0</v>
      </c>
      <c r="L76" s="191">
        <f>IF(Protection!H196=0,0,[1]Protect!$B$9*Protection!H196*14)</f>
        <v>0</v>
      </c>
      <c r="M76" s="191">
        <f>IF(Protection!I196=0,0,[1]Protect!$B$9*Protection!I196*14)</f>
        <v>0</v>
      </c>
      <c r="N76" s="191">
        <f>IF(Protection!J196=0,0,[1]Protect!$B$9*Protection!J196*14)</f>
        <v>0</v>
      </c>
      <c r="O76" s="191">
        <f>IF(Protection!K196=0,0,[1]Protect!$B$9*Protection!K196*14)</f>
        <v>0</v>
      </c>
      <c r="P76" s="191">
        <f>IF(Protection!L196=0,0,[1]Protect!$B$9*Protection!L196*14)</f>
        <v>0</v>
      </c>
      <c r="Q76" s="191">
        <f>IF(Protection!M196=0,0,[1]Protect!$B$9*Protection!M196*14)</f>
        <v>0</v>
      </c>
      <c r="R76" s="191">
        <f>IF(Protection!N196=0,0,[1]Protect!$B$9*Protection!N196*14)</f>
        <v>0</v>
      </c>
      <c r="S76" s="191">
        <f>IF(Protection!O196=0,0,[1]Protect!$B$9*Protection!O196*14)</f>
        <v>0</v>
      </c>
      <c r="T76" s="191">
        <f>IF(Protection!P196=0,0,[1]Protect!$B$9*Protection!P196*14)</f>
        <v>0</v>
      </c>
      <c r="U76" s="191">
        <f>IF(Protection!Q196=0,0,[1]Protect!$B$9*Protection!Q196*14)</f>
        <v>0</v>
      </c>
      <c r="V76" s="191">
        <f>IF(Protection!R196=0,0,[1]Protect!$B$9*Protection!R196*14)</f>
        <v>0</v>
      </c>
      <c r="W76" s="191">
        <f>IF(Protection!S196=0,0,[1]Protect!$B$9*Protection!S196*14)</f>
        <v>0</v>
      </c>
      <c r="X76" s="191">
        <f>IF(Protection!T196=0,0,[1]Protect!$B$9*Protection!T196*14)</f>
        <v>0</v>
      </c>
      <c r="Y76" s="191">
        <f>IF(Protection!U196=0,0,[1]Protect!$B$9*Protection!U196*14)</f>
        <v>0</v>
      </c>
      <c r="Z76" s="191">
        <f>IF(Protection!V196=0,0,[1]Protect!$B$9*Protection!V196*14)</f>
        <v>0</v>
      </c>
      <c r="AA76" s="191">
        <f>IF(Protection!W196=0,0,[1]Protect!$B$9*Protection!W196*14)</f>
        <v>0</v>
      </c>
      <c r="AB76" s="191">
        <f>IF(Protection!X196=0,0,[1]Protect!$B$9*Protection!X196*14)</f>
        <v>0</v>
      </c>
      <c r="AC76" s="191">
        <f>IF(Protection!Y196=0,0,[1]Protect!$B$9*Protection!Y196*14)</f>
        <v>0</v>
      </c>
      <c r="AD76" s="191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759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62">
        <f>IF(Scénario!K87=0,0,ROUND(SUM(G77:AD77),0))</f>
        <v>304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8.5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13.5</v>
      </c>
      <c r="S77" s="46">
        <f t="shared" si="43"/>
        <v>13.5</v>
      </c>
      <c r="T77" s="46">
        <f t="shared" si="43"/>
        <v>13.5</v>
      </c>
      <c r="U77" s="46">
        <f t="shared" si="43"/>
        <v>13.5</v>
      </c>
      <c r="V77" s="46">
        <f t="shared" si="43"/>
        <v>13.5</v>
      </c>
      <c r="W77" s="46">
        <f t="shared" si="43"/>
        <v>13.5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13.5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1" t="s">
        <v>759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2"/>
      <c r="AH78" s="5"/>
      <c r="AI78" s="5"/>
      <c r="AJ78" s="5"/>
      <c r="AK78" s="5"/>
      <c r="AL78" s="5"/>
      <c r="AM78" s="5"/>
      <c r="AN78" s="5"/>
      <c r="AR78" s="181" t="s">
        <v>759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826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2"/>
      <c r="AH79" s="5"/>
      <c r="AI79" s="5"/>
      <c r="AJ79" s="5"/>
      <c r="AK79" s="5"/>
      <c r="AL79" s="5"/>
      <c r="AM79" s="5"/>
      <c r="AN79" s="5"/>
      <c r="AR79" s="181" t="s">
        <v>759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827</v>
      </c>
      <c r="B80" s="166" t="s">
        <v>828</v>
      </c>
      <c r="C80" s="166" t="s">
        <v>829</v>
      </c>
      <c r="D80" s="167"/>
      <c r="E80" s="167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G80" s="5"/>
      <c r="AH80" s="5"/>
      <c r="AI80" s="5"/>
      <c r="AJ80" s="5"/>
      <c r="AK80" s="5"/>
      <c r="AL80" s="5"/>
      <c r="AM80" s="5"/>
      <c r="AN80" s="5"/>
      <c r="AR80" s="181" t="s">
        <v>759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830</v>
      </c>
      <c r="B81" s="172">
        <f>ROUND(Protection!AJ8/[1]Protect!$B$11,2)</f>
        <v>0.56999999999999995</v>
      </c>
      <c r="C81" s="183">
        <f>[1]Protect!$B$10</f>
        <v>4</v>
      </c>
      <c r="D81" s="167"/>
      <c r="E81" s="167"/>
      <c r="F81" s="168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759</v>
      </c>
      <c r="AT81" s="19" t="s">
        <v>831</v>
      </c>
      <c r="AV81" s="168">
        <f>COUNTIF(AV$71:AV$80,23)</f>
        <v>3</v>
      </c>
      <c r="AW81" s="168">
        <f t="shared" ref="AW81:BS81" si="44">COUNTIF(AW$71:AW$80,23)</f>
        <v>3</v>
      </c>
      <c r="AX81" s="168">
        <f t="shared" si="44"/>
        <v>3</v>
      </c>
      <c r="AY81" s="168">
        <f t="shared" si="44"/>
        <v>2</v>
      </c>
      <c r="AZ81" s="168">
        <f t="shared" si="44"/>
        <v>2</v>
      </c>
      <c r="BA81" s="168">
        <f t="shared" si="44"/>
        <v>2</v>
      </c>
      <c r="BB81" s="168">
        <f t="shared" si="44"/>
        <v>2</v>
      </c>
      <c r="BC81" s="168">
        <f t="shared" si="44"/>
        <v>2</v>
      </c>
      <c r="BD81" s="168">
        <f t="shared" si="44"/>
        <v>2</v>
      </c>
      <c r="BE81" s="168">
        <f t="shared" si="44"/>
        <v>2</v>
      </c>
      <c r="BF81" s="168">
        <f t="shared" si="44"/>
        <v>2</v>
      </c>
      <c r="BG81" s="168">
        <f t="shared" si="44"/>
        <v>2</v>
      </c>
      <c r="BH81" s="168">
        <f t="shared" si="44"/>
        <v>2</v>
      </c>
      <c r="BI81" s="168">
        <f t="shared" si="44"/>
        <v>2</v>
      </c>
      <c r="BJ81" s="168">
        <f t="shared" si="44"/>
        <v>1</v>
      </c>
      <c r="BK81" s="168">
        <f t="shared" si="44"/>
        <v>1</v>
      </c>
      <c r="BL81" s="168">
        <f t="shared" si="44"/>
        <v>1</v>
      </c>
      <c r="BM81" s="168">
        <f t="shared" si="44"/>
        <v>1</v>
      </c>
      <c r="BN81" s="168">
        <f t="shared" si="44"/>
        <v>1</v>
      </c>
      <c r="BO81" s="168">
        <f t="shared" si="44"/>
        <v>1</v>
      </c>
      <c r="BP81" s="168">
        <f t="shared" si="44"/>
        <v>1</v>
      </c>
      <c r="BQ81" s="168">
        <f t="shared" si="44"/>
        <v>2</v>
      </c>
      <c r="BR81" s="168">
        <f t="shared" si="44"/>
        <v>2</v>
      </c>
      <c r="BS81" s="168">
        <f t="shared" si="44"/>
        <v>3</v>
      </c>
      <c r="BZ81" s="19" t="s">
        <v>831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831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832</v>
      </c>
      <c r="C82" t="s">
        <v>833</v>
      </c>
      <c r="G82" s="192"/>
      <c r="H82" s="19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759</v>
      </c>
      <c r="AT82" s="19" t="s">
        <v>834</v>
      </c>
      <c r="AV82" s="168">
        <f>COUNTIF(AV$71:AV$80,13)</f>
        <v>0</v>
      </c>
      <c r="AW82" s="168">
        <f t="shared" ref="AW82:BS82" si="47">COUNTIF(AW$71:AW$80,13)</f>
        <v>0</v>
      </c>
      <c r="AX82" s="168">
        <f t="shared" si="47"/>
        <v>0</v>
      </c>
      <c r="AY82" s="168">
        <f t="shared" si="47"/>
        <v>0</v>
      </c>
      <c r="AZ82" s="168">
        <f t="shared" si="47"/>
        <v>0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0</v>
      </c>
      <c r="BI82" s="168">
        <f t="shared" si="47"/>
        <v>0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0</v>
      </c>
      <c r="BQ82" s="168">
        <f t="shared" si="47"/>
        <v>0</v>
      </c>
      <c r="BR82" s="168">
        <f t="shared" si="47"/>
        <v>0</v>
      </c>
      <c r="BS82" s="168">
        <f t="shared" si="47"/>
        <v>0</v>
      </c>
      <c r="BZ82" s="19" t="s">
        <v>834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834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835</v>
      </c>
      <c r="B83" s="172">
        <f>Protection!AK25/1000</f>
        <v>4.4370000000000003</v>
      </c>
      <c r="C83" s="183">
        <f>[1]Protect!$B$24+[1]Protect!$B$26</f>
        <v>0.33</v>
      </c>
      <c r="D83" s="167"/>
      <c r="E83" s="167"/>
      <c r="F83" s="168">
        <f>ROUND(B83*C83,1)</f>
        <v>1.5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759</v>
      </c>
      <c r="AT83" s="19" t="s">
        <v>836</v>
      </c>
      <c r="AV83" s="168">
        <f>COUNTIF(AV$71:AV$80,22)</f>
        <v>1</v>
      </c>
      <c r="AW83" s="168">
        <f t="shared" ref="AW83:BS83" si="50">COUNTIF(AW$71:AW$80,22)</f>
        <v>1</v>
      </c>
      <c r="AX83" s="168">
        <f t="shared" si="50"/>
        <v>1</v>
      </c>
      <c r="AY83" s="168">
        <f t="shared" si="50"/>
        <v>2</v>
      </c>
      <c r="AZ83" s="168">
        <f t="shared" si="50"/>
        <v>2</v>
      </c>
      <c r="BA83" s="168">
        <f t="shared" si="50"/>
        <v>2</v>
      </c>
      <c r="BB83" s="168">
        <f t="shared" si="50"/>
        <v>2</v>
      </c>
      <c r="BC83" s="168">
        <f t="shared" si="50"/>
        <v>2</v>
      </c>
      <c r="BD83" s="168">
        <f t="shared" si="50"/>
        <v>2</v>
      </c>
      <c r="BE83" s="168">
        <f t="shared" si="50"/>
        <v>2</v>
      </c>
      <c r="BF83" s="168">
        <f t="shared" si="50"/>
        <v>2</v>
      </c>
      <c r="BG83" s="168">
        <f t="shared" si="50"/>
        <v>2</v>
      </c>
      <c r="BH83" s="168">
        <f t="shared" si="50"/>
        <v>2</v>
      </c>
      <c r="BI83" s="168">
        <f t="shared" si="50"/>
        <v>2</v>
      </c>
      <c r="BJ83" s="168">
        <f t="shared" si="50"/>
        <v>1</v>
      </c>
      <c r="BK83" s="168">
        <f t="shared" si="50"/>
        <v>1</v>
      </c>
      <c r="BL83" s="168">
        <f t="shared" si="50"/>
        <v>1</v>
      </c>
      <c r="BM83" s="168">
        <f t="shared" si="50"/>
        <v>1</v>
      </c>
      <c r="BN83" s="168">
        <f t="shared" si="50"/>
        <v>1</v>
      </c>
      <c r="BO83" s="168">
        <f t="shared" si="50"/>
        <v>1</v>
      </c>
      <c r="BP83" s="168">
        <f t="shared" si="50"/>
        <v>1</v>
      </c>
      <c r="BQ83" s="168">
        <f t="shared" si="50"/>
        <v>1</v>
      </c>
      <c r="BR83" s="168">
        <f t="shared" si="50"/>
        <v>1</v>
      </c>
      <c r="BS83" s="168">
        <f t="shared" si="50"/>
        <v>0</v>
      </c>
      <c r="BZ83" s="19" t="s">
        <v>836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836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837</v>
      </c>
      <c r="B84" s="5"/>
      <c r="C84" s="183">
        <f>[1]Protect!$B$25*8</f>
        <v>8</v>
      </c>
      <c r="D84" s="167"/>
      <c r="E84" s="167"/>
      <c r="F84" s="168">
        <f>ROUND(B83*C84/10,1)</f>
        <v>3.5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759</v>
      </c>
      <c r="AT84" s="19" t="s">
        <v>838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0</v>
      </c>
      <c r="AY84" s="168">
        <f t="shared" si="53"/>
        <v>0</v>
      </c>
      <c r="AZ84" s="168">
        <f t="shared" si="53"/>
        <v>0</v>
      </c>
      <c r="BA84" s="168">
        <f t="shared" si="53"/>
        <v>0</v>
      </c>
      <c r="BB84" s="168">
        <f t="shared" si="53"/>
        <v>0</v>
      </c>
      <c r="BC84" s="168">
        <f t="shared" si="53"/>
        <v>0</v>
      </c>
      <c r="BD84" s="168">
        <f t="shared" si="53"/>
        <v>0</v>
      </c>
      <c r="BE84" s="168">
        <f t="shared" si="53"/>
        <v>0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838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838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839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759</v>
      </c>
      <c r="AT85" s="40" t="s">
        <v>840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840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840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841</v>
      </c>
      <c r="B86" s="172">
        <f>IF(Scénario!K94=0,0,Scénario!K94/Scénario!K56*Scénario!K54)</f>
        <v>0</v>
      </c>
      <c r="C86" s="171"/>
      <c r="D86" s="171"/>
      <c r="E86" s="171"/>
      <c r="F86" s="16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759</v>
      </c>
      <c r="AT86" s="40" t="s">
        <v>842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42</v>
      </c>
      <c r="BB86" s="183">
        <f>IF(BB85=0,0,HLOOKUP(BB85,[1]Trav!$C$39:$G$59,$AU$105))</f>
        <v>42</v>
      </c>
      <c r="BC86" s="183">
        <f>IF(BC85=0,0,HLOOKUP(BC85,[1]Trav!$C$39:$G$59,$AU$105))</f>
        <v>42</v>
      </c>
      <c r="BD86" s="183">
        <f>IF(BD85=0,0,HLOOKUP(BD85,[1]Trav!$C$39:$G$59,$AU$105))</f>
        <v>42</v>
      </c>
      <c r="BE86" s="183">
        <f>IF(BE85=0,0,HLOOKUP(BE85,[1]Trav!$C$39:$G$59,$AU$105))</f>
        <v>42</v>
      </c>
      <c r="BF86" s="183">
        <f>IF(BF85=0,0,HLOOKUP(BF85,[1]Trav!$C$39:$G$59,$AU$105))</f>
        <v>42</v>
      </c>
      <c r="BG86" s="183">
        <f>IF(BG85=0,0,HLOOKUP(BG85,[1]Trav!$C$39:$G$59,$AU$105))</f>
        <v>42</v>
      </c>
      <c r="BH86" s="183">
        <f>IF(BH85=0,0,HLOOKUP(BH85,[1]Trav!$C$39:$G$59,$AU$105))</f>
        <v>42</v>
      </c>
      <c r="BI86" s="183">
        <f>IF(BI85=0,0,HLOOKUP(BI85,[1]Trav!$C$39:$G$59,$AU$105))</f>
        <v>42</v>
      </c>
      <c r="BJ86" s="183">
        <f>IF(BJ85=0,0,HLOOKUP(BJ85,[1]Trav!$C$39:$G$59,$AU$105))</f>
        <v>42</v>
      </c>
      <c r="BK86" s="183">
        <f>IF(BK85=0,0,HLOOKUP(BK85,[1]Trav!$C$39:$G$59,$AU$105))</f>
        <v>42</v>
      </c>
      <c r="BL86" s="183">
        <f>IF(BL85=0,0,HLOOKUP(BL85,[1]Trav!$C$39:$G$59,$AU$105))</f>
        <v>42</v>
      </c>
      <c r="BM86" s="183">
        <f>IF(BM85=0,0,HLOOKUP(BM85,[1]Trav!$C$39:$G$59,$AU$105))</f>
        <v>42</v>
      </c>
      <c r="BN86" s="183">
        <f>IF(BN85=0,0,HLOOKUP(BN85,[1]Trav!$C$39:$G$59,$AU$105))</f>
        <v>42</v>
      </c>
      <c r="BO86" s="183">
        <f>IF(BO85=0,0,HLOOKUP(BO85,[1]Trav!$C$39:$G$59,$AU$105))</f>
        <v>42</v>
      </c>
      <c r="BP86" s="183">
        <f>IF(BP85=0,0,HLOOKUP(BP85,[1]Trav!$C$39:$G$59,$AU$105))</f>
        <v>42</v>
      </c>
      <c r="BQ86" s="183">
        <f>IF(BQ85=0,0,HLOOKUP(BQ85,[1]Trav!$C$39:$G$59,$AU$105))</f>
        <v>42</v>
      </c>
      <c r="BR86" s="183">
        <f>IF(BR85=0,0,HLOOKUP(BR85,[1]Trav!$C$39:$G$59,$AU$105))</f>
        <v>42</v>
      </c>
      <c r="BS86" s="183">
        <f>IF(BS85=0,0,HLOOKUP(BS85,[1]Trav!$C$39:$G$59,$AU$105))</f>
        <v>42</v>
      </c>
      <c r="BZ86" s="40" t="s">
        <v>842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842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843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759</v>
      </c>
      <c r="AT87" s="40" t="s">
        <v>844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1.75</v>
      </c>
      <c r="BH87" s="183">
        <f>IF(BH85=0,0,HLOOKUP(BH85,[1]Trav!$C$62:$G$82,$AU$105))</f>
        <v>1.75</v>
      </c>
      <c r="BI87" s="183">
        <f>IF(BI85=0,0,HLOOKUP(BI85,[1]Trav!$C$62:$G$82,$AU$105))</f>
        <v>1.75</v>
      </c>
      <c r="BJ87" s="183">
        <f>IF(BJ85=0,0,HLOOKUP(BJ85,[1]Trav!$C$62:$G$82,$AU$105))</f>
        <v>1.75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844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844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845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845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845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846</v>
      </c>
      <c r="B90" s="5" t="s">
        <v>847</v>
      </c>
      <c r="C90" s="5"/>
      <c r="D90" s="5" t="s">
        <v>848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laitiéres</v>
      </c>
      <c r="AV90" s="168">
        <f t="shared" ref="AV90:BS95" si="60">IF(AV37&gt;1,AV4,0)</f>
        <v>192.96</v>
      </c>
      <c r="AW90" s="168">
        <f t="shared" si="60"/>
        <v>192.96</v>
      </c>
      <c r="AX90" s="168">
        <f t="shared" si="60"/>
        <v>192.96</v>
      </c>
      <c r="AY90" s="168">
        <f t="shared" si="60"/>
        <v>192.96</v>
      </c>
      <c r="AZ90" s="168">
        <f t="shared" si="60"/>
        <v>254.06399999999999</v>
      </c>
      <c r="BA90" s="168">
        <f t="shared" si="60"/>
        <v>252.99199999999999</v>
      </c>
      <c r="BB90" s="168">
        <f t="shared" si="60"/>
        <v>251.92</v>
      </c>
      <c r="BC90" s="168">
        <f t="shared" si="60"/>
        <v>250.84800000000001</v>
      </c>
      <c r="BD90" s="168">
        <f t="shared" si="60"/>
        <v>232.624</v>
      </c>
      <c r="BE90" s="168">
        <f t="shared" si="60"/>
        <v>231.55199999999999</v>
      </c>
      <c r="BF90" s="168">
        <f t="shared" si="60"/>
        <v>230.48</v>
      </c>
      <c r="BG90" s="168">
        <f t="shared" si="60"/>
        <v>228.33600000000001</v>
      </c>
      <c r="BH90" s="168">
        <f t="shared" si="60"/>
        <v>226.19200000000001</v>
      </c>
      <c r="BI90" s="168">
        <f t="shared" si="60"/>
        <v>224.048</v>
      </c>
      <c r="BJ90" s="168">
        <f t="shared" si="60"/>
        <v>226.19200000000001</v>
      </c>
      <c r="BK90" s="168">
        <f t="shared" si="60"/>
        <v>226.19200000000001</v>
      </c>
      <c r="BL90" s="168">
        <f t="shared" si="60"/>
        <v>226.19200000000001</v>
      </c>
      <c r="BM90" s="168">
        <f t="shared" si="60"/>
        <v>209.04</v>
      </c>
      <c r="BN90" s="168">
        <f t="shared" si="60"/>
        <v>209.04</v>
      </c>
      <c r="BO90" s="168">
        <f t="shared" si="60"/>
        <v>209.04</v>
      </c>
      <c r="BP90" s="168">
        <f t="shared" si="60"/>
        <v>209.04</v>
      </c>
      <c r="BQ90" s="168">
        <f t="shared" si="60"/>
        <v>203.68</v>
      </c>
      <c r="BR90" s="168">
        <f t="shared" si="60"/>
        <v>203.68</v>
      </c>
      <c r="BS90" s="168">
        <f t="shared" si="60"/>
        <v>203.68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849</v>
      </c>
      <c r="B91" s="194">
        <f>F5+F9</f>
        <v>1788.41992</v>
      </c>
      <c r="C91" s="5"/>
      <c r="D91" s="195">
        <f>B91/Troupeau!$B$17</f>
        <v>6.6732086567164179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agnelles</v>
      </c>
      <c r="AV91" s="168">
        <f t="shared" si="60"/>
        <v>64.319999999999993</v>
      </c>
      <c r="AW91" s="168">
        <f t="shared" si="60"/>
        <v>64.319999999999993</v>
      </c>
      <c r="AX91" s="168">
        <f t="shared" si="60"/>
        <v>64.319999999999993</v>
      </c>
      <c r="AY91" s="168">
        <f t="shared" si="60"/>
        <v>64.319999999999993</v>
      </c>
      <c r="AZ91" s="168">
        <f t="shared" si="60"/>
        <v>64.319999999999993</v>
      </c>
      <c r="BA91" s="168">
        <f t="shared" si="60"/>
        <v>64.319999999999993</v>
      </c>
      <c r="BB91" s="168">
        <f t="shared" si="60"/>
        <v>64.319999999999993</v>
      </c>
      <c r="BC91" s="168">
        <f t="shared" si="60"/>
        <v>64.319999999999993</v>
      </c>
      <c r="BD91" s="168">
        <f t="shared" si="60"/>
        <v>64.319999999999993</v>
      </c>
      <c r="BE91" s="168">
        <f t="shared" si="60"/>
        <v>64.319999999999993</v>
      </c>
      <c r="BF91" s="168">
        <f t="shared" si="60"/>
        <v>64.319999999999993</v>
      </c>
      <c r="BG91" s="168">
        <f t="shared" si="60"/>
        <v>64.319999999999993</v>
      </c>
      <c r="BH91" s="168">
        <f t="shared" si="60"/>
        <v>64.319999999999993</v>
      </c>
      <c r="BI91" s="168">
        <f t="shared" si="60"/>
        <v>64.319999999999993</v>
      </c>
      <c r="BJ91" s="168">
        <f t="shared" si="60"/>
        <v>64.319999999999993</v>
      </c>
      <c r="BK91" s="168">
        <f t="shared" si="60"/>
        <v>64.319999999999993</v>
      </c>
      <c r="BL91" s="168">
        <f t="shared" si="60"/>
        <v>64.319999999999993</v>
      </c>
      <c r="BM91" s="168">
        <f t="shared" si="60"/>
        <v>64.319999999999993</v>
      </c>
      <c r="BN91" s="168">
        <f t="shared" si="60"/>
        <v>64.319999999999993</v>
      </c>
      <c r="BO91" s="168">
        <f t="shared" si="60"/>
        <v>64.319999999999993</v>
      </c>
      <c r="BP91" s="168">
        <f t="shared" si="60"/>
        <v>64.319999999999993</v>
      </c>
      <c r="BQ91" s="168">
        <f t="shared" si="60"/>
        <v>64.319999999999993</v>
      </c>
      <c r="BR91" s="168">
        <f t="shared" si="60"/>
        <v>64.319999999999993</v>
      </c>
      <c r="BS91" s="168">
        <f t="shared" si="60"/>
        <v>64.319999999999993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850</v>
      </c>
      <c r="B92" s="194">
        <f>F6+F10</f>
        <v>0</v>
      </c>
      <c r="C92" s="5"/>
      <c r="D92" s="195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vides + mammites</v>
      </c>
      <c r="AV92" s="168">
        <f t="shared" si="60"/>
        <v>10.72</v>
      </c>
      <c r="AW92" s="168">
        <f t="shared" si="60"/>
        <v>10.72</v>
      </c>
      <c r="AX92" s="168">
        <f t="shared" si="60"/>
        <v>10.72</v>
      </c>
      <c r="AY92" s="168">
        <f t="shared" si="60"/>
        <v>10.72</v>
      </c>
      <c r="AZ92" s="168">
        <f t="shared" si="60"/>
        <v>13.936</v>
      </c>
      <c r="BA92" s="168">
        <f t="shared" si="60"/>
        <v>13.936</v>
      </c>
      <c r="BB92" s="168">
        <f t="shared" si="60"/>
        <v>13.936</v>
      </c>
      <c r="BC92" s="168">
        <f t="shared" si="60"/>
        <v>13.936</v>
      </c>
      <c r="BD92" s="168">
        <f t="shared" si="60"/>
        <v>13.936</v>
      </c>
      <c r="BE92" s="168">
        <f t="shared" si="60"/>
        <v>13.936</v>
      </c>
      <c r="BF92" s="168">
        <f t="shared" si="60"/>
        <v>13.936</v>
      </c>
      <c r="BG92" s="168">
        <f t="shared" si="60"/>
        <v>13.936</v>
      </c>
      <c r="BH92" s="168">
        <f t="shared" si="60"/>
        <v>13.936</v>
      </c>
      <c r="BI92" s="168">
        <f t="shared" si="60"/>
        <v>13.936</v>
      </c>
      <c r="BJ92" s="168">
        <f t="shared" si="60"/>
        <v>0</v>
      </c>
      <c r="BK92" s="168">
        <f t="shared" si="60"/>
        <v>0</v>
      </c>
      <c r="BL92" s="168">
        <f t="shared" si="60"/>
        <v>0</v>
      </c>
      <c r="BM92" s="168">
        <f t="shared" si="60"/>
        <v>0</v>
      </c>
      <c r="BN92" s="168">
        <f t="shared" si="60"/>
        <v>0</v>
      </c>
      <c r="BO92" s="168">
        <f t="shared" si="60"/>
        <v>0</v>
      </c>
      <c r="BP92" s="168">
        <f t="shared" si="60"/>
        <v>0</v>
      </c>
      <c r="BQ92" s="168">
        <f t="shared" si="60"/>
        <v>0</v>
      </c>
      <c r="BR92" s="168">
        <f t="shared" si="60"/>
        <v>0</v>
      </c>
      <c r="BS92" s="168">
        <f t="shared" si="60"/>
        <v>0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851</v>
      </c>
      <c r="B93" s="194">
        <f>F7+F11</f>
        <v>0</v>
      </c>
      <c r="C93" s="23"/>
      <c r="D93" s="195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5.36</v>
      </c>
      <c r="AW93" s="168">
        <f t="shared" si="60"/>
        <v>5.36</v>
      </c>
      <c r="AX93" s="168">
        <f t="shared" si="60"/>
        <v>5.36</v>
      </c>
      <c r="AY93" s="168">
        <f t="shared" si="60"/>
        <v>5.36</v>
      </c>
      <c r="AZ93" s="168">
        <f t="shared" si="60"/>
        <v>5.36</v>
      </c>
      <c r="BA93" s="168">
        <f t="shared" si="60"/>
        <v>5.36</v>
      </c>
      <c r="BB93" s="168">
        <f t="shared" si="60"/>
        <v>5.36</v>
      </c>
      <c r="BC93" s="168">
        <f t="shared" si="60"/>
        <v>5.36</v>
      </c>
      <c r="BD93" s="168">
        <f t="shared" si="60"/>
        <v>5.36</v>
      </c>
      <c r="BE93" s="168">
        <f t="shared" si="60"/>
        <v>5.36</v>
      </c>
      <c r="BF93" s="168">
        <f t="shared" si="60"/>
        <v>5.36</v>
      </c>
      <c r="BG93" s="168">
        <f t="shared" si="60"/>
        <v>5.36</v>
      </c>
      <c r="BH93" s="168">
        <f t="shared" si="60"/>
        <v>5.36</v>
      </c>
      <c r="BI93" s="168">
        <f t="shared" si="60"/>
        <v>5.36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0</v>
      </c>
      <c r="BQ93" s="168">
        <f t="shared" si="60"/>
        <v>5.36</v>
      </c>
      <c r="BR93" s="168">
        <f t="shared" si="60"/>
        <v>5.36</v>
      </c>
      <c r="BS93" s="168">
        <f t="shared" si="60"/>
        <v>5.36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852</v>
      </c>
      <c r="B94" s="196">
        <f>SUM(B91:B93)</f>
        <v>1788.41992</v>
      </c>
      <c r="C94" s="5"/>
      <c r="D94" s="190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>
        <f>AT30</f>
        <v>0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853</v>
      </c>
      <c r="B95" s="30">
        <f>F16+F20</f>
        <v>0</v>
      </c>
      <c r="C95" s="5"/>
      <c r="D95" s="195">
        <f>B95/Troupeau!$B$17</f>
        <v>0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854</v>
      </c>
      <c r="B96" s="30">
        <f>F17+F21</f>
        <v>0</v>
      </c>
      <c r="C96" s="5"/>
      <c r="D96" s="195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855</v>
      </c>
      <c r="B97" s="30">
        <f>F18+F22</f>
        <v>0</v>
      </c>
      <c r="C97" s="5"/>
      <c r="D97" s="195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856</v>
      </c>
      <c r="B98" s="46">
        <f>SUM(B95:B97)</f>
        <v>0</v>
      </c>
      <c r="C98" s="5"/>
      <c r="D98" s="190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857</v>
      </c>
      <c r="B99" s="30">
        <f>F31+F35</f>
        <v>1285.7566666666667</v>
      </c>
      <c r="C99" s="5"/>
      <c r="D99" s="195">
        <f>B99/Troupeau!$B$17</f>
        <v>4.7975995024875617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7" t="s">
        <v>13</v>
      </c>
      <c r="AV99" s="62">
        <f>SUM(AV90:AV98)</f>
        <v>273.36</v>
      </c>
      <c r="AW99" s="62">
        <f t="shared" ref="AW99:BS99" si="68">SUM(AW90:AW98)</f>
        <v>273.36</v>
      </c>
      <c r="AX99" s="62">
        <f t="shared" si="68"/>
        <v>273.36</v>
      </c>
      <c r="AY99" s="62">
        <f t="shared" si="68"/>
        <v>273.36</v>
      </c>
      <c r="AZ99" s="62">
        <f t="shared" si="68"/>
        <v>337.68</v>
      </c>
      <c r="BA99" s="62">
        <f t="shared" si="68"/>
        <v>336.608</v>
      </c>
      <c r="BB99" s="62">
        <f t="shared" si="68"/>
        <v>335.536</v>
      </c>
      <c r="BC99" s="62">
        <f t="shared" si="68"/>
        <v>334.464</v>
      </c>
      <c r="BD99" s="62">
        <f t="shared" si="68"/>
        <v>316.23999999999995</v>
      </c>
      <c r="BE99" s="62">
        <f t="shared" si="68"/>
        <v>315.16799999999995</v>
      </c>
      <c r="BF99" s="62">
        <f t="shared" si="68"/>
        <v>314.09599999999995</v>
      </c>
      <c r="BG99" s="62">
        <f t="shared" si="68"/>
        <v>311.952</v>
      </c>
      <c r="BH99" s="62">
        <f t="shared" si="68"/>
        <v>309.80799999999999</v>
      </c>
      <c r="BI99" s="62">
        <f t="shared" si="68"/>
        <v>307.66399999999999</v>
      </c>
      <c r="BJ99" s="62">
        <f t="shared" si="68"/>
        <v>290.512</v>
      </c>
      <c r="BK99" s="62">
        <f t="shared" si="68"/>
        <v>290.512</v>
      </c>
      <c r="BL99" s="62">
        <f t="shared" si="68"/>
        <v>290.512</v>
      </c>
      <c r="BM99" s="62">
        <f t="shared" si="68"/>
        <v>273.36</v>
      </c>
      <c r="BN99" s="62">
        <f t="shared" si="68"/>
        <v>273.36</v>
      </c>
      <c r="BO99" s="62">
        <f t="shared" si="68"/>
        <v>273.36</v>
      </c>
      <c r="BP99" s="62">
        <f t="shared" si="68"/>
        <v>273.36</v>
      </c>
      <c r="BQ99" s="62">
        <f t="shared" si="68"/>
        <v>273.36</v>
      </c>
      <c r="BR99" s="62">
        <f t="shared" si="68"/>
        <v>273.36</v>
      </c>
      <c r="BS99" s="62">
        <f t="shared" si="68"/>
        <v>273.36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858</v>
      </c>
      <c r="B100" s="30">
        <f>F32+F36</f>
        <v>0</v>
      </c>
      <c r="C100" s="5"/>
      <c r="D100" s="195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859</v>
      </c>
      <c r="AV100" s="168">
        <f>IF($AT$2="OL",AV99/50,AV99/10)</f>
        <v>5.4672000000000001</v>
      </c>
      <c r="AW100" s="168">
        <f t="shared" ref="AW100:BS100" si="71">IF($AT$2="OL",AW99/50,AW99/10)</f>
        <v>5.4672000000000001</v>
      </c>
      <c r="AX100" s="168">
        <f t="shared" si="71"/>
        <v>5.4672000000000001</v>
      </c>
      <c r="AY100" s="168">
        <f t="shared" si="71"/>
        <v>5.4672000000000001</v>
      </c>
      <c r="AZ100" s="168">
        <f t="shared" si="71"/>
        <v>6.7536000000000005</v>
      </c>
      <c r="BA100" s="168">
        <f t="shared" si="71"/>
        <v>6.7321600000000004</v>
      </c>
      <c r="BB100" s="168">
        <f t="shared" si="71"/>
        <v>6.7107200000000002</v>
      </c>
      <c r="BC100" s="168">
        <f t="shared" si="71"/>
        <v>6.6892800000000001</v>
      </c>
      <c r="BD100" s="168">
        <f t="shared" si="71"/>
        <v>6.3247999999999989</v>
      </c>
      <c r="BE100" s="168">
        <f t="shared" si="71"/>
        <v>6.3033599999999987</v>
      </c>
      <c r="BF100" s="168">
        <f t="shared" si="71"/>
        <v>6.2819199999999986</v>
      </c>
      <c r="BG100" s="168">
        <f t="shared" si="71"/>
        <v>6.2390400000000001</v>
      </c>
      <c r="BH100" s="168">
        <f t="shared" si="71"/>
        <v>6.1961599999999999</v>
      </c>
      <c r="BI100" s="168">
        <f t="shared" si="71"/>
        <v>6.1532799999999996</v>
      </c>
      <c r="BJ100" s="168">
        <f t="shared" si="71"/>
        <v>5.8102400000000003</v>
      </c>
      <c r="BK100" s="168">
        <f t="shared" si="71"/>
        <v>5.8102400000000003</v>
      </c>
      <c r="BL100" s="168">
        <f t="shared" si="71"/>
        <v>5.8102400000000003</v>
      </c>
      <c r="BM100" s="168">
        <f t="shared" si="71"/>
        <v>5.4672000000000001</v>
      </c>
      <c r="BN100" s="168">
        <f t="shared" si="71"/>
        <v>5.4672000000000001</v>
      </c>
      <c r="BO100" s="168">
        <f t="shared" si="71"/>
        <v>5.4672000000000001</v>
      </c>
      <c r="BP100" s="168">
        <f t="shared" si="71"/>
        <v>5.4672000000000001</v>
      </c>
      <c r="BQ100" s="168">
        <f t="shared" si="71"/>
        <v>5.4672000000000001</v>
      </c>
      <c r="BR100" s="168">
        <f t="shared" si="71"/>
        <v>5.4672000000000001</v>
      </c>
      <c r="BS100" s="168">
        <f t="shared" si="71"/>
        <v>5.4672000000000001</v>
      </c>
      <c r="BZ100" s="32" t="s">
        <v>859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859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860</v>
      </c>
      <c r="B101" s="30">
        <f>F33+F37</f>
        <v>0</v>
      </c>
      <c r="C101" s="5"/>
      <c r="D101" s="195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861</v>
      </c>
      <c r="AV101" s="168">
        <f>IF(AV100&gt;1,AV100-1,0)</f>
        <v>4.4672000000000001</v>
      </c>
      <c r="AW101" s="168">
        <f t="shared" ref="AW101:BS101" si="74">IF(AW100&gt;1,AW100-1,0)</f>
        <v>4.4672000000000001</v>
      </c>
      <c r="AX101" s="168">
        <f t="shared" si="74"/>
        <v>4.4672000000000001</v>
      </c>
      <c r="AY101" s="168">
        <f t="shared" si="74"/>
        <v>4.4672000000000001</v>
      </c>
      <c r="AZ101" s="168">
        <f t="shared" si="74"/>
        <v>5.7536000000000005</v>
      </c>
      <c r="BA101" s="168">
        <f t="shared" si="74"/>
        <v>5.7321600000000004</v>
      </c>
      <c r="BB101" s="168">
        <f t="shared" si="74"/>
        <v>5.7107200000000002</v>
      </c>
      <c r="BC101" s="168">
        <f t="shared" si="74"/>
        <v>5.6892800000000001</v>
      </c>
      <c r="BD101" s="168">
        <f t="shared" si="74"/>
        <v>5.3247999999999989</v>
      </c>
      <c r="BE101" s="168">
        <f t="shared" si="74"/>
        <v>5.3033599999999987</v>
      </c>
      <c r="BF101" s="168">
        <f t="shared" si="74"/>
        <v>5.2819199999999986</v>
      </c>
      <c r="BG101" s="168">
        <f t="shared" si="74"/>
        <v>5.2390400000000001</v>
      </c>
      <c r="BH101" s="168">
        <f t="shared" si="74"/>
        <v>5.1961599999999999</v>
      </c>
      <c r="BI101" s="168">
        <f t="shared" si="74"/>
        <v>5.1532799999999996</v>
      </c>
      <c r="BJ101" s="168">
        <f t="shared" si="74"/>
        <v>4.8102400000000003</v>
      </c>
      <c r="BK101" s="168">
        <f t="shared" si="74"/>
        <v>4.8102400000000003</v>
      </c>
      <c r="BL101" s="168">
        <f t="shared" si="74"/>
        <v>4.8102400000000003</v>
      </c>
      <c r="BM101" s="168">
        <f t="shared" si="74"/>
        <v>4.4672000000000001</v>
      </c>
      <c r="BN101" s="168">
        <f t="shared" si="74"/>
        <v>4.4672000000000001</v>
      </c>
      <c r="BO101" s="168">
        <f t="shared" si="74"/>
        <v>4.4672000000000001</v>
      </c>
      <c r="BP101" s="168">
        <f t="shared" si="74"/>
        <v>4.4672000000000001</v>
      </c>
      <c r="BQ101" s="168">
        <f t="shared" si="74"/>
        <v>4.4672000000000001</v>
      </c>
      <c r="BR101" s="168">
        <f t="shared" si="74"/>
        <v>4.4672000000000001</v>
      </c>
      <c r="BS101" s="168">
        <f t="shared" si="74"/>
        <v>4.4672000000000001</v>
      </c>
      <c r="BZ101" s="32" t="s">
        <v>861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861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862</v>
      </c>
      <c r="B102" s="46">
        <f>SUM(B99:B101)</f>
        <v>1285.7566666666667</v>
      </c>
      <c r="C102" s="5"/>
      <c r="D102" s="190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863</v>
      </c>
      <c r="AV102" s="62">
        <f>AV86+AV87*AV101</f>
        <v>49.817599999999999</v>
      </c>
      <c r="AW102" s="62">
        <f t="shared" ref="AW102:BS102" si="77">AW86+AW87*AW101</f>
        <v>49.817599999999999</v>
      </c>
      <c r="AX102" s="62">
        <f t="shared" si="77"/>
        <v>49.817599999999999</v>
      </c>
      <c r="AY102" s="62">
        <f t="shared" si="77"/>
        <v>49.817599999999999</v>
      </c>
      <c r="AZ102" s="62">
        <f t="shared" si="77"/>
        <v>52.068800000000003</v>
      </c>
      <c r="BA102" s="62">
        <f t="shared" si="77"/>
        <v>52.031280000000002</v>
      </c>
      <c r="BB102" s="62">
        <f t="shared" si="77"/>
        <v>51.993760000000002</v>
      </c>
      <c r="BC102" s="62">
        <f t="shared" si="77"/>
        <v>51.956240000000001</v>
      </c>
      <c r="BD102" s="62">
        <f t="shared" si="77"/>
        <v>51.318399999999997</v>
      </c>
      <c r="BE102" s="62">
        <f t="shared" si="77"/>
        <v>51.280879999999996</v>
      </c>
      <c r="BF102" s="62">
        <f t="shared" si="77"/>
        <v>51.243359999999996</v>
      </c>
      <c r="BG102" s="62">
        <f t="shared" si="77"/>
        <v>51.168320000000001</v>
      </c>
      <c r="BH102" s="62">
        <f t="shared" si="77"/>
        <v>51.09328</v>
      </c>
      <c r="BI102" s="62">
        <f t="shared" si="77"/>
        <v>51.018239999999999</v>
      </c>
      <c r="BJ102" s="62">
        <f t="shared" si="77"/>
        <v>50.417920000000002</v>
      </c>
      <c r="BK102" s="62">
        <f t="shared" si="77"/>
        <v>50.417920000000002</v>
      </c>
      <c r="BL102" s="62">
        <f t="shared" si="77"/>
        <v>50.417920000000002</v>
      </c>
      <c r="BM102" s="62">
        <f t="shared" si="77"/>
        <v>49.817599999999999</v>
      </c>
      <c r="BN102" s="62">
        <f t="shared" si="77"/>
        <v>49.817599999999999</v>
      </c>
      <c r="BO102" s="62">
        <f t="shared" si="77"/>
        <v>49.817599999999999</v>
      </c>
      <c r="BP102" s="62">
        <f t="shared" si="77"/>
        <v>49.817599999999999</v>
      </c>
      <c r="BQ102" s="62">
        <f t="shared" si="77"/>
        <v>49.817599999999999</v>
      </c>
      <c r="BR102" s="62">
        <f t="shared" si="77"/>
        <v>49.817599999999999</v>
      </c>
      <c r="BS102" s="62">
        <f t="shared" si="77"/>
        <v>49.817599999999999</v>
      </c>
      <c r="BZ102" s="40" t="s">
        <v>863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863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864</v>
      </c>
      <c r="B103" s="30">
        <f>F39</f>
        <v>0</v>
      </c>
      <c r="C103" s="5"/>
      <c r="D103" s="195">
        <f>B103/Troupeau!$B$17</f>
        <v>0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865</v>
      </c>
      <c r="B104" s="30">
        <f>F40</f>
        <v>0</v>
      </c>
      <c r="C104" s="5"/>
      <c r="D104" s="195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866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867</v>
      </c>
      <c r="B105" s="30">
        <f>F41</f>
        <v>0</v>
      </c>
      <c r="C105" s="5"/>
      <c r="D105" s="195">
        <f>IF(B105=0,0,B105/Troupeau!$D$17)</f>
        <v>0</v>
      </c>
      <c r="F105" s="167"/>
      <c r="G105" s="5"/>
      <c r="H105" s="5"/>
      <c r="AT105" s="147" t="s">
        <v>868</v>
      </c>
      <c r="AU105" s="17">
        <f>VLOOKUP(AU59,[1]Trav!$B$12:$C$31,2)</f>
        <v>2</v>
      </c>
      <c r="BZ105" s="147" t="s">
        <v>868</v>
      </c>
      <c r="CA105" s="17" t="e">
        <f>VLOOKUP(CA59,[1]Trav!$B$12:$C$31,2)</f>
        <v>#N/A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7" t="s">
        <v>868</v>
      </c>
      <c r="DD105" s="17" t="e">
        <f>VLOOKUP(DD59,[1]Trav!$B$12:$C$31,2)</f>
        <v>#N/A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869</v>
      </c>
      <c r="B106" s="46">
        <f>SUM(B103:B105)</f>
        <v>0</v>
      </c>
      <c r="C106" s="5"/>
      <c r="D106" s="190"/>
      <c r="F106" s="167"/>
      <c r="G106" s="5"/>
      <c r="H106" s="5"/>
      <c r="AT106" s="182" t="str">
        <f t="shared" ref="AT106:AT115" si="80">AT60</f>
        <v>laitiéres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14</v>
      </c>
      <c r="AZ106" s="183">
        <f>IF(AZ60&gt;0,HLOOKUP(AZ60,[1]Trav!$C$11:$O$31,$AU$105),0)</f>
        <v>14</v>
      </c>
      <c r="BA106" s="183">
        <f>IF(BA60&gt;0,HLOOKUP(BA60,[1]Trav!$C$11:$O$31,$AU$105),0)</f>
        <v>14</v>
      </c>
      <c r="BB106" s="183">
        <f>IF(BB60&gt;0,HLOOKUP(BB60,[1]Trav!$C$11:$O$31,$AU$105),0)</f>
        <v>14</v>
      </c>
      <c r="BC106" s="183">
        <f>IF(BC60&gt;0,HLOOKUP(BC60,[1]Trav!$C$11:$O$31,$AU$105),0)</f>
        <v>14</v>
      </c>
      <c r="BD106" s="183">
        <f>IF(BD60&gt;0,HLOOKUP(BD60,[1]Trav!$C$11:$O$31,$AU$105),0)</f>
        <v>14</v>
      </c>
      <c r="BE106" s="183">
        <f>IF(BE60&gt;0,HLOOKUP(BE60,[1]Trav!$C$11:$O$31,$AU$105),0)</f>
        <v>14</v>
      </c>
      <c r="BF106" s="183">
        <f>IF(BF60&gt;0,HLOOKUP(BF60,[1]Trav!$C$11:$O$31,$AU$105),0)</f>
        <v>14</v>
      </c>
      <c r="BG106" s="183">
        <f>IF(BG60&gt;0,HLOOKUP(BG60,[1]Trav!$C$11:$O$31,$AU$105),0)</f>
        <v>14</v>
      </c>
      <c r="BH106" s="183">
        <f>IF(BH60&gt;0,HLOOKUP(BH60,[1]Trav!$C$11:$O$31,$AU$105),0)</f>
        <v>14</v>
      </c>
      <c r="BI106" s="183">
        <f>IF(BI60&gt;0,HLOOKUP(BI60,[1]Trav!$C$11:$O$31,$AU$105),0)</f>
        <v>14</v>
      </c>
      <c r="BJ106" s="183">
        <f>IF(BJ60&gt;0,HLOOKUP(BJ60,[1]Trav!$C$11:$O$31,$AU$105),0)</f>
        <v>14</v>
      </c>
      <c r="BK106" s="183">
        <f>IF(BK60&gt;0,HLOOKUP(BK60,[1]Trav!$C$11:$O$31,$AU$105),0)</f>
        <v>14</v>
      </c>
      <c r="BL106" s="183">
        <f>IF(BL60&gt;0,HLOOKUP(BL60,[1]Trav!$C$11:$O$31,$AU$105),0)</f>
        <v>14</v>
      </c>
      <c r="BM106" s="183">
        <f>IF(BM60&gt;0,HLOOKUP(BM60,[1]Trav!$C$11:$O$31,$AU$105),0)</f>
        <v>14</v>
      </c>
      <c r="BN106" s="183">
        <f>IF(BN60&gt;0,HLOOKUP(BN60,[1]Trav!$C$11:$O$31,$AU$105),0)</f>
        <v>14</v>
      </c>
      <c r="BO106" s="183">
        <f>IF(BO60&gt;0,HLOOKUP(BO60,[1]Trav!$C$11:$O$31,$AU$105),0)</f>
        <v>14</v>
      </c>
      <c r="BP106" s="183">
        <f>IF(BP60&gt;0,HLOOKUP(BP60,[1]Trav!$C$11:$O$31,$AU$105),0)</f>
        <v>14</v>
      </c>
      <c r="BQ106" s="183">
        <f>IF(BQ60&gt;0,HLOOKUP(BQ60,[1]Trav!$C$11:$O$31,$AU$105),0)</f>
        <v>14</v>
      </c>
      <c r="BR106" s="183">
        <f>IF(BR60&gt;0,HLOOKUP(BR60,[1]Trav!$C$11:$O$31,$AU$105),0)</f>
        <v>14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870</v>
      </c>
      <c r="B107" s="46">
        <f>SUM(F61:F64)</f>
        <v>440</v>
      </c>
      <c r="D107" s="190"/>
      <c r="AT107" s="182" t="str">
        <f t="shared" si="80"/>
        <v>agnelles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0</v>
      </c>
      <c r="AY107" s="183">
        <f>IF(AY61&gt;0,HLOOKUP(AY61,[1]Trav!$C$11:$O$31,$AU$105),0)</f>
        <v>0</v>
      </c>
      <c r="AZ107" s="183">
        <f>IF(AZ61&gt;0,HLOOKUP(AZ61,[1]Trav!$C$11:$O$31,$AU$105),0)</f>
        <v>0</v>
      </c>
      <c r="BA107" s="183">
        <f>IF(BA61&gt;0,HLOOKUP(BA61,[1]Trav!$C$11:$O$31,$AU$105),0)</f>
        <v>0</v>
      </c>
      <c r="BB107" s="183">
        <f>IF(BB61&gt;0,HLOOKUP(BB61,[1]Trav!$C$11:$O$31,$AU$105),0)</f>
        <v>0</v>
      </c>
      <c r="BC107" s="183">
        <f>IF(BC61&gt;0,HLOOKUP(BC61,[1]Trav!$C$11:$O$31,$AU$105),0)</f>
        <v>0</v>
      </c>
      <c r="BD107" s="183">
        <f>IF(BD61&gt;0,HLOOKUP(BD61,[1]Trav!$C$11:$O$31,$AU$105),0)</f>
        <v>0</v>
      </c>
      <c r="BE107" s="183">
        <f>IF(BE61&gt;0,HLOOKUP(BE61,[1]Trav!$C$11:$O$31,$AU$105),0)</f>
        <v>0</v>
      </c>
      <c r="BF107" s="183">
        <f>IF(BF61&gt;0,HLOOKUP(BF61,[1]Trav!$C$11:$O$31,$AU$105),0)</f>
        <v>0</v>
      </c>
      <c r="BG107" s="183">
        <f>IF(BG61&gt;0,HLOOKUP(BG61,[1]Trav!$C$11:$O$31,$AU$105),0)</f>
        <v>0</v>
      </c>
      <c r="BH107" s="183">
        <f>IF(BH61&gt;0,HLOOKUP(BH61,[1]Trav!$C$11:$O$31,$AU$105),0)</f>
        <v>0</v>
      </c>
      <c r="BI107" s="183">
        <f>IF(BI61&gt;0,HLOOKUP(BI61,[1]Trav!$C$11:$O$31,$AU$105),0)</f>
        <v>0</v>
      </c>
      <c r="BJ107" s="183">
        <f>IF(BJ61&gt;0,HLOOKUP(BJ61,[1]Trav!$C$11:$O$31,$AU$105),0)</f>
        <v>0</v>
      </c>
      <c r="BK107" s="183">
        <f>IF(BK61&gt;0,HLOOKUP(BK61,[1]Trav!$C$11:$O$31,$AU$105),0)</f>
        <v>0</v>
      </c>
      <c r="BL107" s="183">
        <f>IF(BL61&gt;0,HLOOKUP(BL61,[1]Trav!$C$11:$O$31,$AU$105),0)</f>
        <v>0</v>
      </c>
      <c r="BM107" s="183">
        <f>IF(BM61&gt;0,HLOOKUP(BM61,[1]Trav!$C$11:$O$31,$AU$105),0)</f>
        <v>0</v>
      </c>
      <c r="BN107" s="183">
        <f>IF(BN61&gt;0,HLOOKUP(BN61,[1]Trav!$C$11:$O$31,$AU$105),0)</f>
        <v>0</v>
      </c>
      <c r="BO107" s="183">
        <f>IF(BO61&gt;0,HLOOKUP(BO61,[1]Trav!$C$11:$O$31,$AU$105),0)</f>
        <v>0</v>
      </c>
      <c r="BP107" s="183">
        <f>IF(BP61&gt;0,HLOOKUP(BP61,[1]Trav!$C$11:$O$31,$AU$105),0)</f>
        <v>0</v>
      </c>
      <c r="BQ107" s="183">
        <f>IF(BQ61&gt;0,HLOOKUP(BQ61,[1]Trav!$C$11:$O$31,$AU$105),0)</f>
        <v>0</v>
      </c>
      <c r="BR107" s="183">
        <f>IF(BR61&gt;0,HLOOKUP(BR61,[1]Trav!$C$11:$O$31,$AU$105),0)</f>
        <v>0</v>
      </c>
      <c r="BS107" s="183">
        <f>IF(BS61&gt;0,HLOOKUP(BS61,[1]Trav!$C$11:$O$31,$AU$105),0)</f>
        <v>0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871</v>
      </c>
      <c r="B108" s="46">
        <f>SUM(F50:F59)</f>
        <v>263</v>
      </c>
      <c r="D108" s="190"/>
      <c r="AT108" s="182" t="str">
        <f t="shared" si="80"/>
        <v>vides + mammites</v>
      </c>
      <c r="AV108" s="183">
        <f>IF(AV62&gt;0,HLOOKUP(AV62,[1]Trav!$C$11:$O$31,$AU$105),0)</f>
        <v>21</v>
      </c>
      <c r="AW108" s="183">
        <f>IF(AW62&gt;0,HLOOKUP(AW62,[1]Trav!$C$11:$O$31,$AU$105),0)</f>
        <v>21</v>
      </c>
      <c r="AX108" s="183">
        <f>IF(AX62&gt;0,HLOOKUP(AX62,[1]Trav!$C$11:$O$31,$AU$105),0)</f>
        <v>21</v>
      </c>
      <c r="AY108" s="183">
        <f>IF(AY62&gt;0,HLOOKUP(AY62,[1]Trav!$C$11:$O$31,$AU$105),0)</f>
        <v>21</v>
      </c>
      <c r="AZ108" s="183">
        <f>IF(AZ62&gt;0,HLOOKUP(AZ62,[1]Trav!$C$11:$O$31,$AU$105),0)</f>
        <v>21</v>
      </c>
      <c r="BA108" s="183">
        <f>IF(BA62&gt;0,HLOOKUP(BA62,[1]Trav!$C$11:$O$31,$AU$105),0)</f>
        <v>21</v>
      </c>
      <c r="BB108" s="183">
        <f>IF(BB62&gt;0,HLOOKUP(BB62,[1]Trav!$C$11:$O$31,$AU$105),0)</f>
        <v>21</v>
      </c>
      <c r="BC108" s="183">
        <f>IF(BC62&gt;0,HLOOKUP(BC62,[1]Trav!$C$11:$O$31,$AU$105),0)</f>
        <v>21</v>
      </c>
      <c r="BD108" s="183">
        <f>IF(BD62&gt;0,HLOOKUP(BD62,[1]Trav!$C$11:$O$31,$AU$105),0)</f>
        <v>21</v>
      </c>
      <c r="BE108" s="183">
        <f>IF(BE62&gt;0,HLOOKUP(BE62,[1]Trav!$C$11:$O$31,$AU$105),0)</f>
        <v>21</v>
      </c>
      <c r="BF108" s="183">
        <f>IF(BF62&gt;0,HLOOKUP(BF62,[1]Trav!$C$11:$O$31,$AU$105),0)</f>
        <v>21</v>
      </c>
      <c r="BG108" s="183">
        <f>IF(BG62&gt;0,HLOOKUP(BG62,[1]Trav!$C$11:$O$31,$AU$105),0)</f>
        <v>21</v>
      </c>
      <c r="BH108" s="183">
        <f>IF(BH62&gt;0,HLOOKUP(BH62,[1]Trav!$C$11:$O$31,$AU$105),0)</f>
        <v>21</v>
      </c>
      <c r="BI108" s="183">
        <f>IF(BI62&gt;0,HLOOKUP(BI62,[1]Trav!$C$11:$O$31,$AU$105),0)</f>
        <v>21</v>
      </c>
      <c r="BJ108" s="183">
        <f>IF(BJ62&gt;0,HLOOKUP(BJ62,[1]Trav!$C$11:$O$31,$AU$105),0)</f>
        <v>0</v>
      </c>
      <c r="BK108" s="183">
        <f>IF(BK62&gt;0,HLOOKUP(BK62,[1]Trav!$C$11:$O$31,$AU$105),0)</f>
        <v>0</v>
      </c>
      <c r="BL108" s="183">
        <f>IF(BL62&gt;0,HLOOKUP(BL62,[1]Trav!$C$11:$O$31,$AU$105),0)</f>
        <v>0</v>
      </c>
      <c r="BM108" s="183">
        <f>IF(BM62&gt;0,HLOOKUP(BM62,[1]Trav!$C$11:$O$31,$AU$105),0)</f>
        <v>0</v>
      </c>
      <c r="BN108" s="183">
        <f>IF(BN62&gt;0,HLOOKUP(BN62,[1]Trav!$C$11:$O$31,$AU$105),0)</f>
        <v>0</v>
      </c>
      <c r="BO108" s="183">
        <f>IF(BO62&gt;0,HLOOKUP(BO62,[1]Trav!$C$11:$O$31,$AU$105),0)</f>
        <v>0</v>
      </c>
      <c r="BP108" s="183">
        <f>IF(BP62&gt;0,HLOOKUP(BP62,[1]Trav!$C$11:$O$31,$AU$105),0)</f>
        <v>0</v>
      </c>
      <c r="BQ108" s="183">
        <f>IF(BQ62&gt;0,HLOOKUP(BQ62,[1]Trav!$C$11:$O$31,$AU$105),0)</f>
        <v>0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872</v>
      </c>
      <c r="B109" s="30">
        <f>F69+F72</f>
        <v>220</v>
      </c>
      <c r="D109" s="190"/>
      <c r="AT109" s="182" t="str">
        <f t="shared" si="80"/>
        <v>béliers</v>
      </c>
      <c r="AV109" s="183">
        <f>IF(AV63&gt;0,HLOOKUP(AV63,[1]Trav!$C$11:$O$31,$AU$105),0)</f>
        <v>0</v>
      </c>
      <c r="AW109" s="183">
        <f>IF(AW63&gt;0,HLOOKUP(AW63,[1]Trav!$C$11:$O$31,$AU$105),0)</f>
        <v>0</v>
      </c>
      <c r="AX109" s="183">
        <f>IF(AX63&gt;0,HLOOKUP(AX63,[1]Trav!$C$11:$O$31,$AU$105),0)</f>
        <v>0</v>
      </c>
      <c r="AY109" s="183">
        <f>IF(AY63&gt;0,HLOOKUP(AY63,[1]Trav!$C$11:$O$31,$AU$105),0)</f>
        <v>0</v>
      </c>
      <c r="AZ109" s="183">
        <f>IF(AZ63&gt;0,HLOOKUP(AZ63,[1]Trav!$C$11:$O$31,$AU$105),0)</f>
        <v>0</v>
      </c>
      <c r="BA109" s="183">
        <f>IF(BA63&gt;0,HLOOKUP(BA63,[1]Trav!$C$11:$O$31,$AU$105),0)</f>
        <v>0</v>
      </c>
      <c r="BB109" s="183">
        <f>IF(BB63&gt;0,HLOOKUP(BB63,[1]Trav!$C$11:$O$31,$AU$105),0)</f>
        <v>0</v>
      </c>
      <c r="BC109" s="183">
        <f>IF(BC63&gt;0,HLOOKUP(BC63,[1]Trav!$C$11:$O$31,$AU$105),0)</f>
        <v>0</v>
      </c>
      <c r="BD109" s="183">
        <f>IF(BD63&gt;0,HLOOKUP(BD63,[1]Trav!$C$11:$O$31,$AU$105),0)</f>
        <v>0</v>
      </c>
      <c r="BE109" s="183">
        <f>IF(BE63&gt;0,HLOOKUP(BE63,[1]Trav!$C$11:$O$31,$AU$105),0)</f>
        <v>0</v>
      </c>
      <c r="BF109" s="183">
        <f>IF(BF63&gt;0,HLOOKUP(BF63,[1]Trav!$C$11:$O$31,$AU$105),0)</f>
        <v>0</v>
      </c>
      <c r="BG109" s="183">
        <f>IF(BG63&gt;0,HLOOKUP(BG63,[1]Trav!$C$11:$O$31,$AU$105),0)</f>
        <v>0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0</v>
      </c>
      <c r="BS109" s="183">
        <f>IF(BS63&gt;0,HLOOKUP(BS63,[1]Trav!$C$11:$O$31,$AU$105),0)</f>
        <v>0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873</v>
      </c>
      <c r="B110" s="30">
        <f>F70+F73</f>
        <v>0</v>
      </c>
      <c r="D110" s="190"/>
      <c r="AT110" s="182">
        <f t="shared" si="80"/>
        <v>0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874</v>
      </c>
      <c r="B111" s="30">
        <f>F71+F74</f>
        <v>0</v>
      </c>
      <c r="D111" s="190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875</v>
      </c>
      <c r="B112" s="46">
        <f>SUM(B109:B111)</f>
        <v>220</v>
      </c>
      <c r="D112" s="190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876</v>
      </c>
      <c r="B113" s="30">
        <f>F76</f>
        <v>0</v>
      </c>
      <c r="D113" s="190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877</v>
      </c>
      <c r="B114" s="30">
        <f>F81</f>
        <v>18</v>
      </c>
      <c r="D114" s="190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878</v>
      </c>
      <c r="B115" s="30">
        <f>F83+F84</f>
        <v>5</v>
      </c>
      <c r="D115" s="190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879</v>
      </c>
      <c r="B116" s="30">
        <f>F86</f>
        <v>0</v>
      </c>
      <c r="D116" s="190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0"/>
      <c r="AT117" s="40" t="s">
        <v>880</v>
      </c>
      <c r="AV117" s="168">
        <f>SUM(AV106:AV115)</f>
        <v>21</v>
      </c>
      <c r="AW117" s="168">
        <f t="shared" ref="AW117:BS117" si="83">SUM(AW106:AW115)</f>
        <v>21</v>
      </c>
      <c r="AX117" s="168">
        <f t="shared" si="83"/>
        <v>21</v>
      </c>
      <c r="AY117" s="168">
        <f t="shared" si="83"/>
        <v>35</v>
      </c>
      <c r="AZ117" s="168">
        <f t="shared" si="83"/>
        <v>35</v>
      </c>
      <c r="BA117" s="168">
        <f t="shared" si="83"/>
        <v>35</v>
      </c>
      <c r="BB117" s="168">
        <f t="shared" si="83"/>
        <v>35</v>
      </c>
      <c r="BC117" s="168">
        <f t="shared" si="83"/>
        <v>35</v>
      </c>
      <c r="BD117" s="168">
        <f t="shared" si="83"/>
        <v>35</v>
      </c>
      <c r="BE117" s="168">
        <f t="shared" si="83"/>
        <v>35</v>
      </c>
      <c r="BF117" s="168">
        <f t="shared" si="83"/>
        <v>35</v>
      </c>
      <c r="BG117" s="168">
        <f t="shared" si="83"/>
        <v>35</v>
      </c>
      <c r="BH117" s="168">
        <f t="shared" si="83"/>
        <v>35</v>
      </c>
      <c r="BI117" s="168">
        <f t="shared" si="83"/>
        <v>35</v>
      </c>
      <c r="BJ117" s="168">
        <f t="shared" si="83"/>
        <v>14</v>
      </c>
      <c r="BK117" s="168">
        <f t="shared" si="83"/>
        <v>14</v>
      </c>
      <c r="BL117" s="168">
        <f t="shared" si="83"/>
        <v>14</v>
      </c>
      <c r="BM117" s="168">
        <f t="shared" si="83"/>
        <v>14</v>
      </c>
      <c r="BN117" s="168">
        <f t="shared" si="83"/>
        <v>14</v>
      </c>
      <c r="BO117" s="168">
        <f t="shared" si="83"/>
        <v>14</v>
      </c>
      <c r="BP117" s="168">
        <f t="shared" si="83"/>
        <v>14</v>
      </c>
      <c r="BQ117" s="168">
        <f t="shared" si="83"/>
        <v>14</v>
      </c>
      <c r="BR117" s="168">
        <f t="shared" si="83"/>
        <v>14</v>
      </c>
      <c r="BS117" s="168">
        <f t="shared" si="83"/>
        <v>0</v>
      </c>
      <c r="CA117" s="40" t="s">
        <v>880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880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881</v>
      </c>
      <c r="B118" s="194">
        <f>B91+B95+B99+B103</f>
        <v>3074.1765866666665</v>
      </c>
      <c r="D118" s="195">
        <f>B118/Troupeau!$B$17</f>
        <v>11.47080815920398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882</v>
      </c>
      <c r="B119" s="194">
        <f t="shared" ref="B119" si="86">B92+B96+B100+B104</f>
        <v>0</v>
      </c>
      <c r="D119" s="195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883</v>
      </c>
      <c r="B120" s="194">
        <f>B93+B97+B101+B105</f>
        <v>0</v>
      </c>
      <c r="D120" s="195">
        <f>IF(B120=0,0,B120/Troupeau!$D$17)</f>
        <v>0</v>
      </c>
    </row>
    <row r="122" spans="1:132" x14ac:dyDescent="0.25">
      <c r="A122" s="2" t="s">
        <v>884</v>
      </c>
      <c r="B122" s="194">
        <f>SUM(B118:B120)</f>
        <v>3074.1765866666665</v>
      </c>
    </row>
    <row r="123" spans="1:132" x14ac:dyDescent="0.25">
      <c r="A123" s="2" t="s">
        <v>871</v>
      </c>
      <c r="B123" s="30">
        <f>B108</f>
        <v>263</v>
      </c>
    </row>
    <row r="124" spans="1:132" x14ac:dyDescent="0.25">
      <c r="A124" s="2" t="s">
        <v>885</v>
      </c>
      <c r="B124" s="30">
        <f>B107</f>
        <v>440</v>
      </c>
    </row>
    <row r="125" spans="1:132" x14ac:dyDescent="0.25">
      <c r="A125" s="2" t="s">
        <v>886</v>
      </c>
      <c r="B125" s="30">
        <f>B112+B113</f>
        <v>220</v>
      </c>
    </row>
    <row r="126" spans="1:132" x14ac:dyDescent="0.25">
      <c r="A126" s="2" t="s">
        <v>887</v>
      </c>
      <c r="B126" s="30">
        <f>B114+B115+B116</f>
        <v>23</v>
      </c>
    </row>
    <row r="128" spans="1:132" x14ac:dyDescent="0.25">
      <c r="A128" s="2" t="s">
        <v>888</v>
      </c>
      <c r="B128" s="194">
        <f>SUM(B122:B126)</f>
        <v>4020.1765866666665</v>
      </c>
    </row>
    <row r="129" spans="1:2" x14ac:dyDescent="0.25">
      <c r="A129" s="2" t="s">
        <v>889</v>
      </c>
      <c r="B129" s="30">
        <f>IF(Scénario!K129=1,Travail!F77+Travail!F86,F86)</f>
        <v>304</v>
      </c>
    </row>
    <row r="130" spans="1:2" x14ac:dyDescent="0.25">
      <c r="A130" s="2" t="s">
        <v>890</v>
      </c>
      <c r="B130" s="194">
        <f>ROUND((B128-B129)/(Scénario!K4+Scénario!K6),0)</f>
        <v>3716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M231" zoomScale="90" zoomScaleNormal="90" workbookViewId="0">
      <selection activeCell="T246" sqref="T24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1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8" t="s">
        <v>891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9" t="s">
        <v>892</v>
      </c>
      <c r="R2" s="23" t="s">
        <v>893</v>
      </c>
      <c r="S2" s="23"/>
      <c r="T2" t="s">
        <v>894</v>
      </c>
    </row>
    <row r="3" spans="1:59" ht="18.75" x14ac:dyDescent="0.3">
      <c r="A3" s="200"/>
      <c r="B3" s="33" t="s">
        <v>895</v>
      </c>
      <c r="C3" s="33" t="s">
        <v>896</v>
      </c>
      <c r="D3" s="33" t="s">
        <v>897</v>
      </c>
      <c r="E3" s="166"/>
      <c r="F3" s="33" t="s">
        <v>898</v>
      </c>
      <c r="G3" s="33" t="s">
        <v>899</v>
      </c>
      <c r="H3" s="33" t="s">
        <v>900</v>
      </c>
      <c r="I3" s="167"/>
    </row>
    <row r="4" spans="1:59" x14ac:dyDescent="0.25">
      <c r="B4" s="166" t="str">
        <f>Troupeau!B3</f>
        <v>OL</v>
      </c>
      <c r="C4" s="166">
        <f>Troupeau!C3</f>
        <v>0</v>
      </c>
      <c r="D4" s="166">
        <f>Troupeau!D3</f>
        <v>0</v>
      </c>
      <c r="E4" s="166"/>
      <c r="F4" s="166" t="str">
        <f>+B4</f>
        <v>OL</v>
      </c>
      <c r="G4" s="166">
        <f t="shared" ref="G4:H4" si="0">+C4</f>
        <v>0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>
        <f>Troupeau!C3</f>
        <v>0</v>
      </c>
      <c r="M4" s="166">
        <f>Troupeau!D3</f>
        <v>0</v>
      </c>
      <c r="O4" s="202"/>
      <c r="R4" s="5"/>
      <c r="S4" s="5"/>
      <c r="T4" s="14" t="s">
        <v>901</v>
      </c>
      <c r="U4" s="14"/>
      <c r="V4" s="14"/>
      <c r="W4" s="14"/>
      <c r="AB4" s="2" t="s">
        <v>902</v>
      </c>
    </row>
    <row r="5" spans="1:59" x14ac:dyDescent="0.25">
      <c r="A5" t="s">
        <v>903</v>
      </c>
      <c r="B5" s="168">
        <f>T6-(T5/100*T6)</f>
        <v>50128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53336</v>
      </c>
      <c r="K5" s="168">
        <f>ROUND(B5*F5/1000,0)</f>
        <v>53336</v>
      </c>
      <c r="L5" s="168">
        <f t="shared" ref="L5:M6" si="1">ROUND(C5*G5/1000,0)</f>
        <v>0</v>
      </c>
      <c r="M5" s="168">
        <f t="shared" si="1"/>
        <v>0</v>
      </c>
      <c r="O5" s="203"/>
      <c r="R5" s="204"/>
      <c r="S5" s="204" t="s">
        <v>904</v>
      </c>
      <c r="T5" s="30">
        <f>Scénario!K16</f>
        <v>0</v>
      </c>
      <c r="U5" s="14"/>
      <c r="V5" s="14"/>
      <c r="X5" s="14" t="s">
        <v>905</v>
      </c>
      <c r="Y5" s="30">
        <f>IF(Scénario!K17=1,[1]Eco!$B$51,[1]Eco!$B$52)</f>
        <v>1064</v>
      </c>
      <c r="AB5" t="s">
        <v>906</v>
      </c>
      <c r="AC5" t="s">
        <v>17</v>
      </c>
      <c r="AD5" t="s">
        <v>280</v>
      </c>
      <c r="AF5" s="166" t="s">
        <v>907</v>
      </c>
      <c r="AG5" s="166" t="s">
        <v>908</v>
      </c>
      <c r="AH5" s="166" t="s">
        <v>909</v>
      </c>
      <c r="AI5" s="166" t="s">
        <v>910</v>
      </c>
      <c r="AJ5" s="166" t="s">
        <v>911</v>
      </c>
    </row>
    <row r="6" spans="1:59" x14ac:dyDescent="0.25">
      <c r="A6" t="s">
        <v>912</v>
      </c>
      <c r="B6" s="168">
        <f>T6-B5</f>
        <v>0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0</v>
      </c>
      <c r="K6" s="168">
        <f>ROUND(B6*F6/1000,0)</f>
        <v>0</v>
      </c>
      <c r="L6" s="168">
        <f t="shared" si="1"/>
        <v>0</v>
      </c>
      <c r="M6" s="168">
        <f t="shared" si="1"/>
        <v>0</v>
      </c>
      <c r="O6" s="203"/>
      <c r="P6" s="5"/>
      <c r="R6" s="204"/>
      <c r="S6" s="204" t="s">
        <v>913</v>
      </c>
      <c r="T6" s="30">
        <f>Troupeau!B35</f>
        <v>50128</v>
      </c>
      <c r="U6" s="14"/>
      <c r="V6" s="14"/>
      <c r="X6" s="14" t="s">
        <v>914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3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915</v>
      </c>
      <c r="B9" s="168">
        <f>Troupeau!B43</f>
        <v>168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6544</v>
      </c>
      <c r="K9" s="168">
        <f>ROUND(B9*F9,0)</f>
        <v>6544</v>
      </c>
      <c r="L9" s="168">
        <f t="shared" ref="L9:M16" si="5">ROUND(C9*G9,0)</f>
        <v>0</v>
      </c>
      <c r="M9" s="168">
        <f t="shared" si="5"/>
        <v>0</v>
      </c>
      <c r="O9" s="205">
        <v>8</v>
      </c>
      <c r="P9" s="5"/>
      <c r="S9" s="37" t="s">
        <v>916</v>
      </c>
      <c r="T9" s="36" t="s">
        <v>901</v>
      </c>
      <c r="U9" s="166" t="s">
        <v>917</v>
      </c>
      <c r="V9" s="36" t="s">
        <v>918</v>
      </c>
      <c r="W9" s="166" t="s">
        <v>919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920</v>
      </c>
      <c r="B10" s="168">
        <f>Troupeau!B39</f>
        <v>104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4051</v>
      </c>
      <c r="K10" s="168">
        <f t="shared" ref="K10:K16" si="7">ROUND(B10*F10,0)</f>
        <v>4051</v>
      </c>
      <c r="L10" s="168">
        <f t="shared" si="5"/>
        <v>0</v>
      </c>
      <c r="M10" s="168">
        <f t="shared" si="5"/>
        <v>0</v>
      </c>
      <c r="O10" s="205">
        <v>13</v>
      </c>
      <c r="P10" s="5"/>
      <c r="Q10" s="5"/>
      <c r="R10" s="5"/>
      <c r="S10" s="32" t="s">
        <v>921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922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5">
        <v>18</v>
      </c>
      <c r="P11" s="5"/>
      <c r="Q11" s="5"/>
      <c r="R11" s="32"/>
      <c r="S11" s="32" t="s">
        <v>923</v>
      </c>
      <c r="T11" s="168">
        <f>Troupeau!B37</f>
        <v>51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924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5">
        <v>23</v>
      </c>
      <c r="S12" s="32" t="s">
        <v>925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926</v>
      </c>
      <c r="B13" s="168">
        <f>T11-B14</f>
        <v>51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1352</v>
      </c>
      <c r="K13" s="168">
        <f t="shared" si="7"/>
        <v>1352</v>
      </c>
      <c r="L13" s="168">
        <f t="shared" si="5"/>
        <v>0</v>
      </c>
      <c r="M13" s="168">
        <f t="shared" si="5"/>
        <v>0</v>
      </c>
      <c r="N13"/>
      <c r="O13" s="205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927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5">
        <v>33</v>
      </c>
      <c r="Q14" s="23" t="s">
        <v>902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928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5">
        <v>38</v>
      </c>
      <c r="R15" s="5" t="s">
        <v>929</v>
      </c>
      <c r="S15" s="32" t="s">
        <v>930</v>
      </c>
      <c r="T15" s="5" t="s">
        <v>931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932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450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1350</v>
      </c>
      <c r="K16" s="168">
        <f t="shared" si="7"/>
        <v>1350</v>
      </c>
      <c r="L16" s="168">
        <f t="shared" si="5"/>
        <v>0</v>
      </c>
      <c r="M16" s="168">
        <f t="shared" si="5"/>
        <v>0</v>
      </c>
      <c r="N16"/>
      <c r="O16" s="205">
        <v>43</v>
      </c>
      <c r="Q16" s="5" t="s">
        <v>907</v>
      </c>
      <c r="R16" s="30">
        <f>'Alim -Surf'!K13</f>
        <v>-36.400000000000006</v>
      </c>
      <c r="S16" s="5">
        <f>IF(R16&gt;0,R16,0)</f>
        <v>0</v>
      </c>
      <c r="T16" s="5">
        <f>IF(R16&lt;0,-R16,0)</f>
        <v>36.400000000000006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933</v>
      </c>
      <c r="R17" s="30">
        <f>'Alim -Surf'!K14</f>
        <v>-8.1</v>
      </c>
      <c r="S17" s="5">
        <f>IF(R17&gt;0,R17,0)</f>
        <v>0</v>
      </c>
      <c r="T17" s="5">
        <f t="shared" ref="T17:T18" si="12">IF(R17&lt;0,-R17,0)</f>
        <v>8.1</v>
      </c>
      <c r="U17" s="5"/>
      <c r="V17" s="5"/>
      <c r="W17" s="5"/>
      <c r="X17" s="5"/>
      <c r="Y17" s="5"/>
      <c r="Z17" s="5"/>
      <c r="AA17" s="5"/>
      <c r="AB17" s="5"/>
      <c r="AC17" s="168" t="s">
        <v>280</v>
      </c>
      <c r="AD17" s="168" t="s">
        <v>929</v>
      </c>
      <c r="AE17" s="168" t="s">
        <v>934</v>
      </c>
      <c r="AF17" s="168" t="s">
        <v>935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936</v>
      </c>
      <c r="B18" s="166"/>
      <c r="C18" s="36" t="s">
        <v>937</v>
      </c>
      <c r="D18" s="33" t="s">
        <v>938</v>
      </c>
      <c r="E18" s="167"/>
      <c r="F18" s="36" t="s">
        <v>939</v>
      </c>
      <c r="G18" s="36" t="s">
        <v>940</v>
      </c>
      <c r="H18" s="167"/>
      <c r="I18" s="167"/>
      <c r="J18" s="5"/>
      <c r="K18" s="5"/>
      <c r="L18" s="5"/>
      <c r="M18" s="5"/>
      <c r="N18" s="5"/>
      <c r="P18" s="5"/>
      <c r="Q18" s="5" t="s">
        <v>941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907</v>
      </c>
      <c r="AC18" s="168">
        <f>SUM(AF6:AF15)</f>
        <v>0</v>
      </c>
      <c r="AD18" s="168">
        <f>'Alim -Surf'!K13</f>
        <v>-36.400000000000006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907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942</v>
      </c>
      <c r="AC19" s="168">
        <f>SUM(AG6:AI15)</f>
        <v>0</v>
      </c>
      <c r="AD19" s="168">
        <f>'Alim -Surf'!K14</f>
        <v>-8.1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942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943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911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3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3"/>
      <c r="P22"/>
      <c r="U22"/>
      <c r="V22"/>
      <c r="W22"/>
      <c r="X22"/>
      <c r="Y22"/>
      <c r="Z22" t="s">
        <v>944</v>
      </c>
      <c r="AA22"/>
      <c r="AB22"/>
      <c r="AC22"/>
      <c r="AD22"/>
      <c r="AE22" t="s">
        <v>945</v>
      </c>
      <c r="AF22"/>
      <c r="AG22"/>
      <c r="AH22"/>
      <c r="AI22" t="s">
        <v>946</v>
      </c>
      <c r="AJ22"/>
      <c r="AK22"/>
      <c r="AM22"/>
      <c r="AN22" t="s">
        <v>947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3"/>
      <c r="Q23" s="18"/>
      <c r="R23" s="5"/>
      <c r="S23" s="5"/>
      <c r="T23" s="5"/>
      <c r="Z23" s="5" t="s">
        <v>948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3"/>
      <c r="Q24" s="18"/>
      <c r="R24" s="2" t="s">
        <v>949</v>
      </c>
      <c r="S24" s="18"/>
      <c r="T24" s="5" t="s">
        <v>950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3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3"/>
      <c r="P26" s="5"/>
      <c r="R26" t="s">
        <v>951</v>
      </c>
      <c r="X26" t="s">
        <v>952</v>
      </c>
      <c r="AA26" s="166" t="s">
        <v>953</v>
      </c>
      <c r="AB26" s="166" t="s">
        <v>954</v>
      </c>
      <c r="AC26" s="166" t="s">
        <v>704</v>
      </c>
      <c r="AD26" s="5"/>
      <c r="AE26" s="166" t="s">
        <v>953</v>
      </c>
      <c r="AF26" s="166" t="s">
        <v>955</v>
      </c>
      <c r="AG26" s="166" t="s">
        <v>704</v>
      </c>
      <c r="AI26" s="166" t="s">
        <v>953</v>
      </c>
      <c r="AJ26" s="166" t="s">
        <v>956</v>
      </c>
      <c r="AK26" s="166" t="s">
        <v>704</v>
      </c>
      <c r="AL26" s="167"/>
      <c r="AN26" s="166" t="s">
        <v>953</v>
      </c>
      <c r="AO26" s="166" t="s">
        <v>957</v>
      </c>
      <c r="AP26" s="166" t="s">
        <v>704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3"/>
      <c r="P27" s="5"/>
      <c r="R27" s="166" t="s">
        <v>901</v>
      </c>
      <c r="S27" s="166" t="s">
        <v>917</v>
      </c>
      <c r="T27" s="166" t="s">
        <v>918</v>
      </c>
      <c r="U27" s="166" t="s">
        <v>919</v>
      </c>
      <c r="V27" s="166" t="s">
        <v>13</v>
      </c>
      <c r="X27" s="15" t="s">
        <v>958</v>
      </c>
      <c r="Z27" s="206" t="s">
        <v>959</v>
      </c>
      <c r="AA27" s="183">
        <f>[1]Eco!$F$4</f>
        <v>166</v>
      </c>
      <c r="AB27" s="207">
        <f>IF(X28&gt;50,50,X28)</f>
        <v>0</v>
      </c>
      <c r="AC27" s="168">
        <f>AA27*AB27</f>
        <v>0</v>
      </c>
      <c r="AD27" s="5" t="s">
        <v>960</v>
      </c>
      <c r="AE27" s="183">
        <f>[1]Eco!$F$9</f>
        <v>24.3</v>
      </c>
      <c r="AF27" s="207">
        <f>IF(X30&gt;500,500,X30)</f>
        <v>268</v>
      </c>
      <c r="AG27" s="207">
        <f>AE27*AF27</f>
        <v>6512.4000000000005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961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3"/>
      <c r="Q28" s="14" t="s">
        <v>480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480</v>
      </c>
      <c r="X28" s="168">
        <f>V28/$T$25</f>
        <v>0</v>
      </c>
      <c r="Z28" s="14" t="s">
        <v>962</v>
      </c>
      <c r="AA28" s="183">
        <f>[1]Eco!$F$5</f>
        <v>121</v>
      </c>
      <c r="AB28" s="207">
        <f>IF(X28&lt;51,0,IF(X28&gt;99,49,X28-50))</f>
        <v>0</v>
      </c>
      <c r="AC28" s="168">
        <f t="shared" ref="AC28:AC29" si="15">AA28*AB28</f>
        <v>0</v>
      </c>
      <c r="AD28" s="5" t="s">
        <v>963</v>
      </c>
      <c r="AE28" s="183">
        <f>[1]Eco!$F$10</f>
        <v>22.3</v>
      </c>
      <c r="AF28" s="207">
        <f>IF(X30&gt;500,X30-500,0)</f>
        <v>0</v>
      </c>
      <c r="AG28" s="207">
        <f>AE28*AF28</f>
        <v>0</v>
      </c>
      <c r="AJ28" s="40" t="s">
        <v>964</v>
      </c>
      <c r="AK28" s="62">
        <f>AK27*T25</f>
        <v>0</v>
      </c>
      <c r="AL28" s="36"/>
      <c r="AM28" s="14" t="s">
        <v>965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966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3"/>
      <c r="Q29" s="14" t="s">
        <v>483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483</v>
      </c>
      <c r="X29" s="168">
        <f>V29/$T$25</f>
        <v>0</v>
      </c>
      <c r="Z29" s="14" t="s">
        <v>967</v>
      </c>
      <c r="AA29" s="183">
        <f>[1]Eco!$F$6</f>
        <v>62</v>
      </c>
      <c r="AB29" s="207">
        <f>IF(X28&gt;139,40,IF(X28&gt;99,X28-99,0))</f>
        <v>0</v>
      </c>
      <c r="AC29" s="168">
        <f t="shared" si="15"/>
        <v>0</v>
      </c>
      <c r="AF29" s="40" t="s">
        <v>964</v>
      </c>
      <c r="AG29" s="62">
        <f>SUM(AG27:AG28)*T25</f>
        <v>6512.4000000000005</v>
      </c>
      <c r="AO29" s="40" t="s">
        <v>964</v>
      </c>
      <c r="AP29" s="62">
        <f>IF(Scénario!K10=1,'Calcul éco'!AP27,'Calcul éco'!AP28)*T25</f>
        <v>0</v>
      </c>
    </row>
    <row r="30" spans="1:143" x14ac:dyDescent="0.25">
      <c r="A30" s="15" t="s">
        <v>968</v>
      </c>
      <c r="B30" s="167"/>
      <c r="C30" s="168">
        <f>IF('Alim -Surf'!K27&gt;0,'Alim -Surf'!K27,0)</f>
        <v>0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0</v>
      </c>
      <c r="K30" s="168"/>
      <c r="L30" s="168"/>
      <c r="M30" s="168"/>
      <c r="N30" s="168"/>
      <c r="O30" s="203"/>
      <c r="Q30" s="14" t="s">
        <v>487</v>
      </c>
      <c r="R30" s="168">
        <f>IF(Troupeau!B$3="OL",Troupeau!B$17,0)</f>
        <v>268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268</v>
      </c>
      <c r="W30" s="14" t="s">
        <v>969</v>
      </c>
      <c r="X30" s="168">
        <f>(V30+V31)/$T$25</f>
        <v>268</v>
      </c>
      <c r="AB30" s="40" t="s">
        <v>964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1"/>
      <c r="P31"/>
      <c r="Q31" s="14" t="s">
        <v>970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08"/>
      <c r="AF31" s="208"/>
      <c r="AG31" s="209" t="s">
        <v>971</v>
      </c>
      <c r="AH31" s="209"/>
      <c r="AI31" s="209"/>
      <c r="AJ31" s="209" t="s">
        <v>972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973</v>
      </c>
      <c r="Q32" s="14" t="s">
        <v>974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974</v>
      </c>
      <c r="X32" s="168">
        <f>V32/T25</f>
        <v>0</v>
      </c>
      <c r="AE32" s="208"/>
      <c r="AF32" s="208"/>
      <c r="AG32" s="208" t="s">
        <v>975</v>
      </c>
      <c r="AH32" s="208" t="s">
        <v>976</v>
      </c>
      <c r="AI32" s="208" t="s">
        <v>171</v>
      </c>
      <c r="AJ32" s="208" t="s">
        <v>977</v>
      </c>
      <c r="AL32"/>
    </row>
    <row r="33" spans="1:143" x14ac:dyDescent="0.25">
      <c r="A33" s="2" t="s">
        <v>978</v>
      </c>
      <c r="Q33" s="166"/>
      <c r="R33" s="166"/>
      <c r="S33" s="166"/>
      <c r="T33" s="166"/>
      <c r="U33" s="166"/>
      <c r="X33" s="167"/>
      <c r="AE33" s="208"/>
      <c r="AF33" s="208" t="s">
        <v>480</v>
      </c>
      <c r="AG33" s="208">
        <f>V28</f>
        <v>0</v>
      </c>
      <c r="AH33" s="208">
        <f>ROUND(AG33*0.24,0)</f>
        <v>0</v>
      </c>
      <c r="AI33" s="208">
        <f>AG33+AH33*1.5*0.6</f>
        <v>0</v>
      </c>
      <c r="AJ33" s="208"/>
      <c r="AL33"/>
    </row>
    <row r="34" spans="1:143" x14ac:dyDescent="0.25">
      <c r="A34" t="s">
        <v>979</v>
      </c>
      <c r="J34" s="168">
        <f>AC30</f>
        <v>0</v>
      </c>
      <c r="K34" s="168"/>
      <c r="L34" s="168"/>
      <c r="M34" s="168"/>
      <c r="N34" s="168"/>
      <c r="O34" s="203"/>
      <c r="Q34" s="197" t="s">
        <v>980</v>
      </c>
      <c r="R34" s="168">
        <f>AB228</f>
        <v>0</v>
      </c>
      <c r="S34" s="166"/>
      <c r="T34" s="152"/>
      <c r="U34" s="166"/>
      <c r="X34" s="167"/>
      <c r="AB34" s="14"/>
      <c r="AE34" s="208"/>
      <c r="AF34" s="208" t="s">
        <v>483</v>
      </c>
      <c r="AG34" s="208">
        <f t="shared" ref="AG34:AG35" si="18">V29</f>
        <v>0</v>
      </c>
      <c r="AH34" s="208">
        <f>ROUND(AG34*0.3,0)</f>
        <v>0</v>
      </c>
      <c r="AI34" s="208">
        <f t="shared" ref="AI34" si="19">AG34+AH34*1.5*0.6</f>
        <v>0</v>
      </c>
      <c r="AJ34" s="208"/>
      <c r="AL34"/>
    </row>
    <row r="35" spans="1:143" x14ac:dyDescent="0.25">
      <c r="A35" t="s">
        <v>981</v>
      </c>
      <c r="J35" s="168">
        <f>AP29</f>
        <v>0</v>
      </c>
      <c r="K35" s="168"/>
      <c r="L35" s="168"/>
      <c r="M35" s="168"/>
      <c r="N35" s="168"/>
      <c r="O35" s="203"/>
      <c r="X35" s="2" t="s">
        <v>982</v>
      </c>
      <c r="Y35" s="14" t="s">
        <v>983</v>
      </c>
      <c r="Z35" s="62" t="str">
        <f>Scénario!K9</f>
        <v>M1</v>
      </c>
      <c r="AE35" s="208"/>
      <c r="AF35" s="208" t="s">
        <v>487</v>
      </c>
      <c r="AG35" s="208">
        <f t="shared" si="18"/>
        <v>268</v>
      </c>
      <c r="AH35" s="208"/>
      <c r="AI35" s="208">
        <f>AG35*0.15</f>
        <v>40.199999999999996</v>
      </c>
      <c r="AJ35" s="208"/>
      <c r="AL35"/>
    </row>
    <row r="36" spans="1:143" x14ac:dyDescent="0.25">
      <c r="A36" t="s">
        <v>984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985</v>
      </c>
      <c r="Z36" s="62" t="str">
        <f>IF(Y53&gt;50,CONCATENATE(Z35,"O"),Z35)</f>
        <v>M1O</v>
      </c>
      <c r="AA36" s="5"/>
      <c r="AB36" s="14" t="s">
        <v>986</v>
      </c>
      <c r="AC36" s="183">
        <f>VLOOKUP(Z36,[1]Eco!$A$36:$B$45,2)</f>
        <v>258</v>
      </c>
      <c r="AD36" s="5"/>
      <c r="AE36" s="208"/>
      <c r="AF36" s="210" t="s">
        <v>987</v>
      </c>
      <c r="AG36" s="208"/>
      <c r="AH36" s="208"/>
      <c r="AI36" s="208">
        <f>SUM(AI33:AI35)</f>
        <v>40.199999999999996</v>
      </c>
      <c r="AJ36" s="210">
        <f>ROUND(AI36/V46,2)</f>
        <v>1.65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988</v>
      </c>
      <c r="J37" s="168">
        <f>AG29</f>
        <v>6512.4000000000005</v>
      </c>
      <c r="K37" s="168"/>
      <c r="L37" s="168"/>
      <c r="M37" s="168"/>
      <c r="N37" s="168"/>
      <c r="O37" s="203"/>
      <c r="S37" s="40" t="s">
        <v>989</v>
      </c>
      <c r="T37" t="s">
        <v>990</v>
      </c>
      <c r="U37" t="s">
        <v>991</v>
      </c>
      <c r="V37" t="s">
        <v>992</v>
      </c>
      <c r="X37" s="167"/>
      <c r="AB37" s="166" t="s">
        <v>993</v>
      </c>
      <c r="AC37" s="166" t="s">
        <v>953</v>
      </c>
      <c r="AD37" s="166" t="s">
        <v>704</v>
      </c>
      <c r="AE37" s="211" t="s">
        <v>994</v>
      </c>
      <c r="AF37" s="208"/>
      <c r="AG37" s="208"/>
      <c r="AH37" s="208"/>
      <c r="AI37" s="208"/>
      <c r="AJ37" s="209" t="s">
        <v>995</v>
      </c>
      <c r="AL37"/>
    </row>
    <row r="38" spans="1:143" x14ac:dyDescent="0.25">
      <c r="A38" t="s">
        <v>996</v>
      </c>
      <c r="J38" s="168">
        <f>AK28</f>
        <v>0</v>
      </c>
      <c r="K38" s="168"/>
      <c r="L38" s="168"/>
      <c r="M38" s="168"/>
      <c r="N38" s="168"/>
      <c r="O38" s="203"/>
      <c r="S38" s="14" t="s">
        <v>997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998</v>
      </c>
      <c r="Z38" s="30">
        <f>V46</f>
        <v>24.4</v>
      </c>
      <c r="AA38" s="14" t="s">
        <v>999</v>
      </c>
      <c r="AB38" s="168">
        <f>IF(Z39&gt;25, 25,Z39)</f>
        <v>24.4</v>
      </c>
      <c r="AC38" s="168">
        <f>AC40+AC36</f>
        <v>328</v>
      </c>
      <c r="AD38" s="168">
        <f>AB38*AC38</f>
        <v>8003.2</v>
      </c>
      <c r="AE38" s="210">
        <f>IF($AJ$40=0,AB38*$AC$40,AD38*$AJ$40/100)</f>
        <v>8003.2</v>
      </c>
      <c r="AF38" s="208"/>
      <c r="AG38" s="208"/>
      <c r="AH38" s="208"/>
      <c r="AI38" s="212" t="s">
        <v>1000</v>
      </c>
      <c r="AJ38" s="210">
        <f>VLOOKUP(Z35,[1]Eco!$I$37:$K$41,2)</f>
        <v>1.7</v>
      </c>
      <c r="AL38"/>
    </row>
    <row r="39" spans="1:143" x14ac:dyDescent="0.25">
      <c r="A39" t="s">
        <v>1001</v>
      </c>
      <c r="B39" s="30">
        <f>R34</f>
        <v>0</v>
      </c>
      <c r="C39" s="213">
        <f>[1]Eco!$B$17</f>
        <v>141</v>
      </c>
      <c r="J39" s="168">
        <f>B39*C39</f>
        <v>0</v>
      </c>
      <c r="K39" s="168"/>
      <c r="L39" s="168"/>
      <c r="M39" s="168"/>
      <c r="N39" s="168"/>
      <c r="O39" s="203"/>
      <c r="S39" s="14" t="s">
        <v>270</v>
      </c>
      <c r="T39" s="168">
        <f>'Alim -Surf'!O7</f>
        <v>12.9</v>
      </c>
      <c r="U39" s="168">
        <f>[1]Eco!$B$20/100</f>
        <v>1</v>
      </c>
      <c r="V39" s="168">
        <f t="shared" ref="V39:V41" si="20">T39*U39</f>
        <v>12.9</v>
      </c>
      <c r="Y39" s="14" t="s">
        <v>1002</v>
      </c>
      <c r="Z39" s="30">
        <f>Z38/T25</f>
        <v>24.4</v>
      </c>
      <c r="AA39" s="14" t="s">
        <v>1003</v>
      </c>
      <c r="AB39" s="168">
        <f>IF(Z39&gt;50,25,IF(Z39&gt;25,Z39-25,0))</f>
        <v>0</v>
      </c>
      <c r="AC39" s="168">
        <f>AC40+0.66*AC36</f>
        <v>240.28</v>
      </c>
      <c r="AD39" s="168">
        <f t="shared" ref="AD39:AD40" si="21">AB39*AC39</f>
        <v>0</v>
      </c>
      <c r="AE39" s="210">
        <f>IF($AJ$40=0,AB39*$AC$40,AD39*$AJ$40/100)</f>
        <v>0</v>
      </c>
      <c r="AF39" s="208"/>
      <c r="AG39" s="208"/>
      <c r="AH39" s="208"/>
      <c r="AI39" s="212" t="s">
        <v>1004</v>
      </c>
      <c r="AJ39" s="210">
        <f>VLOOKUP(Z36,[1]Eco!$I$37:$K$41,3)</f>
        <v>2.5</v>
      </c>
      <c r="AL39"/>
    </row>
    <row r="40" spans="1:143" x14ac:dyDescent="0.25">
      <c r="A40" t="s">
        <v>543</v>
      </c>
      <c r="B40" s="30">
        <f>Scénario!K38</f>
        <v>0</v>
      </c>
      <c r="C40" s="213">
        <f>[1]Eco!$B$18</f>
        <v>35</v>
      </c>
      <c r="J40" s="168">
        <f>B40*C40</f>
        <v>0</v>
      </c>
      <c r="K40" s="168"/>
      <c r="L40" s="168"/>
      <c r="M40" s="168"/>
      <c r="N40" s="168"/>
      <c r="O40" s="203"/>
      <c r="S40" s="14" t="s">
        <v>271</v>
      </c>
      <c r="T40" s="168">
        <f>'Alim -Surf'!O29</f>
        <v>5.5</v>
      </c>
      <c r="U40" s="168">
        <f>[1]Eco!$B$21/100</f>
        <v>1</v>
      </c>
      <c r="V40" s="168">
        <f t="shared" si="20"/>
        <v>5.5</v>
      </c>
      <c r="AA40" s="14" t="s">
        <v>1005</v>
      </c>
      <c r="AB40" s="168">
        <f>IF(Z39&gt;75,25,IF(Z39&gt;50,Z39-50,0))</f>
        <v>0</v>
      </c>
      <c r="AC40" s="183">
        <f>[1]Eco!$B$34</f>
        <v>70</v>
      </c>
      <c r="AD40" s="168">
        <f t="shared" si="21"/>
        <v>0</v>
      </c>
      <c r="AE40" s="210">
        <f>IF($AJ$40=0,AB40*$AC$40,AD40*$AJ$40/100)</f>
        <v>0</v>
      </c>
      <c r="AF40" s="208"/>
      <c r="AG40" s="208"/>
      <c r="AH40" s="208"/>
      <c r="AI40" s="212" t="s">
        <v>1006</v>
      </c>
      <c r="AJ40" s="210">
        <f>IF(AJ36&lt;=AJ38,100,IF(AJ36&lt;=AJ39,90,0))</f>
        <v>100</v>
      </c>
      <c r="AL40"/>
    </row>
    <row r="41" spans="1:143" x14ac:dyDescent="0.25">
      <c r="A41" s="23" t="s">
        <v>1007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3"/>
      <c r="S41" s="14" t="s">
        <v>272</v>
      </c>
      <c r="T41" s="168">
        <f>'Alim -Surf'!O51</f>
        <v>10</v>
      </c>
      <c r="U41" s="168">
        <f>[1]Eco!$B$22/100</f>
        <v>0.6</v>
      </c>
      <c r="V41" s="168">
        <f t="shared" si="20"/>
        <v>6</v>
      </c>
      <c r="AC41" s="40" t="s">
        <v>964</v>
      </c>
      <c r="AD41" s="62">
        <f>SUM(AD38:AD40)*T25</f>
        <v>8003.2</v>
      </c>
      <c r="AE41" s="214">
        <f>ROUND(SUM(AE38:AE40)*T25,0)</f>
        <v>8003</v>
      </c>
      <c r="AF41" s="208"/>
      <c r="AG41" s="208"/>
      <c r="AH41" s="208"/>
      <c r="AI41" s="208"/>
      <c r="AJ41" s="208"/>
      <c r="AL41"/>
    </row>
    <row r="42" spans="1:143" x14ac:dyDescent="0.25">
      <c r="A42" t="s">
        <v>1008</v>
      </c>
      <c r="B42" s="30">
        <f>V46</f>
        <v>24.4</v>
      </c>
      <c r="C42" s="213">
        <f>[1]Eco!$B$24</f>
        <v>97</v>
      </c>
      <c r="J42" s="168">
        <f>B42*C42</f>
        <v>2366.7999999999997</v>
      </c>
      <c r="K42" s="168"/>
      <c r="L42" s="168"/>
      <c r="M42" s="168"/>
      <c r="N42" s="168"/>
      <c r="O42" s="203"/>
      <c r="R42" s="215"/>
      <c r="S42" s="204" t="s">
        <v>1009</v>
      </c>
      <c r="T42" s="168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1010</v>
      </c>
      <c r="AG42" s="216" t="s">
        <v>1011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1012</v>
      </c>
      <c r="B43" s="30">
        <f>IF(Z39&gt;52,52,Z39)*T25</f>
        <v>24.4</v>
      </c>
      <c r="C43" s="213">
        <f>[1]Eco!$B$31</f>
        <v>49</v>
      </c>
      <c r="D43" s="5"/>
      <c r="E43" s="5"/>
      <c r="F43" s="5"/>
      <c r="G43" s="5"/>
      <c r="H43" s="5"/>
      <c r="I43" s="5"/>
      <c r="J43" s="168">
        <f>B43*C43</f>
        <v>1195.5999999999999</v>
      </c>
      <c r="K43" s="168"/>
      <c r="L43" s="168"/>
      <c r="M43" s="168"/>
      <c r="N43" s="168"/>
      <c r="O43" s="203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1013</v>
      </c>
      <c r="B44" s="30">
        <f>B42</f>
        <v>24.4</v>
      </c>
      <c r="C44" s="213">
        <f>[1]Eco!$B$29</f>
        <v>67</v>
      </c>
      <c r="D44" s="5"/>
      <c r="E44" s="5"/>
      <c r="F44" s="5"/>
      <c r="G44" s="5"/>
      <c r="H44" s="5"/>
      <c r="I44" s="5"/>
      <c r="J44" s="168">
        <f>B44*C44</f>
        <v>1634.8</v>
      </c>
      <c r="K44" s="168"/>
      <c r="L44" s="168"/>
      <c r="M44" s="168"/>
      <c r="N44" s="168"/>
      <c r="O44" s="203"/>
      <c r="U44" s="40" t="s">
        <v>1014</v>
      </c>
      <c r="V44" s="62">
        <f>SUM(V38:V41)-T42</f>
        <v>24.4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1015</v>
      </c>
      <c r="J45" s="210">
        <f>IF(Scénario!K9=0,0,AE41)</f>
        <v>8003</v>
      </c>
      <c r="K45" s="168"/>
      <c r="L45" s="168"/>
      <c r="M45" s="168"/>
      <c r="N45" s="168"/>
      <c r="O45" s="203"/>
      <c r="U45" s="14" t="s">
        <v>1016</v>
      </c>
      <c r="V45" s="168">
        <f>S55</f>
        <v>0</v>
      </c>
      <c r="X45" s="216" t="s">
        <v>1017</v>
      </c>
      <c r="Y45" s="216"/>
      <c r="Z45" s="216"/>
      <c r="AA45" s="216"/>
      <c r="AB45" s="216"/>
      <c r="AC45" s="216"/>
      <c r="AD45" s="216"/>
      <c r="AE45" s="216"/>
      <c r="AF45" s="218" t="s">
        <v>553</v>
      </c>
      <c r="AG45" s="216"/>
      <c r="AH45" s="216" t="s">
        <v>1018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567</v>
      </c>
      <c r="BH45" s="216"/>
      <c r="BI45" s="216" t="s">
        <v>1018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574</v>
      </c>
      <c r="CJ45" s="218"/>
      <c r="CK45" s="218" t="s">
        <v>1018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1019</v>
      </c>
      <c r="DL45" s="218"/>
      <c r="DM45" s="218" t="s">
        <v>1018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1020</v>
      </c>
      <c r="B46"/>
      <c r="C46"/>
      <c r="D46"/>
      <c r="E46"/>
      <c r="F46"/>
      <c r="G46"/>
      <c r="H46"/>
      <c r="I46"/>
      <c r="J46" s="168">
        <f>V263</f>
        <v>3617</v>
      </c>
      <c r="K46" s="168"/>
      <c r="L46" s="168"/>
      <c r="M46" s="168"/>
      <c r="N46" s="168"/>
      <c r="O46" s="219"/>
      <c r="P46"/>
      <c r="Q46"/>
      <c r="R46"/>
      <c r="S46"/>
      <c r="T46"/>
      <c r="U46" s="40" t="s">
        <v>1021</v>
      </c>
      <c r="V46" s="62">
        <f>V44+V45</f>
        <v>24.4</v>
      </c>
      <c r="W46"/>
      <c r="X46" s="216"/>
      <c r="Y46" s="220" t="s">
        <v>901</v>
      </c>
      <c r="Z46" s="220" t="s">
        <v>917</v>
      </c>
      <c r="AA46" s="220" t="s">
        <v>918</v>
      </c>
      <c r="AB46" s="220" t="s">
        <v>919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66"/>
      <c r="EL46" s="166"/>
      <c r="EM46" s="166"/>
    </row>
    <row r="47" spans="1:143" x14ac:dyDescent="0.25">
      <c r="X47" s="217" t="s">
        <v>480</v>
      </c>
      <c r="Y47" s="220">
        <f>IF(Troupeau!B$3="BV",Troupeau!B$49,0)</f>
        <v>0</v>
      </c>
      <c r="Z47" s="220">
        <f>IF(Troupeau!C$3="BV",Troupeau!C$49,0)</f>
        <v>0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0</v>
      </c>
      <c r="AD47" s="216"/>
      <c r="AE47" s="216"/>
      <c r="AF47" s="223" t="s">
        <v>1022</v>
      </c>
      <c r="AG47" s="216" t="str">
        <f>CdTrp1!A39</f>
        <v>laitiéres</v>
      </c>
      <c r="AH47" s="220">
        <f>CdTrp1!B39</f>
        <v>27.014400000000002</v>
      </c>
      <c r="AI47" s="220">
        <f>CdTrp1!C39</f>
        <v>27.014400000000002</v>
      </c>
      <c r="AJ47" s="220">
        <f>CdTrp1!D39</f>
        <v>27.014400000000002</v>
      </c>
      <c r="AK47" s="220">
        <f>CdTrp1!E39</f>
        <v>27.014400000000002</v>
      </c>
      <c r="AL47" s="220">
        <f>CdTrp1!F39</f>
        <v>35.568960000000004</v>
      </c>
      <c r="AM47" s="220">
        <f>CdTrp1!G39</f>
        <v>35.418880000000001</v>
      </c>
      <c r="AN47" s="220">
        <f>CdTrp1!H39</f>
        <v>35.268799999999999</v>
      </c>
      <c r="AO47" s="220">
        <f>CdTrp1!I39</f>
        <v>35.118720000000003</v>
      </c>
      <c r="AP47" s="220">
        <f>CdTrp1!J39</f>
        <v>32.567360000000001</v>
      </c>
      <c r="AQ47" s="220">
        <f>CdTrp1!K39</f>
        <v>32.417280000000005</v>
      </c>
      <c r="AR47" s="220">
        <f>CdTrp1!L39</f>
        <v>32.267200000000003</v>
      </c>
      <c r="AS47" s="220">
        <f>CdTrp1!M39</f>
        <v>31.967040000000004</v>
      </c>
      <c r="AT47" s="220">
        <f>CdTrp1!N39</f>
        <v>31.666880000000003</v>
      </c>
      <c r="AU47" s="220">
        <f>CdTrp1!O39</f>
        <v>31.366720000000004</v>
      </c>
      <c r="AV47" s="220">
        <f>CdTrp1!P39</f>
        <v>31.666880000000003</v>
      </c>
      <c r="AW47" s="220">
        <f>CdTrp1!Q39</f>
        <v>31.666880000000003</v>
      </c>
      <c r="AX47" s="220">
        <f>CdTrp1!R39</f>
        <v>31.666880000000003</v>
      </c>
      <c r="AY47" s="220">
        <f>CdTrp1!S39</f>
        <v>29.265600000000003</v>
      </c>
      <c r="AZ47" s="220">
        <f>CdTrp1!T39</f>
        <v>29.265600000000003</v>
      </c>
      <c r="BA47" s="220">
        <f>CdTrp1!U39</f>
        <v>29.265600000000003</v>
      </c>
      <c r="BB47" s="220">
        <f>CdTrp1!V39</f>
        <v>29.265600000000003</v>
      </c>
      <c r="BC47" s="220">
        <f>CdTrp1!W39</f>
        <v>28.515200000000004</v>
      </c>
      <c r="BD47" s="220">
        <f>CdTrp1!X39</f>
        <v>28.515200000000004</v>
      </c>
      <c r="BE47" s="220">
        <f>CdTrp1!Y39</f>
        <v>28.515200000000004</v>
      </c>
      <c r="BF47" s="216"/>
      <c r="BG47" s="217" t="s">
        <v>1022</v>
      </c>
      <c r="BH47" s="216" t="str">
        <f>CdTrp2!A39</f>
        <v>lot1</v>
      </c>
      <c r="BI47" s="216">
        <f>CdTrp2!B39</f>
        <v>0</v>
      </c>
      <c r="BJ47" s="216">
        <f>CdTrp2!C39</f>
        <v>0</v>
      </c>
      <c r="BK47" s="216">
        <f>CdTrp2!D39</f>
        <v>0</v>
      </c>
      <c r="BL47" s="216">
        <f>CdTrp2!E39</f>
        <v>0</v>
      </c>
      <c r="BM47" s="216">
        <f>CdTrp2!F39</f>
        <v>0</v>
      </c>
      <c r="BN47" s="216">
        <f>CdTrp2!G39</f>
        <v>0</v>
      </c>
      <c r="BO47" s="216">
        <f>CdTrp2!H39</f>
        <v>0</v>
      </c>
      <c r="BP47" s="216">
        <f>CdTrp2!I39</f>
        <v>0</v>
      </c>
      <c r="BQ47" s="216">
        <f>CdTrp2!J39</f>
        <v>0</v>
      </c>
      <c r="BR47" s="216">
        <f>CdTrp2!K39</f>
        <v>0</v>
      </c>
      <c r="BS47" s="216">
        <f>CdTrp2!L39</f>
        <v>0</v>
      </c>
      <c r="BT47" s="216">
        <f>CdTrp2!M39</f>
        <v>0</v>
      </c>
      <c r="BU47" s="216">
        <f>CdTrp2!N39</f>
        <v>0</v>
      </c>
      <c r="BV47" s="216">
        <f>CdTrp2!O39</f>
        <v>0</v>
      </c>
      <c r="BW47" s="216">
        <f>CdTrp2!P39</f>
        <v>0</v>
      </c>
      <c r="BX47" s="216">
        <f>CdTrp2!Q39</f>
        <v>0</v>
      </c>
      <c r="BY47" s="216">
        <f>CdTrp2!R39</f>
        <v>0</v>
      </c>
      <c r="BZ47" s="216">
        <f>CdTrp2!S39</f>
        <v>0</v>
      </c>
      <c r="CA47" s="216">
        <f>CdTrp2!T39</f>
        <v>0</v>
      </c>
      <c r="CB47" s="216">
        <f>CdTrp2!U39</f>
        <v>0</v>
      </c>
      <c r="CC47" s="216">
        <f>CdTrp2!V39</f>
        <v>0</v>
      </c>
      <c r="CD47" s="216">
        <f>CdTrp2!W39</f>
        <v>0</v>
      </c>
      <c r="CE47" s="216">
        <f>CdTrp2!X39</f>
        <v>0</v>
      </c>
      <c r="CF47" s="216">
        <f>CdTrp2!Y39</f>
        <v>0</v>
      </c>
      <c r="CG47" s="216"/>
      <c r="CH47" s="216"/>
      <c r="CI47" s="217" t="s">
        <v>1022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1022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1023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90042.6</v>
      </c>
      <c r="K48" s="225"/>
      <c r="L48" s="225"/>
      <c r="M48" s="225"/>
      <c r="N48" s="225"/>
      <c r="O48" s="226"/>
      <c r="X48" s="217" t="s">
        <v>483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2" t="str">
        <f>CdTrp1!A40</f>
        <v>agnelles</v>
      </c>
      <c r="AH48" s="220">
        <f>CdTrp1!B40</f>
        <v>9.0047999999999995</v>
      </c>
      <c r="AI48" s="220">
        <f>CdTrp1!C40</f>
        <v>9.0047999999999995</v>
      </c>
      <c r="AJ48" s="220">
        <f>CdTrp1!D40</f>
        <v>9.0047999999999995</v>
      </c>
      <c r="AK48" s="220">
        <f>CdTrp1!E40</f>
        <v>9.0047999999999995</v>
      </c>
      <c r="AL48" s="220">
        <f>CdTrp1!F40</f>
        <v>1.8009599999999999</v>
      </c>
      <c r="AM48" s="220">
        <f>CdTrp1!G40</f>
        <v>1.8009599999999999</v>
      </c>
      <c r="AN48" s="220">
        <f>CdTrp1!H40</f>
        <v>1.8009599999999999</v>
      </c>
      <c r="AO48" s="220">
        <f>CdTrp1!I40</f>
        <v>1.8009599999999999</v>
      </c>
      <c r="AP48" s="220">
        <f>CdTrp1!J40</f>
        <v>1.8009599999999999</v>
      </c>
      <c r="AQ48" s="220">
        <f>CdTrp1!K40</f>
        <v>1.8009599999999999</v>
      </c>
      <c r="AR48" s="220">
        <f>CdTrp1!L40</f>
        <v>4.5023999999999997</v>
      </c>
      <c r="AS48" s="220">
        <f>CdTrp1!M40</f>
        <v>4.5023999999999997</v>
      </c>
      <c r="AT48" s="220">
        <f>CdTrp1!N40</f>
        <v>4.5023999999999997</v>
      </c>
      <c r="AU48" s="220">
        <f>CdTrp1!O40</f>
        <v>4.5023999999999997</v>
      </c>
      <c r="AV48" s="220">
        <f>IF(CdTrp1!B76=1,1,IF(CdTrp1!B76=2,2,IF(CdTrp1!B76=3,2,0)))</f>
        <v>0</v>
      </c>
      <c r="AW48" s="220">
        <f>IF(CdTrp1!C76=1,1,IF(CdTrp1!C76=2,2,IF(CdTrp1!C76=3,2,0)))</f>
        <v>0</v>
      </c>
      <c r="AX48" s="220">
        <f>IF(CdTrp1!D76=1,1,IF(CdTrp1!D76=2,2,IF(CdTrp1!D76=3,2,0)))</f>
        <v>0</v>
      </c>
      <c r="AY48" s="220">
        <f>IF(CdTrp1!E76=1,1,IF(CdTrp1!E76=2,2,IF(CdTrp1!E76=3,2,0)))</f>
        <v>1</v>
      </c>
      <c r="AZ48" s="220">
        <f>IF(CdTrp1!F76=1,1,IF(CdTrp1!F76=2,2,IF(CdTrp1!F76=3,2,0)))</f>
        <v>1</v>
      </c>
      <c r="BA48" s="220">
        <f>IF(CdTrp1!G76=1,1,IF(CdTrp1!G76=2,2,IF(CdTrp1!G76=3,2,0)))</f>
        <v>1</v>
      </c>
      <c r="BB48" s="220">
        <f>IF(CdTrp1!H76=1,1,IF(CdTrp1!H76=2,2,IF(CdTrp1!H76=3,2,0)))</f>
        <v>1</v>
      </c>
      <c r="BC48" s="220">
        <f>IF(CdTrp1!I76=1,1,IF(CdTrp1!I76=2,2,IF(CdTrp1!I76=3,2,0)))</f>
        <v>1</v>
      </c>
      <c r="BD48" s="220">
        <f>IF(CdTrp1!J76=1,1,IF(CdTrp1!J76=2,2,IF(CdTrp1!J76=3,2,0)))</f>
        <v>1</v>
      </c>
      <c r="BE48" s="220">
        <f>IF(CdTrp1!K76=1,1,IF(CdTrp1!K76=2,2,IF(CdTrp1!K76=3,2,0)))</f>
        <v>1</v>
      </c>
      <c r="BF48" s="220">
        <f>IF(CdTrp1!L76=1,1,IF(CdTrp1!L76=2,2,IF(CdTrp1!L76=3,2,0)))</f>
        <v>1</v>
      </c>
      <c r="BG48" s="220">
        <f>IF(CdTrp1!M76=1,1,IF(CdTrp1!M76=2,2,IF(CdTrp1!M76=3,2,0)))</f>
        <v>1</v>
      </c>
      <c r="BH48" s="220">
        <f>IF(CdTrp1!N76=1,1,IF(CdTrp1!N76=2,2,IF(CdTrp1!N76=3,2,0)))</f>
        <v>1</v>
      </c>
      <c r="BI48" s="220">
        <f>IF(CdTrp1!O76=1,1,IF(CdTrp1!O76=2,2,IF(CdTrp1!O76=3,2,0)))</f>
        <v>1</v>
      </c>
      <c r="BJ48" s="220">
        <f>IF(CdTrp1!P76=1,1,IF(CdTrp1!P76=2,2,IF(CdTrp1!P76=3,2,0)))</f>
        <v>1</v>
      </c>
      <c r="BK48" s="220">
        <f>IF(CdTrp1!Q76=1,1,IF(CdTrp1!Q76=2,2,IF(CdTrp1!Q76=3,2,0)))</f>
        <v>1</v>
      </c>
      <c r="BL48" s="220">
        <f>IF(CdTrp1!R76=1,1,IF(CdTrp1!R76=2,2,IF(CdTrp1!R76=3,2,0)))</f>
        <v>1</v>
      </c>
      <c r="BM48" s="220">
        <f>IF(CdTrp1!S76=1,1,IF(CdTrp1!S76=2,2,IF(CdTrp1!S76=3,2,0)))</f>
        <v>1</v>
      </c>
      <c r="BN48" s="220">
        <f>IF(CdTrp1!T76=1,1,IF(CdTrp1!T76=2,2,IF(CdTrp1!T76=3,2,0)))</f>
        <v>1</v>
      </c>
      <c r="BO48" s="220">
        <f>IF(CdTrp1!U76=1,1,IF(CdTrp1!U76=2,2,IF(CdTrp1!U76=3,2,0)))</f>
        <v>1</v>
      </c>
      <c r="BP48" s="220">
        <f>IF(CdTrp1!V76=1,1,IF(CdTrp1!V76=2,2,IF(CdTrp1!V76=3,2,0)))</f>
        <v>1</v>
      </c>
      <c r="BQ48" s="220">
        <f>IF(CdTrp1!W76=1,1,IF(CdTrp1!W76=2,2,IF(CdTrp1!W76=3,2,0)))</f>
        <v>1</v>
      </c>
      <c r="BR48" s="220">
        <f>IF(CdTrp1!X76=1,1,IF(CdTrp1!X76=2,2,IF(CdTrp1!X76=3,2,0)))</f>
        <v>1</v>
      </c>
      <c r="BS48" s="220">
        <f>IF(CdTrp1!Y76=1,1,IF(CdTrp1!Y76=2,2,IF(CdTrp1!Y76=3,2,0)))</f>
        <v>0</v>
      </c>
      <c r="BT48" s="216">
        <f>CdTrp2!M40</f>
        <v>0</v>
      </c>
      <c r="BU48" s="216">
        <f>CdTrp2!N40</f>
        <v>0</v>
      </c>
      <c r="BV48" s="216">
        <f>CdTrp2!O40</f>
        <v>0</v>
      </c>
      <c r="BW48" s="216">
        <f>CdTrp2!P40</f>
        <v>0</v>
      </c>
      <c r="BX48" s="216">
        <f>CdTrp2!Q40</f>
        <v>0</v>
      </c>
      <c r="BY48" s="216">
        <f>CdTrp2!R40</f>
        <v>0</v>
      </c>
      <c r="BZ48" s="216">
        <f>CdTrp2!S40</f>
        <v>0</v>
      </c>
      <c r="CA48" s="216">
        <f>CdTrp2!T40</f>
        <v>0</v>
      </c>
      <c r="CB48" s="216">
        <f>IF(CdTrp2!B76=1,1,IF(CdTrp2!B76=2,2,IF(CdTrp2!B76=3,2,0)))</f>
        <v>0</v>
      </c>
      <c r="CC48" s="216">
        <f>IF(CdTrp2!C76=1,1,IF(CdTrp2!C76=2,2,IF(CdTrp2!C76=3,2,0)))</f>
        <v>0</v>
      </c>
      <c r="CD48" s="216">
        <f>IF(CdTrp2!D76=1,1,IF(CdTrp2!D76=2,2,IF(CdTrp2!D76=3,2,0)))</f>
        <v>0</v>
      </c>
      <c r="CE48" s="216">
        <f>IF(CdTrp2!E76=1,1,IF(CdTrp2!E76=2,2,IF(CdTrp2!E76=3,2,0)))</f>
        <v>0</v>
      </c>
      <c r="CF48" s="216">
        <f>IF(CdTrp2!F76=1,1,IF(CdTrp2!F76=2,2,IF(CdTrp2!F76=3,2,0)))</f>
        <v>0</v>
      </c>
      <c r="CG48" s="216">
        <f>IF(CdTrp2!G76=1,1,IF(CdTrp2!G76=2,2,IF(CdTrp2!G76=3,2,0)))</f>
        <v>0</v>
      </c>
      <c r="CH48" s="216">
        <f>IF(CdTrp2!H76=1,1,IF(CdTrp2!H76=2,2,IF(CdTrp2!H76=3,2,0)))</f>
        <v>0</v>
      </c>
      <c r="CI48" s="216">
        <f>IF(CdTrp2!I76=1,1,IF(CdTrp2!I76=2,2,IF(CdTrp2!I76=3,2,0)))</f>
        <v>0</v>
      </c>
      <c r="CJ48" s="216">
        <f>IF(CdTrp2!J76=1,1,IF(CdTrp2!J76=2,2,IF(CdTrp2!J76=3,2,0)))</f>
        <v>0</v>
      </c>
      <c r="CK48" s="216">
        <f>IF(CdTrp2!K76=1,1,IF(CdTrp2!K76=2,2,IF(CdTrp2!K76=3,2,0)))</f>
        <v>0</v>
      </c>
      <c r="CL48" s="216">
        <f>IF(CdTrp2!L76=1,1,IF(CdTrp2!L76=2,2,IF(CdTrp2!L76=3,2,0)))</f>
        <v>0</v>
      </c>
      <c r="CM48" s="216">
        <f>IF(CdTrp2!M76=1,1,IF(CdTrp2!M76=2,2,IF(CdTrp2!M76=3,2,0)))</f>
        <v>0</v>
      </c>
      <c r="CN48" s="216">
        <f>IF(CdTrp2!N76=1,1,IF(CdTrp2!N76=2,2,IF(CdTrp2!N76=3,2,0)))</f>
        <v>0</v>
      </c>
      <c r="CO48" s="216">
        <f>IF(CdTrp2!O76=1,1,IF(CdTrp2!O76=2,2,IF(CdTrp2!O76=3,2,0)))</f>
        <v>0</v>
      </c>
      <c r="CP48" s="216">
        <f>IF(CdTrp2!P76=1,1,IF(CdTrp2!P76=2,2,IF(CdTrp2!P76=3,2,0)))</f>
        <v>0</v>
      </c>
      <c r="CQ48" s="216">
        <f>IF(CdTrp2!Q76=1,1,IF(CdTrp2!Q76=2,2,IF(CdTrp2!Q76=3,2,0)))</f>
        <v>0</v>
      </c>
      <c r="CR48" s="216">
        <f>IF(CdTrp2!R76=1,1,IF(CdTrp2!R76=2,2,IF(CdTrp2!R76=3,2,0)))</f>
        <v>0</v>
      </c>
      <c r="CS48" s="216">
        <f>IF(CdTrp2!S76=1,1,IF(CdTrp2!S76=2,2,IF(CdTrp2!S76=3,2,0)))</f>
        <v>0</v>
      </c>
      <c r="CT48" s="216">
        <f>IF(CdTrp2!T76=1,1,IF(CdTrp2!T76=2,2,IF(CdTrp2!T76=3,2,0)))</f>
        <v>0</v>
      </c>
      <c r="CU48" s="216">
        <f>IF(CdTrp2!U76=1,1,IF(CdTrp2!U76=2,2,IF(CdTrp2!U76=3,2,0)))</f>
        <v>0</v>
      </c>
      <c r="CV48" s="216">
        <f>IF(CdTrp2!V76=1,1,IF(CdTrp2!V76=2,2,IF(CdTrp2!V76=3,2,0)))</f>
        <v>0</v>
      </c>
      <c r="CW48" s="216">
        <f>IF(CdTrp2!W76=1,1,IF(CdTrp2!W76=2,2,IF(CdTrp2!W76=3,2,0)))</f>
        <v>0</v>
      </c>
      <c r="CX48" s="216">
        <f>IF(CdTrp2!X76=1,1,IF(CdTrp2!X76=2,2,IF(CdTrp2!X76=3,2,0)))</f>
        <v>0</v>
      </c>
      <c r="CY48" s="216">
        <f>IF(CdTrp2!Y76=1,1,IF(CdTrp2!Y76=2,2,IF(CdTrp2!Y76=3,2,0)))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IF(CdTrp3!B76=1,1,IF(CdTrp3!B76=2,2,IF(CdTrp3!B76=3,2,0)))</f>
        <v>0</v>
      </c>
      <c r="DF48" s="220">
        <f>IF(CdTrp3!C76=1,1,IF(CdTrp3!C76=2,2,IF(CdTrp3!C76=3,2,0)))</f>
        <v>0</v>
      </c>
      <c r="DG48" s="220">
        <f>IF(CdTrp3!D76=1,1,IF(CdTrp3!D76=2,2,IF(CdTrp3!D76=3,2,0)))</f>
        <v>0</v>
      </c>
      <c r="DH48" s="220">
        <f>IF(CdTrp3!E76=1,1,IF(CdTrp3!E76=2,2,IF(CdTrp3!E76=3,2,0)))</f>
        <v>0</v>
      </c>
      <c r="DI48" s="220">
        <f>IF(CdTrp3!F76=1,1,IF(CdTrp3!F76=2,2,IF(CdTrp3!F76=3,2,0)))</f>
        <v>0</v>
      </c>
      <c r="DJ48" s="220">
        <f>IF(CdTrp3!G76=1,1,IF(CdTrp3!G76=2,2,IF(CdTrp3!G76=3,2,0)))</f>
        <v>0</v>
      </c>
      <c r="DK48" s="220">
        <f>IF(CdTrp3!H76=1,1,IF(CdTrp3!H76=2,2,IF(CdTrp3!H76=3,2,0)))</f>
        <v>0</v>
      </c>
      <c r="DL48" s="220">
        <f>IF(CdTrp3!I76=1,1,IF(CdTrp3!I76=2,2,IF(CdTrp3!I76=3,2,0)))</f>
        <v>0</v>
      </c>
      <c r="DM48" s="220">
        <f>IF(CdTrp3!J76=1,1,IF(CdTrp3!J76=2,2,IF(CdTrp3!J76=3,2,0)))</f>
        <v>0</v>
      </c>
      <c r="DN48" s="220">
        <f>IF(CdTrp3!K76=1,1,IF(CdTrp3!K76=2,2,IF(CdTrp3!K76=3,2,0)))</f>
        <v>0</v>
      </c>
      <c r="DO48" s="220">
        <f>IF(CdTrp3!L76=1,1,IF(CdTrp3!L76=2,2,IF(CdTrp3!L76=3,2,0)))</f>
        <v>0</v>
      </c>
      <c r="DP48" s="220">
        <f>IF(CdTrp3!M76=1,1,IF(CdTrp3!M76=2,2,IF(CdTrp3!M76=3,2,0)))</f>
        <v>0</v>
      </c>
      <c r="DQ48" s="220">
        <f>IF(CdTrp3!N76=1,1,IF(CdTrp3!N76=2,2,IF(CdTrp3!N76=3,2,0)))</f>
        <v>0</v>
      </c>
      <c r="DR48" s="220">
        <f>IF(CdTrp3!O76=1,1,IF(CdTrp3!O76=2,2,IF(CdTrp3!O76=3,2,0)))</f>
        <v>0</v>
      </c>
      <c r="DS48" s="220">
        <f>IF(CdTrp3!P76=1,1,IF(CdTrp3!P76=2,2,IF(CdTrp3!P76=3,2,0)))</f>
        <v>0</v>
      </c>
      <c r="DT48" s="220">
        <f>IF(CdTrp3!Q76=1,1,IF(CdTrp3!Q76=2,2,IF(CdTrp3!Q76=3,2,0)))</f>
        <v>0</v>
      </c>
      <c r="DU48" s="220">
        <f>IF(CdTrp3!R76=1,1,IF(CdTrp3!R76=2,2,IF(CdTrp3!R76=3,2,0)))</f>
        <v>0</v>
      </c>
      <c r="DV48" s="220">
        <f>IF(CdTrp3!S76=1,1,IF(CdTrp3!S76=2,2,IF(CdTrp3!S76=3,2,0)))</f>
        <v>0</v>
      </c>
      <c r="DW48" s="220">
        <f>IF(CdTrp3!T76=1,1,IF(CdTrp3!T76=2,2,IF(CdTrp3!T76=3,2,0)))</f>
        <v>0</v>
      </c>
      <c r="DX48" s="220">
        <f>IF(CdTrp3!U76=1,1,IF(CdTrp3!U76=2,2,IF(CdTrp3!U76=3,2,0)))</f>
        <v>0</v>
      </c>
      <c r="DY48" s="220">
        <f>IF(CdTrp3!V76=1,1,IF(CdTrp3!V76=2,2,IF(CdTrp3!V76=3,2,0)))</f>
        <v>0</v>
      </c>
      <c r="DZ48" s="220">
        <f>IF(CdTrp3!W76=1,1,IF(CdTrp3!W76=2,2,IF(CdTrp3!W76=3,2,0)))</f>
        <v>0</v>
      </c>
      <c r="EA48" s="220">
        <f>IF(CdTrp3!X76=1,1,IF(CdTrp3!X76=2,2,IF(CdTrp3!X76=3,2,0)))</f>
        <v>0</v>
      </c>
      <c r="EB48" s="220">
        <f>IF(CdTrp3!Y76=1,1,IF(CdTrp3!Y76=2,2,IF(CdTrp3!Y76=3,2,0)))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1024</v>
      </c>
      <c r="X49" s="217" t="s">
        <v>487</v>
      </c>
      <c r="Y49" s="220">
        <f>IF(Troupeau!B$3="OL",Troupeau!B$49,0)</f>
        <v>49.112000000000009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49.112000000000009</v>
      </c>
      <c r="AD49" s="216"/>
      <c r="AE49" s="216"/>
      <c r="AF49" s="216"/>
      <c r="AG49" s="272" t="str">
        <f>CdTrp1!A41</f>
        <v>vides + mammites</v>
      </c>
      <c r="AH49" s="220">
        <f>CdTrp1!B41</f>
        <v>1.5008000000000001</v>
      </c>
      <c r="AI49" s="220">
        <f>CdTrp1!C41</f>
        <v>1.5008000000000001</v>
      </c>
      <c r="AJ49" s="220">
        <f>CdTrp1!D41</f>
        <v>1.5008000000000001</v>
      </c>
      <c r="AK49" s="220">
        <f>CdTrp1!E41</f>
        <v>1.5008000000000001</v>
      </c>
      <c r="AL49" s="220">
        <f>CdTrp1!F41</f>
        <v>1.9510400000000001</v>
      </c>
      <c r="AM49" s="220">
        <f>CdTrp1!G41</f>
        <v>1.9510400000000001</v>
      </c>
      <c r="AN49" s="220">
        <f>CdTrp1!H41</f>
        <v>1.9510400000000001</v>
      </c>
      <c r="AO49" s="220">
        <f>CdTrp1!I41</f>
        <v>1.9510400000000001</v>
      </c>
      <c r="AP49" s="220">
        <f>CdTrp1!J41</f>
        <v>1.9510400000000001</v>
      </c>
      <c r="AQ49" s="220">
        <f>CdTrp1!K41</f>
        <v>1.9510400000000001</v>
      </c>
      <c r="AR49" s="220">
        <f>CdTrp1!L41</f>
        <v>1.9510400000000001</v>
      </c>
      <c r="AS49" s="220">
        <f>CdTrp1!M41</f>
        <v>1.9510400000000001</v>
      </c>
      <c r="AT49" s="220">
        <f>CdTrp1!N41</f>
        <v>1.9510400000000001</v>
      </c>
      <c r="AU49" s="220">
        <f>CdTrp1!O41</f>
        <v>1.9510400000000001</v>
      </c>
      <c r="AV49" s="220">
        <f>IF(CdTrp1!B77=1,1,IF(CdTrp1!B77=2,2,IF(CdTrp1!B77=3,2,0)))</f>
        <v>0</v>
      </c>
      <c r="AW49" s="220">
        <f>IF(CdTrp1!C77=1,1,IF(CdTrp1!C77=2,2,IF(CdTrp1!C77=3,2,0)))</f>
        <v>0</v>
      </c>
      <c r="AX49" s="220">
        <f>IF(CdTrp1!D77=1,1,IF(CdTrp1!D77=2,2,IF(CdTrp1!D77=3,2,0)))</f>
        <v>0</v>
      </c>
      <c r="AY49" s="220">
        <f>IF(CdTrp1!E77=1,1,IF(CdTrp1!E77=2,2,IF(CdTrp1!E77=3,2,0)))</f>
        <v>0</v>
      </c>
      <c r="AZ49" s="220">
        <f>IF(CdTrp1!F77=1,1,IF(CdTrp1!F77=2,2,IF(CdTrp1!F77=3,2,0)))</f>
        <v>0</v>
      </c>
      <c r="BA49" s="220">
        <f>IF(CdTrp1!G77=1,1,IF(CdTrp1!G77=2,2,IF(CdTrp1!G77=3,2,0)))</f>
        <v>0</v>
      </c>
      <c r="BB49" s="220">
        <f>IF(CdTrp1!H77=1,1,IF(CdTrp1!H77=2,2,IF(CdTrp1!H77=3,2,0)))</f>
        <v>0</v>
      </c>
      <c r="BC49" s="220">
        <f>IF(CdTrp1!I77=1,1,IF(CdTrp1!I77=2,2,IF(CdTrp1!I77=3,2,0)))</f>
        <v>0</v>
      </c>
      <c r="BD49" s="220">
        <f>IF(CdTrp1!J77=1,1,IF(CdTrp1!J77=2,2,IF(CdTrp1!J77=3,2,0)))</f>
        <v>0</v>
      </c>
      <c r="BE49" s="220">
        <f>IF(CdTrp1!K77=1,1,IF(CdTrp1!K77=2,2,IF(CdTrp1!K77=3,2,0)))</f>
        <v>0</v>
      </c>
      <c r="BF49" s="220">
        <f>IF(CdTrp1!L77=1,1,IF(CdTrp1!L77=2,2,IF(CdTrp1!L77=3,2,0)))</f>
        <v>0</v>
      </c>
      <c r="BG49" s="220">
        <f>IF(CdTrp1!M77=1,1,IF(CdTrp1!M77=2,2,IF(CdTrp1!M77=3,2,0)))</f>
        <v>0</v>
      </c>
      <c r="BH49" s="220">
        <f>IF(CdTrp1!N77=1,1,IF(CdTrp1!N77=2,2,IF(CdTrp1!N77=3,2,0)))</f>
        <v>0</v>
      </c>
      <c r="BI49" s="220">
        <f>IF(CdTrp1!O77=1,1,IF(CdTrp1!O77=2,2,IF(CdTrp1!O77=3,2,0)))</f>
        <v>0</v>
      </c>
      <c r="BJ49" s="220">
        <f>IF(CdTrp1!P77=1,1,IF(CdTrp1!P77=2,2,IF(CdTrp1!P77=3,2,0)))</f>
        <v>0</v>
      </c>
      <c r="BK49" s="220">
        <f>IF(CdTrp1!Q77=1,1,IF(CdTrp1!Q77=2,2,IF(CdTrp1!Q77=3,2,0)))</f>
        <v>0</v>
      </c>
      <c r="BL49" s="220">
        <f>IF(CdTrp1!R77=1,1,IF(CdTrp1!R77=2,2,IF(CdTrp1!R77=3,2,0)))</f>
        <v>0</v>
      </c>
      <c r="BM49" s="220">
        <f>IF(CdTrp1!S77=1,1,IF(CdTrp1!S77=2,2,IF(CdTrp1!S77=3,2,0)))</f>
        <v>0</v>
      </c>
      <c r="BN49" s="220">
        <f>IF(CdTrp1!T77=1,1,IF(CdTrp1!T77=2,2,IF(CdTrp1!T77=3,2,0)))</f>
        <v>0</v>
      </c>
      <c r="BO49" s="220">
        <f>IF(CdTrp1!U77=1,1,IF(CdTrp1!U77=2,2,IF(CdTrp1!U77=3,2,0)))</f>
        <v>0</v>
      </c>
      <c r="BP49" s="220">
        <f>IF(CdTrp1!V77=1,1,IF(CdTrp1!V77=2,2,IF(CdTrp1!V77=3,2,0)))</f>
        <v>0</v>
      </c>
      <c r="BQ49" s="220">
        <f>IF(CdTrp1!W77=1,1,IF(CdTrp1!W77=2,2,IF(CdTrp1!W77=3,2,0)))</f>
        <v>0</v>
      </c>
      <c r="BR49" s="220">
        <f>IF(CdTrp1!X77=1,1,IF(CdTrp1!X77=2,2,IF(CdTrp1!X77=3,2,0)))</f>
        <v>0</v>
      </c>
      <c r="BS49" s="220">
        <f>IF(CdTrp1!Y77=1,1,IF(CdTrp1!Y77=2,2,IF(CdTrp1!Y77=3,2,0)))</f>
        <v>0</v>
      </c>
      <c r="BT49" s="216">
        <f>CdTrp2!M41</f>
        <v>0</v>
      </c>
      <c r="BU49" s="216">
        <f>CdTrp2!N41</f>
        <v>0</v>
      </c>
      <c r="BV49" s="216">
        <f>CdTrp2!O41</f>
        <v>0</v>
      </c>
      <c r="BW49" s="216">
        <f>CdTrp2!P41</f>
        <v>0</v>
      </c>
      <c r="BX49" s="216">
        <f>CdTrp2!Q41</f>
        <v>0</v>
      </c>
      <c r="BY49" s="216">
        <f>CdTrp2!R41</f>
        <v>0</v>
      </c>
      <c r="BZ49" s="216">
        <f>CdTrp2!S41</f>
        <v>0</v>
      </c>
      <c r="CA49" s="216">
        <f>CdTrp2!T41</f>
        <v>0</v>
      </c>
      <c r="CB49" s="216">
        <f>IF(CdTrp2!B77=1,1,IF(CdTrp2!B77=2,2,IF(CdTrp2!B77=3,2,0)))</f>
        <v>0</v>
      </c>
      <c r="CC49" s="216">
        <f>IF(CdTrp2!C77=1,1,IF(CdTrp2!C77=2,2,IF(CdTrp2!C77=3,2,0)))</f>
        <v>0</v>
      </c>
      <c r="CD49" s="216">
        <f>IF(CdTrp2!D77=1,1,IF(CdTrp2!D77=2,2,IF(CdTrp2!D77=3,2,0)))</f>
        <v>0</v>
      </c>
      <c r="CE49" s="216">
        <f>IF(CdTrp2!E77=1,1,IF(CdTrp2!E77=2,2,IF(CdTrp2!E77=3,2,0)))</f>
        <v>0</v>
      </c>
      <c r="CF49" s="216">
        <f>IF(CdTrp2!F77=1,1,IF(CdTrp2!F77=2,2,IF(CdTrp2!F77=3,2,0)))</f>
        <v>0</v>
      </c>
      <c r="CG49" s="216">
        <f>IF(CdTrp2!G77=1,1,IF(CdTrp2!G77=2,2,IF(CdTrp2!G77=3,2,0)))</f>
        <v>0</v>
      </c>
      <c r="CH49" s="216">
        <f>IF(CdTrp2!H77=1,1,IF(CdTrp2!H77=2,2,IF(CdTrp2!H77=3,2,0)))</f>
        <v>0</v>
      </c>
      <c r="CI49" s="216">
        <f>IF(CdTrp2!I77=1,1,IF(CdTrp2!I77=2,2,IF(CdTrp2!I77=3,2,0)))</f>
        <v>0</v>
      </c>
      <c r="CJ49" s="216">
        <f>IF(CdTrp2!J77=1,1,IF(CdTrp2!J77=2,2,IF(CdTrp2!J77=3,2,0)))</f>
        <v>0</v>
      </c>
      <c r="CK49" s="216">
        <f>IF(CdTrp2!K77=1,1,IF(CdTrp2!K77=2,2,IF(CdTrp2!K77=3,2,0)))</f>
        <v>0</v>
      </c>
      <c r="CL49" s="216">
        <f>IF(CdTrp2!L77=1,1,IF(CdTrp2!L77=2,2,IF(CdTrp2!L77=3,2,0)))</f>
        <v>0</v>
      </c>
      <c r="CM49" s="216">
        <f>IF(CdTrp2!M77=1,1,IF(CdTrp2!M77=2,2,IF(CdTrp2!M77=3,2,0)))</f>
        <v>0</v>
      </c>
      <c r="CN49" s="216">
        <f>IF(CdTrp2!N77=1,1,IF(CdTrp2!N77=2,2,IF(CdTrp2!N77=3,2,0)))</f>
        <v>0</v>
      </c>
      <c r="CO49" s="216">
        <f>IF(CdTrp2!O77=1,1,IF(CdTrp2!O77=2,2,IF(CdTrp2!O77=3,2,0)))</f>
        <v>0</v>
      </c>
      <c r="CP49" s="216">
        <f>IF(CdTrp2!P77=1,1,IF(CdTrp2!P77=2,2,IF(CdTrp2!P77=3,2,0)))</f>
        <v>0</v>
      </c>
      <c r="CQ49" s="216">
        <f>IF(CdTrp2!Q77=1,1,IF(CdTrp2!Q77=2,2,IF(CdTrp2!Q77=3,2,0)))</f>
        <v>0</v>
      </c>
      <c r="CR49" s="216">
        <f>IF(CdTrp2!R77=1,1,IF(CdTrp2!R77=2,2,IF(CdTrp2!R77=3,2,0)))</f>
        <v>0</v>
      </c>
      <c r="CS49" s="216">
        <f>IF(CdTrp2!S77=1,1,IF(CdTrp2!S77=2,2,IF(CdTrp2!S77=3,2,0)))</f>
        <v>0</v>
      </c>
      <c r="CT49" s="216">
        <f>IF(CdTrp2!T77=1,1,IF(CdTrp2!T77=2,2,IF(CdTrp2!T77=3,2,0)))</f>
        <v>0</v>
      </c>
      <c r="CU49" s="216">
        <f>IF(CdTrp2!U77=1,1,IF(CdTrp2!U77=2,2,IF(CdTrp2!U77=3,2,0)))</f>
        <v>0</v>
      </c>
      <c r="CV49" s="216">
        <f>IF(CdTrp2!V77=1,1,IF(CdTrp2!V77=2,2,IF(CdTrp2!V77=3,2,0)))</f>
        <v>0</v>
      </c>
      <c r="CW49" s="216">
        <f>IF(CdTrp2!W77=1,1,IF(CdTrp2!W77=2,2,IF(CdTrp2!W77=3,2,0)))</f>
        <v>0</v>
      </c>
      <c r="CX49" s="216">
        <f>IF(CdTrp2!X77=1,1,IF(CdTrp2!X77=2,2,IF(CdTrp2!X77=3,2,0)))</f>
        <v>0</v>
      </c>
      <c r="CY49" s="216">
        <f>IF(CdTrp2!Y77=1,1,IF(CdTrp2!Y77=2,2,IF(CdTrp2!Y77=3,2,0)))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IF(CdTrp3!B77=1,1,IF(CdTrp3!B77=2,2,IF(CdTrp3!B77=3,2,0)))</f>
        <v>0</v>
      </c>
      <c r="DF49" s="220">
        <f>IF(CdTrp3!C77=1,1,IF(CdTrp3!C77=2,2,IF(CdTrp3!C77=3,2,0)))</f>
        <v>0</v>
      </c>
      <c r="DG49" s="220">
        <f>IF(CdTrp3!D77=1,1,IF(CdTrp3!D77=2,2,IF(CdTrp3!D77=3,2,0)))</f>
        <v>0</v>
      </c>
      <c r="DH49" s="220">
        <f>IF(CdTrp3!E77=1,1,IF(CdTrp3!E77=2,2,IF(CdTrp3!E77=3,2,0)))</f>
        <v>0</v>
      </c>
      <c r="DI49" s="220">
        <f>IF(CdTrp3!F77=1,1,IF(CdTrp3!F77=2,2,IF(CdTrp3!F77=3,2,0)))</f>
        <v>0</v>
      </c>
      <c r="DJ49" s="220">
        <f>IF(CdTrp3!G77=1,1,IF(CdTrp3!G77=2,2,IF(CdTrp3!G77=3,2,0)))</f>
        <v>0</v>
      </c>
      <c r="DK49" s="220">
        <f>IF(CdTrp3!H77=1,1,IF(CdTrp3!H77=2,2,IF(CdTrp3!H77=3,2,0)))</f>
        <v>0</v>
      </c>
      <c r="DL49" s="220">
        <f>IF(CdTrp3!I77=1,1,IF(CdTrp3!I77=2,2,IF(CdTrp3!I77=3,2,0)))</f>
        <v>0</v>
      </c>
      <c r="DM49" s="220">
        <f>IF(CdTrp3!J77=1,1,IF(CdTrp3!J77=2,2,IF(CdTrp3!J77=3,2,0)))</f>
        <v>0</v>
      </c>
      <c r="DN49" s="220">
        <f>IF(CdTrp3!K77=1,1,IF(CdTrp3!K77=2,2,IF(CdTrp3!K77=3,2,0)))</f>
        <v>0</v>
      </c>
      <c r="DO49" s="220">
        <f>IF(CdTrp3!L77=1,1,IF(CdTrp3!L77=2,2,IF(CdTrp3!L77=3,2,0)))</f>
        <v>0</v>
      </c>
      <c r="DP49" s="220">
        <f>IF(CdTrp3!M77=1,1,IF(CdTrp3!M77=2,2,IF(CdTrp3!M77=3,2,0)))</f>
        <v>0</v>
      </c>
      <c r="DQ49" s="220">
        <f>IF(CdTrp3!N77=1,1,IF(CdTrp3!N77=2,2,IF(CdTrp3!N77=3,2,0)))</f>
        <v>0</v>
      </c>
      <c r="DR49" s="220">
        <f>IF(CdTrp3!O77=1,1,IF(CdTrp3!O77=2,2,IF(CdTrp3!O77=3,2,0)))</f>
        <v>0</v>
      </c>
      <c r="DS49" s="220">
        <f>IF(CdTrp3!P77=1,1,IF(CdTrp3!P77=2,2,IF(CdTrp3!P77=3,2,0)))</f>
        <v>0</v>
      </c>
      <c r="DT49" s="220">
        <f>IF(CdTrp3!Q77=1,1,IF(CdTrp3!Q77=2,2,IF(CdTrp3!Q77=3,2,0)))</f>
        <v>0</v>
      </c>
      <c r="DU49" s="220">
        <f>IF(CdTrp3!R77=1,1,IF(CdTrp3!R77=2,2,IF(CdTrp3!R77=3,2,0)))</f>
        <v>0</v>
      </c>
      <c r="DV49" s="220">
        <f>IF(CdTrp3!S77=1,1,IF(CdTrp3!S77=2,2,IF(CdTrp3!S77=3,2,0)))</f>
        <v>0</v>
      </c>
      <c r="DW49" s="220">
        <f>IF(CdTrp3!T77=1,1,IF(CdTrp3!T77=2,2,IF(CdTrp3!T77=3,2,0)))</f>
        <v>0</v>
      </c>
      <c r="DX49" s="220">
        <f>IF(CdTrp3!U77=1,1,IF(CdTrp3!U77=2,2,IF(CdTrp3!U77=3,2,0)))</f>
        <v>0</v>
      </c>
      <c r="DY49" s="220">
        <f>IF(CdTrp3!V77=1,1,IF(CdTrp3!V77=2,2,IF(CdTrp3!V77=3,2,0)))</f>
        <v>0</v>
      </c>
      <c r="DZ49" s="220">
        <f>IF(CdTrp3!W77=1,1,IF(CdTrp3!W77=2,2,IF(CdTrp3!W77=3,2,0)))</f>
        <v>0</v>
      </c>
      <c r="EA49" s="220">
        <f>IF(CdTrp3!X77=1,1,IF(CdTrp3!X77=2,2,IF(CdTrp3!X77=3,2,0)))</f>
        <v>0</v>
      </c>
      <c r="EB49" s="220">
        <f>IF(CdTrp3!Y77=1,1,IF(CdTrp3!Y77=2,2,IF(CdTrp3!Y77=3,2,0)))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553</v>
      </c>
      <c r="R50" t="str">
        <f>Troupeau!B3</f>
        <v>OL</v>
      </c>
      <c r="S50" s="30">
        <f>Scénario!K54*Scénario!K55+Scénario!K76*Scénario!K77</f>
        <v>0</v>
      </c>
      <c r="X50" s="217" t="s">
        <v>970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béliers</v>
      </c>
      <c r="AH50" s="220">
        <f>CdTrp1!B42</f>
        <v>0.75040000000000007</v>
      </c>
      <c r="AI50" s="220">
        <f>CdTrp1!C42</f>
        <v>0.75040000000000007</v>
      </c>
      <c r="AJ50" s="220">
        <f>CdTrp1!D42</f>
        <v>0.75040000000000007</v>
      </c>
      <c r="AK50" s="220">
        <f>CdTrp1!E42</f>
        <v>0.75040000000000007</v>
      </c>
      <c r="AL50" s="220">
        <f>CdTrp1!F42</f>
        <v>0.75040000000000007</v>
      </c>
      <c r="AM50" s="220">
        <f>CdTrp1!G42</f>
        <v>0.75040000000000007</v>
      </c>
      <c r="AN50" s="220">
        <f>CdTrp1!H42</f>
        <v>0.75040000000000007</v>
      </c>
      <c r="AO50" s="220">
        <f>CdTrp1!I42</f>
        <v>0.75040000000000007</v>
      </c>
      <c r="AP50" s="220">
        <f>CdTrp1!J42</f>
        <v>0.75040000000000007</v>
      </c>
      <c r="AQ50" s="220">
        <f>CdTrp1!K42</f>
        <v>0.75040000000000007</v>
      </c>
      <c r="AR50" s="220">
        <f>CdTrp1!L42</f>
        <v>0.75040000000000007</v>
      </c>
      <c r="AS50" s="220">
        <f>CdTrp1!M42</f>
        <v>0.75040000000000007</v>
      </c>
      <c r="AT50" s="220">
        <f>CdTrp1!N42</f>
        <v>0.75040000000000007</v>
      </c>
      <c r="AU50" s="220">
        <f>CdTrp1!O42</f>
        <v>0.75040000000000007</v>
      </c>
      <c r="AV50" s="220">
        <f>IF(CdTrp1!B78=1,1,IF(CdTrp1!B78=2,2,IF(CdTrp1!B78=3,2,0)))</f>
        <v>2</v>
      </c>
      <c r="AW50" s="220">
        <f>IF(CdTrp1!C78=1,1,IF(CdTrp1!C78=2,2,IF(CdTrp1!C78=3,2,0)))</f>
        <v>2</v>
      </c>
      <c r="AX50" s="220">
        <f>IF(CdTrp1!D78=1,1,IF(CdTrp1!D78=2,2,IF(CdTrp1!D78=3,2,0)))</f>
        <v>2</v>
      </c>
      <c r="AY50" s="220">
        <f>IF(CdTrp1!E78=1,1,IF(CdTrp1!E78=2,2,IF(CdTrp1!E78=3,2,0)))</f>
        <v>2</v>
      </c>
      <c r="AZ50" s="220">
        <f>IF(CdTrp1!F78=1,1,IF(CdTrp1!F78=2,2,IF(CdTrp1!F78=3,2,0)))</f>
        <v>2</v>
      </c>
      <c r="BA50" s="220">
        <f>IF(CdTrp1!G78=1,1,IF(CdTrp1!G78=2,2,IF(CdTrp1!G78=3,2,0)))</f>
        <v>2</v>
      </c>
      <c r="BB50" s="220">
        <f>IF(CdTrp1!H78=1,1,IF(CdTrp1!H78=2,2,IF(CdTrp1!H78=3,2,0)))</f>
        <v>2</v>
      </c>
      <c r="BC50" s="220">
        <f>IF(CdTrp1!I78=1,1,IF(CdTrp1!I78=2,2,IF(CdTrp1!I78=3,2,0)))</f>
        <v>2</v>
      </c>
      <c r="BD50" s="220">
        <f>IF(CdTrp1!J78=1,1,IF(CdTrp1!J78=2,2,IF(CdTrp1!J78=3,2,0)))</f>
        <v>2</v>
      </c>
      <c r="BE50" s="220">
        <f>IF(CdTrp1!K78=1,1,IF(CdTrp1!K78=2,2,IF(CdTrp1!K78=3,2,0)))</f>
        <v>2</v>
      </c>
      <c r="BF50" s="220">
        <f>IF(CdTrp1!L78=1,1,IF(CdTrp1!L78=2,2,IF(CdTrp1!L78=3,2,0)))</f>
        <v>2</v>
      </c>
      <c r="BG50" s="220">
        <f>IF(CdTrp1!M78=1,1,IF(CdTrp1!M78=2,2,IF(CdTrp1!M78=3,2,0)))</f>
        <v>2</v>
      </c>
      <c r="BH50" s="220">
        <f>IF(CdTrp1!N78=1,1,IF(CdTrp1!N78=2,2,IF(CdTrp1!N78=3,2,0)))</f>
        <v>2</v>
      </c>
      <c r="BI50" s="220">
        <f>IF(CdTrp1!O78=1,1,IF(CdTrp1!O78=2,2,IF(CdTrp1!O78=3,2,0)))</f>
        <v>2</v>
      </c>
      <c r="BJ50" s="220">
        <f>IF(CdTrp1!P78=1,1,IF(CdTrp1!P78=2,2,IF(CdTrp1!P78=3,2,0)))</f>
        <v>2</v>
      </c>
      <c r="BK50" s="220">
        <f>IF(CdTrp1!Q78=1,1,IF(CdTrp1!Q78=2,2,IF(CdTrp1!Q78=3,2,0)))</f>
        <v>2</v>
      </c>
      <c r="BL50" s="220">
        <f>IF(CdTrp1!R78=1,1,IF(CdTrp1!R78=2,2,IF(CdTrp1!R78=3,2,0)))</f>
        <v>2</v>
      </c>
      <c r="BM50" s="220">
        <f>IF(CdTrp1!S78=1,1,IF(CdTrp1!S78=2,2,IF(CdTrp1!S78=3,2,0)))</f>
        <v>2</v>
      </c>
      <c r="BN50" s="220">
        <f>IF(CdTrp1!T78=1,1,IF(CdTrp1!T78=2,2,IF(CdTrp1!T78=3,2,0)))</f>
        <v>2</v>
      </c>
      <c r="BO50" s="220">
        <f>IF(CdTrp1!U78=1,1,IF(CdTrp1!U78=2,2,IF(CdTrp1!U78=3,2,0)))</f>
        <v>2</v>
      </c>
      <c r="BP50" s="220">
        <f>IF(CdTrp1!V78=1,1,IF(CdTrp1!V78=2,2,IF(CdTrp1!V78=3,2,0)))</f>
        <v>2</v>
      </c>
      <c r="BQ50" s="220">
        <f>IF(CdTrp1!W78=1,1,IF(CdTrp1!W78=2,2,IF(CdTrp1!W78=3,2,0)))</f>
        <v>2</v>
      </c>
      <c r="BR50" s="220">
        <f>IF(CdTrp1!X78=1,1,IF(CdTrp1!X78=2,2,IF(CdTrp1!X78=3,2,0)))</f>
        <v>2</v>
      </c>
      <c r="BS50" s="220">
        <f>IF(CdTrp1!Y78=1,1,IF(CdTrp1!Y78=2,2,IF(CdTrp1!Y78=3,2,0)))</f>
        <v>2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IF(CdTrp2!B78=1,1,IF(CdTrp2!B78=2,2,IF(CdTrp2!B78=3,2,0)))</f>
        <v>0</v>
      </c>
      <c r="CC50" s="216">
        <f>IF(CdTrp2!C78=1,1,IF(CdTrp2!C78=2,2,IF(CdTrp2!C78=3,2,0)))</f>
        <v>0</v>
      </c>
      <c r="CD50" s="216">
        <f>IF(CdTrp2!D78=1,1,IF(CdTrp2!D78=2,2,IF(CdTrp2!D78=3,2,0)))</f>
        <v>0</v>
      </c>
      <c r="CE50" s="216">
        <f>IF(CdTrp2!E78=1,1,IF(CdTrp2!E78=2,2,IF(CdTrp2!E78=3,2,0)))</f>
        <v>0</v>
      </c>
      <c r="CF50" s="216">
        <f>IF(CdTrp2!F78=1,1,IF(CdTrp2!F78=2,2,IF(CdTrp2!F78=3,2,0)))</f>
        <v>0</v>
      </c>
      <c r="CG50" s="216">
        <f>IF(CdTrp2!G78=1,1,IF(CdTrp2!G78=2,2,IF(CdTrp2!G78=3,2,0)))</f>
        <v>0</v>
      </c>
      <c r="CH50" s="216">
        <f>IF(CdTrp2!H78=1,1,IF(CdTrp2!H78=2,2,IF(CdTrp2!H78=3,2,0)))</f>
        <v>0</v>
      </c>
      <c r="CI50" s="216">
        <f>IF(CdTrp2!I78=1,1,IF(CdTrp2!I78=2,2,IF(CdTrp2!I78=3,2,0)))</f>
        <v>0</v>
      </c>
      <c r="CJ50" s="216">
        <f>IF(CdTrp2!J78=1,1,IF(CdTrp2!J78=2,2,IF(CdTrp2!J78=3,2,0)))</f>
        <v>0</v>
      </c>
      <c r="CK50" s="216">
        <f>IF(CdTrp2!K78=1,1,IF(CdTrp2!K78=2,2,IF(CdTrp2!K78=3,2,0)))</f>
        <v>0</v>
      </c>
      <c r="CL50" s="216">
        <f>IF(CdTrp2!L78=1,1,IF(CdTrp2!L78=2,2,IF(CdTrp2!L78=3,2,0)))</f>
        <v>0</v>
      </c>
      <c r="CM50" s="216">
        <f>IF(CdTrp2!M78=1,1,IF(CdTrp2!M78=2,2,IF(CdTrp2!M78=3,2,0)))</f>
        <v>0</v>
      </c>
      <c r="CN50" s="216">
        <f>IF(CdTrp2!N78=1,1,IF(CdTrp2!N78=2,2,IF(CdTrp2!N78=3,2,0)))</f>
        <v>0</v>
      </c>
      <c r="CO50" s="216">
        <f>IF(CdTrp2!O78=1,1,IF(CdTrp2!O78=2,2,IF(CdTrp2!O78=3,2,0)))</f>
        <v>0</v>
      </c>
      <c r="CP50" s="216">
        <f>IF(CdTrp2!P78=1,1,IF(CdTrp2!P78=2,2,IF(CdTrp2!P78=3,2,0)))</f>
        <v>0</v>
      </c>
      <c r="CQ50" s="216">
        <f>IF(CdTrp2!Q78=1,1,IF(CdTrp2!Q78=2,2,IF(CdTrp2!Q78=3,2,0)))</f>
        <v>0</v>
      </c>
      <c r="CR50" s="216">
        <f>IF(CdTrp2!R78=1,1,IF(CdTrp2!R78=2,2,IF(CdTrp2!R78=3,2,0)))</f>
        <v>0</v>
      </c>
      <c r="CS50" s="216">
        <f>IF(CdTrp2!S78=1,1,IF(CdTrp2!S78=2,2,IF(CdTrp2!S78=3,2,0)))</f>
        <v>0</v>
      </c>
      <c r="CT50" s="216">
        <f>IF(CdTrp2!T78=1,1,IF(CdTrp2!T78=2,2,IF(CdTrp2!T78=3,2,0)))</f>
        <v>0</v>
      </c>
      <c r="CU50" s="216">
        <f>IF(CdTrp2!U78=1,1,IF(CdTrp2!U78=2,2,IF(CdTrp2!U78=3,2,0)))</f>
        <v>0</v>
      </c>
      <c r="CV50" s="216">
        <f>IF(CdTrp2!V78=1,1,IF(CdTrp2!V78=2,2,IF(CdTrp2!V78=3,2,0)))</f>
        <v>0</v>
      </c>
      <c r="CW50" s="216">
        <f>IF(CdTrp2!W78=1,1,IF(CdTrp2!W78=2,2,IF(CdTrp2!W78=3,2,0)))</f>
        <v>0</v>
      </c>
      <c r="CX50" s="216">
        <f>IF(CdTrp2!X78=1,1,IF(CdTrp2!X78=2,2,IF(CdTrp2!X78=3,2,0)))</f>
        <v>0</v>
      </c>
      <c r="CY50" s="216">
        <f>IF(CdTrp2!Y78=1,1,IF(CdTrp2!Y78=2,2,IF(CdTrp2!Y78=3,2,0)))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IF(CdTrp3!B78=1,1,IF(CdTrp3!B78=2,2,IF(CdTrp3!B78=3,2,0)))</f>
        <v>0</v>
      </c>
      <c r="DF50" s="220">
        <f>IF(CdTrp3!C78=1,1,IF(CdTrp3!C78=2,2,IF(CdTrp3!C78=3,2,0)))</f>
        <v>0</v>
      </c>
      <c r="DG50" s="220">
        <f>IF(CdTrp3!D78=1,1,IF(CdTrp3!D78=2,2,IF(CdTrp3!D78=3,2,0)))</f>
        <v>0</v>
      </c>
      <c r="DH50" s="220">
        <f>IF(CdTrp3!E78=1,1,IF(CdTrp3!E78=2,2,IF(CdTrp3!E78=3,2,0)))</f>
        <v>0</v>
      </c>
      <c r="DI50" s="220">
        <f>IF(CdTrp3!F78=1,1,IF(CdTrp3!F78=2,2,IF(CdTrp3!F78=3,2,0)))</f>
        <v>0</v>
      </c>
      <c r="DJ50" s="220">
        <f>IF(CdTrp3!G78=1,1,IF(CdTrp3!G78=2,2,IF(CdTrp3!G78=3,2,0)))</f>
        <v>0</v>
      </c>
      <c r="DK50" s="220">
        <f>IF(CdTrp3!H78=1,1,IF(CdTrp3!H78=2,2,IF(CdTrp3!H78=3,2,0)))</f>
        <v>0</v>
      </c>
      <c r="DL50" s="220">
        <f>IF(CdTrp3!I78=1,1,IF(CdTrp3!I78=2,2,IF(CdTrp3!I78=3,2,0)))</f>
        <v>0</v>
      </c>
      <c r="DM50" s="220">
        <f>IF(CdTrp3!J78=1,1,IF(CdTrp3!J78=2,2,IF(CdTrp3!J78=3,2,0)))</f>
        <v>0</v>
      </c>
      <c r="DN50" s="220">
        <f>IF(CdTrp3!K78=1,1,IF(CdTrp3!K78=2,2,IF(CdTrp3!K78=3,2,0)))</f>
        <v>0</v>
      </c>
      <c r="DO50" s="220">
        <f>IF(CdTrp3!L78=1,1,IF(CdTrp3!L78=2,2,IF(CdTrp3!L78=3,2,0)))</f>
        <v>0</v>
      </c>
      <c r="DP50" s="220">
        <f>IF(CdTrp3!M78=1,1,IF(CdTrp3!M78=2,2,IF(CdTrp3!M78=3,2,0)))</f>
        <v>0</v>
      </c>
      <c r="DQ50" s="220">
        <f>IF(CdTrp3!N78=1,1,IF(CdTrp3!N78=2,2,IF(CdTrp3!N78=3,2,0)))</f>
        <v>0</v>
      </c>
      <c r="DR50" s="220">
        <f>IF(CdTrp3!O78=1,1,IF(CdTrp3!O78=2,2,IF(CdTrp3!O78=3,2,0)))</f>
        <v>0</v>
      </c>
      <c r="DS50" s="220">
        <f>IF(CdTrp3!P78=1,1,IF(CdTrp3!P78=2,2,IF(CdTrp3!P78=3,2,0)))</f>
        <v>0</v>
      </c>
      <c r="DT50" s="220">
        <f>IF(CdTrp3!Q78=1,1,IF(CdTrp3!Q78=2,2,IF(CdTrp3!Q78=3,2,0)))</f>
        <v>0</v>
      </c>
      <c r="DU50" s="220">
        <f>IF(CdTrp3!R78=1,1,IF(CdTrp3!R78=2,2,IF(CdTrp3!R78=3,2,0)))</f>
        <v>0</v>
      </c>
      <c r="DV50" s="220">
        <f>IF(CdTrp3!S78=1,1,IF(CdTrp3!S78=2,2,IF(CdTrp3!S78=3,2,0)))</f>
        <v>0</v>
      </c>
      <c r="DW50" s="220">
        <f>IF(CdTrp3!T78=1,1,IF(CdTrp3!T78=2,2,IF(CdTrp3!T78=3,2,0)))</f>
        <v>0</v>
      </c>
      <c r="DX50" s="220">
        <f>IF(CdTrp3!U78=1,1,IF(CdTrp3!U78=2,2,IF(CdTrp3!U78=3,2,0)))</f>
        <v>0</v>
      </c>
      <c r="DY50" s="220">
        <f>IF(CdTrp3!V78=1,1,IF(CdTrp3!V78=2,2,IF(CdTrp3!V78=3,2,0)))</f>
        <v>0</v>
      </c>
      <c r="DZ50" s="220">
        <f>IF(CdTrp3!W78=1,1,IF(CdTrp3!W78=2,2,IF(CdTrp3!W78=3,2,0)))</f>
        <v>0</v>
      </c>
      <c r="EA50" s="220">
        <f>IF(CdTrp3!X78=1,1,IF(CdTrp3!X78=2,2,IF(CdTrp3!X78=3,2,0)))</f>
        <v>0</v>
      </c>
      <c r="EB50" s="220">
        <f>IF(CdTrp3!Y78=1,1,IF(CdTrp3!Y78=2,2,IF(CdTrp3!Y78=3,2,0)))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567</v>
      </c>
      <c r="R51" s="222">
        <f>Troupeau!C3</f>
        <v>0</v>
      </c>
      <c r="S51" s="48">
        <f>Scénario!K61*Scénario!K62+Scénario!K79*Scénario!K80</f>
        <v>0</v>
      </c>
      <c r="T51" s="222"/>
      <c r="U51" s="222"/>
      <c r="V51" s="222"/>
      <c r="W51" s="222"/>
      <c r="X51" s="217" t="s">
        <v>974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2">
        <f>CdTrp1!A43</f>
        <v>0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0">
        <f>IF(CdTrp1!B79=1,1,IF(CdTrp1!B79=2,2,IF(CdTrp1!B79=3,2,0)))</f>
        <v>0</v>
      </c>
      <c r="AW51" s="220">
        <f>IF(CdTrp1!C79=1,1,IF(CdTrp1!C79=2,2,IF(CdTrp1!C79=3,2,0)))</f>
        <v>0</v>
      </c>
      <c r="AX51" s="220">
        <f>IF(CdTrp1!D79=1,1,IF(CdTrp1!D79=2,2,IF(CdTrp1!D79=3,2,0)))</f>
        <v>0</v>
      </c>
      <c r="AY51" s="220">
        <f>IF(CdTrp1!E79=1,1,IF(CdTrp1!E79=2,2,IF(CdTrp1!E79=3,2,0)))</f>
        <v>0</v>
      </c>
      <c r="AZ51" s="220">
        <f>IF(CdTrp1!F79=1,1,IF(CdTrp1!F79=2,2,IF(CdTrp1!F79=3,2,0)))</f>
        <v>0</v>
      </c>
      <c r="BA51" s="220">
        <f>IF(CdTrp1!G79=1,1,IF(CdTrp1!G79=2,2,IF(CdTrp1!G79=3,2,0)))</f>
        <v>0</v>
      </c>
      <c r="BB51" s="220">
        <f>IF(CdTrp1!H79=1,1,IF(CdTrp1!H79=2,2,IF(CdTrp1!H79=3,2,0)))</f>
        <v>0</v>
      </c>
      <c r="BC51" s="220">
        <f>IF(CdTrp1!I79=1,1,IF(CdTrp1!I79=2,2,IF(CdTrp1!I79=3,2,0)))</f>
        <v>0</v>
      </c>
      <c r="BD51" s="220">
        <f>IF(CdTrp1!J79=1,1,IF(CdTrp1!J79=2,2,IF(CdTrp1!J79=3,2,0)))</f>
        <v>0</v>
      </c>
      <c r="BE51" s="220">
        <f>IF(CdTrp1!K79=1,1,IF(CdTrp1!K79=2,2,IF(CdTrp1!K79=3,2,0)))</f>
        <v>0</v>
      </c>
      <c r="BF51" s="220">
        <f>IF(CdTrp1!L79=1,1,IF(CdTrp1!L79=2,2,IF(CdTrp1!L79=3,2,0)))</f>
        <v>0</v>
      </c>
      <c r="BG51" s="220">
        <f>IF(CdTrp1!M79=1,1,IF(CdTrp1!M79=2,2,IF(CdTrp1!M79=3,2,0)))</f>
        <v>0</v>
      </c>
      <c r="BH51" s="220">
        <f>IF(CdTrp1!N79=1,1,IF(CdTrp1!N79=2,2,IF(CdTrp1!N79=3,2,0)))</f>
        <v>0</v>
      </c>
      <c r="BI51" s="220">
        <f>IF(CdTrp1!O79=1,1,IF(CdTrp1!O79=2,2,IF(CdTrp1!O79=3,2,0)))</f>
        <v>0</v>
      </c>
      <c r="BJ51" s="220">
        <f>IF(CdTrp1!P79=1,1,IF(CdTrp1!P79=2,2,IF(CdTrp1!P79=3,2,0)))</f>
        <v>0</v>
      </c>
      <c r="BK51" s="220">
        <f>IF(CdTrp1!Q79=1,1,IF(CdTrp1!Q79=2,2,IF(CdTrp1!Q79=3,2,0)))</f>
        <v>0</v>
      </c>
      <c r="BL51" s="220">
        <f>IF(CdTrp1!R79=1,1,IF(CdTrp1!R79=2,2,IF(CdTrp1!R79=3,2,0)))</f>
        <v>0</v>
      </c>
      <c r="BM51" s="220">
        <f>IF(CdTrp1!S79=1,1,IF(CdTrp1!S79=2,2,IF(CdTrp1!S79=3,2,0)))</f>
        <v>0</v>
      </c>
      <c r="BN51" s="220">
        <f>IF(CdTrp1!T79=1,1,IF(CdTrp1!T79=2,2,IF(CdTrp1!T79=3,2,0)))</f>
        <v>0</v>
      </c>
      <c r="BO51" s="220">
        <f>IF(CdTrp1!U79=1,1,IF(CdTrp1!U79=2,2,IF(CdTrp1!U79=3,2,0)))</f>
        <v>0</v>
      </c>
      <c r="BP51" s="220">
        <f>IF(CdTrp1!V79=1,1,IF(CdTrp1!V79=2,2,IF(CdTrp1!V79=3,2,0)))</f>
        <v>0</v>
      </c>
      <c r="BQ51" s="220">
        <f>IF(CdTrp1!W79=1,1,IF(CdTrp1!W79=2,2,IF(CdTrp1!W79=3,2,0)))</f>
        <v>0</v>
      </c>
      <c r="BR51" s="220">
        <f>IF(CdTrp1!X79=1,1,IF(CdTrp1!X79=2,2,IF(CdTrp1!X79=3,2,0)))</f>
        <v>0</v>
      </c>
      <c r="BS51" s="220">
        <f>IF(CdTrp1!Y79=1,1,IF(CdTrp1!Y79=2,2,IF(CdTrp1!Y79=3,2,0)))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IF(CdTrp2!B79=1,1,IF(CdTrp2!B79=2,2,IF(CdTrp2!B79=3,2,0)))</f>
        <v>0</v>
      </c>
      <c r="CC51" s="216">
        <f>IF(CdTrp2!C79=1,1,IF(CdTrp2!C79=2,2,IF(CdTrp2!C79=3,2,0)))</f>
        <v>0</v>
      </c>
      <c r="CD51" s="216">
        <f>IF(CdTrp2!D79=1,1,IF(CdTrp2!D79=2,2,IF(CdTrp2!D79=3,2,0)))</f>
        <v>0</v>
      </c>
      <c r="CE51" s="216">
        <f>IF(CdTrp2!E79=1,1,IF(CdTrp2!E79=2,2,IF(CdTrp2!E79=3,2,0)))</f>
        <v>0</v>
      </c>
      <c r="CF51" s="216">
        <f>IF(CdTrp2!F79=1,1,IF(CdTrp2!F79=2,2,IF(CdTrp2!F79=3,2,0)))</f>
        <v>0</v>
      </c>
      <c r="CG51" s="216">
        <f>IF(CdTrp2!G79=1,1,IF(CdTrp2!G79=2,2,IF(CdTrp2!G79=3,2,0)))</f>
        <v>0</v>
      </c>
      <c r="CH51" s="216">
        <f>IF(CdTrp2!H79=1,1,IF(CdTrp2!H79=2,2,IF(CdTrp2!H79=3,2,0)))</f>
        <v>0</v>
      </c>
      <c r="CI51" s="216">
        <f>IF(CdTrp2!I79=1,1,IF(CdTrp2!I79=2,2,IF(CdTrp2!I79=3,2,0)))</f>
        <v>0</v>
      </c>
      <c r="CJ51" s="216">
        <f>IF(CdTrp2!J79=1,1,IF(CdTrp2!J79=2,2,IF(CdTrp2!J79=3,2,0)))</f>
        <v>0</v>
      </c>
      <c r="CK51" s="216">
        <f>IF(CdTrp2!K79=1,1,IF(CdTrp2!K79=2,2,IF(CdTrp2!K79=3,2,0)))</f>
        <v>0</v>
      </c>
      <c r="CL51" s="216">
        <f>IF(CdTrp2!L79=1,1,IF(CdTrp2!L79=2,2,IF(CdTrp2!L79=3,2,0)))</f>
        <v>0</v>
      </c>
      <c r="CM51" s="216">
        <f>IF(CdTrp2!M79=1,1,IF(CdTrp2!M79=2,2,IF(CdTrp2!M79=3,2,0)))</f>
        <v>0</v>
      </c>
      <c r="CN51" s="216">
        <f>IF(CdTrp2!N79=1,1,IF(CdTrp2!N79=2,2,IF(CdTrp2!N79=3,2,0)))</f>
        <v>0</v>
      </c>
      <c r="CO51" s="216">
        <f>IF(CdTrp2!O79=1,1,IF(CdTrp2!O79=2,2,IF(CdTrp2!O79=3,2,0)))</f>
        <v>0</v>
      </c>
      <c r="CP51" s="216">
        <f>IF(CdTrp2!P79=1,1,IF(CdTrp2!P79=2,2,IF(CdTrp2!P79=3,2,0)))</f>
        <v>0</v>
      </c>
      <c r="CQ51" s="216">
        <f>IF(CdTrp2!Q79=1,1,IF(CdTrp2!Q79=2,2,IF(CdTrp2!Q79=3,2,0)))</f>
        <v>0</v>
      </c>
      <c r="CR51" s="216">
        <f>IF(CdTrp2!R79=1,1,IF(CdTrp2!R79=2,2,IF(CdTrp2!R79=3,2,0)))</f>
        <v>0</v>
      </c>
      <c r="CS51" s="216">
        <f>IF(CdTrp2!S79=1,1,IF(CdTrp2!S79=2,2,IF(CdTrp2!S79=3,2,0)))</f>
        <v>0</v>
      </c>
      <c r="CT51" s="216">
        <f>IF(CdTrp2!T79=1,1,IF(CdTrp2!T79=2,2,IF(CdTrp2!T79=3,2,0)))</f>
        <v>0</v>
      </c>
      <c r="CU51" s="216">
        <f>IF(CdTrp2!U79=1,1,IF(CdTrp2!U79=2,2,IF(CdTrp2!U79=3,2,0)))</f>
        <v>0</v>
      </c>
      <c r="CV51" s="216">
        <f>IF(CdTrp2!V79=1,1,IF(CdTrp2!V79=2,2,IF(CdTrp2!V79=3,2,0)))</f>
        <v>0</v>
      </c>
      <c r="CW51" s="216">
        <f>IF(CdTrp2!W79=1,1,IF(CdTrp2!W79=2,2,IF(CdTrp2!W79=3,2,0)))</f>
        <v>0</v>
      </c>
      <c r="CX51" s="216">
        <f>IF(CdTrp2!X79=1,1,IF(CdTrp2!X79=2,2,IF(CdTrp2!X79=3,2,0)))</f>
        <v>0</v>
      </c>
      <c r="CY51" s="216">
        <f>IF(CdTrp2!Y79=1,1,IF(CdTrp2!Y79=2,2,IF(CdTrp2!Y79=3,2,0)))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IF(CdTrp3!B79=1,1,IF(CdTrp3!B79=2,2,IF(CdTrp3!B79=3,2,0)))</f>
        <v>0</v>
      </c>
      <c r="DF51" s="220">
        <f>IF(CdTrp3!C79=1,1,IF(CdTrp3!C79=2,2,IF(CdTrp3!C79=3,2,0)))</f>
        <v>0</v>
      </c>
      <c r="DG51" s="220">
        <f>IF(CdTrp3!D79=1,1,IF(CdTrp3!D79=2,2,IF(CdTrp3!D79=3,2,0)))</f>
        <v>0</v>
      </c>
      <c r="DH51" s="220">
        <f>IF(CdTrp3!E79=1,1,IF(CdTrp3!E79=2,2,IF(CdTrp3!E79=3,2,0)))</f>
        <v>0</v>
      </c>
      <c r="DI51" s="220">
        <f>IF(CdTrp3!F79=1,1,IF(CdTrp3!F79=2,2,IF(CdTrp3!F79=3,2,0)))</f>
        <v>0</v>
      </c>
      <c r="DJ51" s="220">
        <f>IF(CdTrp3!G79=1,1,IF(CdTrp3!G79=2,2,IF(CdTrp3!G79=3,2,0)))</f>
        <v>0</v>
      </c>
      <c r="DK51" s="220">
        <f>IF(CdTrp3!H79=1,1,IF(CdTrp3!H79=2,2,IF(CdTrp3!H79=3,2,0)))</f>
        <v>0</v>
      </c>
      <c r="DL51" s="220">
        <f>IF(CdTrp3!I79=1,1,IF(CdTrp3!I79=2,2,IF(CdTrp3!I79=3,2,0)))</f>
        <v>0</v>
      </c>
      <c r="DM51" s="220">
        <f>IF(CdTrp3!J79=1,1,IF(CdTrp3!J79=2,2,IF(CdTrp3!J79=3,2,0)))</f>
        <v>0</v>
      </c>
      <c r="DN51" s="220">
        <f>IF(CdTrp3!K79=1,1,IF(CdTrp3!K79=2,2,IF(CdTrp3!K79=3,2,0)))</f>
        <v>0</v>
      </c>
      <c r="DO51" s="220">
        <f>IF(CdTrp3!L79=1,1,IF(CdTrp3!L79=2,2,IF(CdTrp3!L79=3,2,0)))</f>
        <v>0</v>
      </c>
      <c r="DP51" s="220">
        <f>IF(CdTrp3!M79=1,1,IF(CdTrp3!M79=2,2,IF(CdTrp3!M79=3,2,0)))</f>
        <v>0</v>
      </c>
      <c r="DQ51" s="220">
        <f>IF(CdTrp3!N79=1,1,IF(CdTrp3!N79=2,2,IF(CdTrp3!N79=3,2,0)))</f>
        <v>0</v>
      </c>
      <c r="DR51" s="220">
        <f>IF(CdTrp3!O79=1,1,IF(CdTrp3!O79=2,2,IF(CdTrp3!O79=3,2,0)))</f>
        <v>0</v>
      </c>
      <c r="DS51" s="220">
        <f>IF(CdTrp3!P79=1,1,IF(CdTrp3!P79=2,2,IF(CdTrp3!P79=3,2,0)))</f>
        <v>0</v>
      </c>
      <c r="DT51" s="220">
        <f>IF(CdTrp3!Q79=1,1,IF(CdTrp3!Q79=2,2,IF(CdTrp3!Q79=3,2,0)))</f>
        <v>0</v>
      </c>
      <c r="DU51" s="220">
        <f>IF(CdTrp3!R79=1,1,IF(CdTrp3!R79=2,2,IF(CdTrp3!R79=3,2,0)))</f>
        <v>0</v>
      </c>
      <c r="DV51" s="220">
        <f>IF(CdTrp3!S79=1,1,IF(CdTrp3!S79=2,2,IF(CdTrp3!S79=3,2,0)))</f>
        <v>0</v>
      </c>
      <c r="DW51" s="220">
        <f>IF(CdTrp3!T79=1,1,IF(CdTrp3!T79=2,2,IF(CdTrp3!T79=3,2,0)))</f>
        <v>0</v>
      </c>
      <c r="DX51" s="220">
        <f>IF(CdTrp3!U79=1,1,IF(CdTrp3!U79=2,2,IF(CdTrp3!U79=3,2,0)))</f>
        <v>0</v>
      </c>
      <c r="DY51" s="220">
        <f>IF(CdTrp3!V79=1,1,IF(CdTrp3!V79=2,2,IF(CdTrp3!V79=3,2,0)))</f>
        <v>0</v>
      </c>
      <c r="DZ51" s="220">
        <f>IF(CdTrp3!W79=1,1,IF(CdTrp3!W79=2,2,IF(CdTrp3!W79=3,2,0)))</f>
        <v>0</v>
      </c>
      <c r="EA51" s="220">
        <f>IF(CdTrp3!X79=1,1,IF(CdTrp3!X79=2,2,IF(CdTrp3!X79=3,2,0)))</f>
        <v>0</v>
      </c>
      <c r="EB51" s="220">
        <f>IF(CdTrp3!Y79=1,1,IF(CdTrp3!Y79=2,2,IF(CdTrp3!Y79=3,2,0)))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574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IF(CdTrp1!B80=1,1,IF(CdTrp1!B80=2,2,IF(CdTrp1!B80=3,2,0)))</f>
        <v>0</v>
      </c>
      <c r="AW52" s="220">
        <f>IF(CdTrp1!C80=1,1,IF(CdTrp1!C80=2,2,IF(CdTrp1!C80=3,2,0)))</f>
        <v>0</v>
      </c>
      <c r="AX52" s="220">
        <f>IF(CdTrp1!D80=1,1,IF(CdTrp1!D80=2,2,IF(CdTrp1!D80=3,2,0)))</f>
        <v>0</v>
      </c>
      <c r="AY52" s="220">
        <f>IF(CdTrp1!E80=1,1,IF(CdTrp1!E80=2,2,IF(CdTrp1!E80=3,2,0)))</f>
        <v>0</v>
      </c>
      <c r="AZ52" s="220">
        <f>IF(CdTrp1!F80=1,1,IF(CdTrp1!F80=2,2,IF(CdTrp1!F80=3,2,0)))</f>
        <v>0</v>
      </c>
      <c r="BA52" s="220">
        <f>IF(CdTrp1!G80=1,1,IF(CdTrp1!G80=2,2,IF(CdTrp1!G80=3,2,0)))</f>
        <v>0</v>
      </c>
      <c r="BB52" s="220">
        <f>IF(CdTrp1!H80=1,1,IF(CdTrp1!H80=2,2,IF(CdTrp1!H80=3,2,0)))</f>
        <v>0</v>
      </c>
      <c r="BC52" s="220">
        <f>IF(CdTrp1!I80=1,1,IF(CdTrp1!I80=2,2,IF(CdTrp1!I80=3,2,0)))</f>
        <v>0</v>
      </c>
      <c r="BD52" s="220">
        <f>IF(CdTrp1!J80=1,1,IF(CdTrp1!J80=2,2,IF(CdTrp1!J80=3,2,0)))</f>
        <v>0</v>
      </c>
      <c r="BE52" s="220">
        <f>IF(CdTrp1!K80=1,1,IF(CdTrp1!K80=2,2,IF(CdTrp1!K80=3,2,0)))</f>
        <v>0</v>
      </c>
      <c r="BF52" s="220">
        <f>IF(CdTrp1!L80=1,1,IF(CdTrp1!L80=2,2,IF(CdTrp1!L80=3,2,0)))</f>
        <v>0</v>
      </c>
      <c r="BG52" s="220">
        <f>IF(CdTrp1!M80=1,1,IF(CdTrp1!M80=2,2,IF(CdTrp1!M80=3,2,0)))</f>
        <v>0</v>
      </c>
      <c r="BH52" s="220">
        <f>IF(CdTrp1!N80=1,1,IF(CdTrp1!N80=2,2,IF(CdTrp1!N80=3,2,0)))</f>
        <v>0</v>
      </c>
      <c r="BI52" s="220">
        <f>IF(CdTrp1!O80=1,1,IF(CdTrp1!O80=2,2,IF(CdTrp1!O80=3,2,0)))</f>
        <v>0</v>
      </c>
      <c r="BJ52" s="220">
        <f>IF(CdTrp1!P80=1,1,IF(CdTrp1!P80=2,2,IF(CdTrp1!P80=3,2,0)))</f>
        <v>0</v>
      </c>
      <c r="BK52" s="220">
        <f>IF(CdTrp1!Q80=1,1,IF(CdTrp1!Q80=2,2,IF(CdTrp1!Q80=3,2,0)))</f>
        <v>0</v>
      </c>
      <c r="BL52" s="220">
        <f>IF(CdTrp1!R80=1,1,IF(CdTrp1!R80=2,2,IF(CdTrp1!R80=3,2,0)))</f>
        <v>0</v>
      </c>
      <c r="BM52" s="220">
        <f>IF(CdTrp1!S80=1,1,IF(CdTrp1!S80=2,2,IF(CdTrp1!S80=3,2,0)))</f>
        <v>0</v>
      </c>
      <c r="BN52" s="220">
        <f>IF(CdTrp1!T80=1,1,IF(CdTrp1!T80=2,2,IF(CdTrp1!T80=3,2,0)))</f>
        <v>0</v>
      </c>
      <c r="BO52" s="220">
        <f>IF(CdTrp1!U80=1,1,IF(CdTrp1!U80=2,2,IF(CdTrp1!U80=3,2,0)))</f>
        <v>0</v>
      </c>
      <c r="BP52" s="220">
        <f>IF(CdTrp1!V80=1,1,IF(CdTrp1!V80=2,2,IF(CdTrp1!V80=3,2,0)))</f>
        <v>0</v>
      </c>
      <c r="BQ52" s="220">
        <f>IF(CdTrp1!W80=1,1,IF(CdTrp1!W80=2,2,IF(CdTrp1!W80=3,2,0)))</f>
        <v>0</v>
      </c>
      <c r="BR52" s="220">
        <f>IF(CdTrp1!X80=1,1,IF(CdTrp1!X80=2,2,IF(CdTrp1!X80=3,2,0)))</f>
        <v>0</v>
      </c>
      <c r="BS52" s="220">
        <f>IF(CdTrp1!Y80=1,1,IF(CdTrp1!Y80=2,2,IF(CdTrp1!Y80=3,2,0)))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IF(CdTrp2!B80=1,1,IF(CdTrp2!B80=2,2,IF(CdTrp2!B80=3,2,0)))</f>
        <v>0</v>
      </c>
      <c r="CC52" s="216">
        <f>IF(CdTrp2!C80=1,1,IF(CdTrp2!C80=2,2,IF(CdTrp2!C80=3,2,0)))</f>
        <v>0</v>
      </c>
      <c r="CD52" s="216">
        <f>IF(CdTrp2!D80=1,1,IF(CdTrp2!D80=2,2,IF(CdTrp2!D80=3,2,0)))</f>
        <v>0</v>
      </c>
      <c r="CE52" s="216">
        <f>IF(CdTrp2!E80=1,1,IF(CdTrp2!E80=2,2,IF(CdTrp2!E80=3,2,0)))</f>
        <v>0</v>
      </c>
      <c r="CF52" s="216">
        <f>IF(CdTrp2!F80=1,1,IF(CdTrp2!F80=2,2,IF(CdTrp2!F80=3,2,0)))</f>
        <v>0</v>
      </c>
      <c r="CG52" s="216">
        <f>IF(CdTrp2!G80=1,1,IF(CdTrp2!G80=2,2,IF(CdTrp2!G80=3,2,0)))</f>
        <v>0</v>
      </c>
      <c r="CH52" s="216">
        <f>IF(CdTrp2!H80=1,1,IF(CdTrp2!H80=2,2,IF(CdTrp2!H80=3,2,0)))</f>
        <v>0</v>
      </c>
      <c r="CI52" s="216">
        <f>IF(CdTrp2!I80=1,1,IF(CdTrp2!I80=2,2,IF(CdTrp2!I80=3,2,0)))</f>
        <v>0</v>
      </c>
      <c r="CJ52" s="216">
        <f>IF(CdTrp2!J80=1,1,IF(CdTrp2!J80=2,2,IF(CdTrp2!J80=3,2,0)))</f>
        <v>0</v>
      </c>
      <c r="CK52" s="216">
        <f>IF(CdTrp2!K80=1,1,IF(CdTrp2!K80=2,2,IF(CdTrp2!K80=3,2,0)))</f>
        <v>0</v>
      </c>
      <c r="CL52" s="216">
        <f>IF(CdTrp2!L80=1,1,IF(CdTrp2!L80=2,2,IF(CdTrp2!L80=3,2,0)))</f>
        <v>0</v>
      </c>
      <c r="CM52" s="216">
        <f>IF(CdTrp2!M80=1,1,IF(CdTrp2!M80=2,2,IF(CdTrp2!M80=3,2,0)))</f>
        <v>0</v>
      </c>
      <c r="CN52" s="216">
        <f>IF(CdTrp2!N80=1,1,IF(CdTrp2!N80=2,2,IF(CdTrp2!N80=3,2,0)))</f>
        <v>0</v>
      </c>
      <c r="CO52" s="216">
        <f>IF(CdTrp2!O80=1,1,IF(CdTrp2!O80=2,2,IF(CdTrp2!O80=3,2,0)))</f>
        <v>0</v>
      </c>
      <c r="CP52" s="216">
        <f>IF(CdTrp2!P80=1,1,IF(CdTrp2!P80=2,2,IF(CdTrp2!P80=3,2,0)))</f>
        <v>0</v>
      </c>
      <c r="CQ52" s="216">
        <f>IF(CdTrp2!Q80=1,1,IF(CdTrp2!Q80=2,2,IF(CdTrp2!Q80=3,2,0)))</f>
        <v>0</v>
      </c>
      <c r="CR52" s="216">
        <f>IF(CdTrp2!R80=1,1,IF(CdTrp2!R80=2,2,IF(CdTrp2!R80=3,2,0)))</f>
        <v>0</v>
      </c>
      <c r="CS52" s="216">
        <f>IF(CdTrp2!S80=1,1,IF(CdTrp2!S80=2,2,IF(CdTrp2!S80=3,2,0)))</f>
        <v>0</v>
      </c>
      <c r="CT52" s="216">
        <f>IF(CdTrp2!T80=1,1,IF(CdTrp2!T80=2,2,IF(CdTrp2!T80=3,2,0)))</f>
        <v>0</v>
      </c>
      <c r="CU52" s="216">
        <f>IF(CdTrp2!U80=1,1,IF(CdTrp2!U80=2,2,IF(CdTrp2!U80=3,2,0)))</f>
        <v>0</v>
      </c>
      <c r="CV52" s="216">
        <f>IF(CdTrp2!V80=1,1,IF(CdTrp2!V80=2,2,IF(CdTrp2!V80=3,2,0)))</f>
        <v>0</v>
      </c>
      <c r="CW52" s="216">
        <f>IF(CdTrp2!W80=1,1,IF(CdTrp2!W80=2,2,IF(CdTrp2!W80=3,2,0)))</f>
        <v>0</v>
      </c>
      <c r="CX52" s="216">
        <f>IF(CdTrp2!X80=1,1,IF(CdTrp2!X80=2,2,IF(CdTrp2!X80=3,2,0)))</f>
        <v>0</v>
      </c>
      <c r="CY52" s="216">
        <f>IF(CdTrp2!Y80=1,1,IF(CdTrp2!Y80=2,2,IF(CdTrp2!Y80=3,2,0)))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IF(CdTrp3!B80=1,1,IF(CdTrp3!B80=2,2,IF(CdTrp3!B80=3,2,0)))</f>
        <v>0</v>
      </c>
      <c r="DF52" s="220">
        <f>IF(CdTrp3!C80=1,1,IF(CdTrp3!C80=2,2,IF(CdTrp3!C80=3,2,0)))</f>
        <v>0</v>
      </c>
      <c r="DG52" s="220">
        <f>IF(CdTrp3!D80=1,1,IF(CdTrp3!D80=2,2,IF(CdTrp3!D80=3,2,0)))</f>
        <v>0</v>
      </c>
      <c r="DH52" s="220">
        <f>IF(CdTrp3!E80=1,1,IF(CdTrp3!E80=2,2,IF(CdTrp3!E80=3,2,0)))</f>
        <v>0</v>
      </c>
      <c r="DI52" s="220">
        <f>IF(CdTrp3!F80=1,1,IF(CdTrp3!F80=2,2,IF(CdTrp3!F80=3,2,0)))</f>
        <v>0</v>
      </c>
      <c r="DJ52" s="220">
        <f>IF(CdTrp3!G80=1,1,IF(CdTrp3!G80=2,2,IF(CdTrp3!G80=3,2,0)))</f>
        <v>0</v>
      </c>
      <c r="DK52" s="220">
        <f>IF(CdTrp3!H80=1,1,IF(CdTrp3!H80=2,2,IF(CdTrp3!H80=3,2,0)))</f>
        <v>0</v>
      </c>
      <c r="DL52" s="220">
        <f>IF(CdTrp3!I80=1,1,IF(CdTrp3!I80=2,2,IF(CdTrp3!I80=3,2,0)))</f>
        <v>0</v>
      </c>
      <c r="DM52" s="220">
        <f>IF(CdTrp3!J80=1,1,IF(CdTrp3!J80=2,2,IF(CdTrp3!J80=3,2,0)))</f>
        <v>0</v>
      </c>
      <c r="DN52" s="220">
        <f>IF(CdTrp3!K80=1,1,IF(CdTrp3!K80=2,2,IF(CdTrp3!K80=3,2,0)))</f>
        <v>0</v>
      </c>
      <c r="DO52" s="220">
        <f>IF(CdTrp3!L80=1,1,IF(CdTrp3!L80=2,2,IF(CdTrp3!L80=3,2,0)))</f>
        <v>0</v>
      </c>
      <c r="DP52" s="220">
        <f>IF(CdTrp3!M80=1,1,IF(CdTrp3!M80=2,2,IF(CdTrp3!M80=3,2,0)))</f>
        <v>0</v>
      </c>
      <c r="DQ52" s="220">
        <f>IF(CdTrp3!N80=1,1,IF(CdTrp3!N80=2,2,IF(CdTrp3!N80=3,2,0)))</f>
        <v>0</v>
      </c>
      <c r="DR52" s="220">
        <f>IF(CdTrp3!O80=1,1,IF(CdTrp3!O80=2,2,IF(CdTrp3!O80=3,2,0)))</f>
        <v>0</v>
      </c>
      <c r="DS52" s="220">
        <f>IF(CdTrp3!P80=1,1,IF(CdTrp3!P80=2,2,IF(CdTrp3!P80=3,2,0)))</f>
        <v>0</v>
      </c>
      <c r="DT52" s="220">
        <f>IF(CdTrp3!Q80=1,1,IF(CdTrp3!Q80=2,2,IF(CdTrp3!Q80=3,2,0)))</f>
        <v>0</v>
      </c>
      <c r="DU52" s="220">
        <f>IF(CdTrp3!R80=1,1,IF(CdTrp3!R80=2,2,IF(CdTrp3!R80=3,2,0)))</f>
        <v>0</v>
      </c>
      <c r="DV52" s="220">
        <f>IF(CdTrp3!S80=1,1,IF(CdTrp3!S80=2,2,IF(CdTrp3!S80=3,2,0)))</f>
        <v>0</v>
      </c>
      <c r="DW52" s="220">
        <f>IF(CdTrp3!T80=1,1,IF(CdTrp3!T80=2,2,IF(CdTrp3!T80=3,2,0)))</f>
        <v>0</v>
      </c>
      <c r="DX52" s="220">
        <f>IF(CdTrp3!U80=1,1,IF(CdTrp3!U80=2,2,IF(CdTrp3!U80=3,2,0)))</f>
        <v>0</v>
      </c>
      <c r="DY52" s="220">
        <f>IF(CdTrp3!V80=1,1,IF(CdTrp3!V80=2,2,IF(CdTrp3!V80=3,2,0)))</f>
        <v>0</v>
      </c>
      <c r="DZ52" s="220">
        <f>IF(CdTrp3!W80=1,1,IF(CdTrp3!W80=2,2,IF(CdTrp3!W80=3,2,0)))</f>
        <v>0</v>
      </c>
      <c r="EA52" s="220">
        <f>IF(CdTrp3!X80=1,1,IF(CdTrp3!X80=2,2,IF(CdTrp3!X80=3,2,0)))</f>
        <v>0</v>
      </c>
      <c r="EB52" s="220">
        <f>IF(CdTrp3!Y80=1,1,IF(CdTrp3!Y80=2,2,IF(CdTrp3!Y80=3,2,0)))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1025</v>
      </c>
      <c r="Y53" s="216">
        <f>ROUND(SUM(AC49:AC51)/SUM(AC47:AC51)*100,0)</f>
        <v>100</v>
      </c>
      <c r="Z53" s="216" t="s">
        <v>536</v>
      </c>
      <c r="AA53" s="216"/>
      <c r="AB53" s="216"/>
      <c r="AC53" s="216"/>
      <c r="AD53" s="216"/>
      <c r="AE53" s="216"/>
      <c r="AF53" s="216"/>
      <c r="AG53" s="272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IF(CdTrp1!B81=1,1,IF(CdTrp1!B81=2,2,IF(CdTrp1!B81=3,2,0)))</f>
        <v>0</v>
      </c>
      <c r="AW53" s="220">
        <f>IF(CdTrp1!C81=1,1,IF(CdTrp1!C81=2,2,IF(CdTrp1!C81=3,2,0)))</f>
        <v>0</v>
      </c>
      <c r="AX53" s="220">
        <f>IF(CdTrp1!D81=1,1,IF(CdTrp1!D81=2,2,IF(CdTrp1!D81=3,2,0)))</f>
        <v>0</v>
      </c>
      <c r="AY53" s="220">
        <f>IF(CdTrp1!E81=1,1,IF(CdTrp1!E81=2,2,IF(CdTrp1!E81=3,2,0)))</f>
        <v>0</v>
      </c>
      <c r="AZ53" s="220">
        <f>IF(CdTrp1!F81=1,1,IF(CdTrp1!F81=2,2,IF(CdTrp1!F81=3,2,0)))</f>
        <v>0</v>
      </c>
      <c r="BA53" s="220">
        <f>IF(CdTrp1!G81=1,1,IF(CdTrp1!G81=2,2,IF(CdTrp1!G81=3,2,0)))</f>
        <v>0</v>
      </c>
      <c r="BB53" s="220">
        <f>IF(CdTrp1!H81=1,1,IF(CdTrp1!H81=2,2,IF(CdTrp1!H81=3,2,0)))</f>
        <v>0</v>
      </c>
      <c r="BC53" s="220">
        <f>IF(CdTrp1!I81=1,1,IF(CdTrp1!I81=2,2,IF(CdTrp1!I81=3,2,0)))</f>
        <v>0</v>
      </c>
      <c r="BD53" s="220">
        <f>IF(CdTrp1!J81=1,1,IF(CdTrp1!J81=2,2,IF(CdTrp1!J81=3,2,0)))</f>
        <v>0</v>
      </c>
      <c r="BE53" s="220">
        <f>IF(CdTrp1!K81=1,1,IF(CdTrp1!K81=2,2,IF(CdTrp1!K81=3,2,0)))</f>
        <v>0</v>
      </c>
      <c r="BF53" s="220">
        <f>IF(CdTrp1!L81=1,1,IF(CdTrp1!L81=2,2,IF(CdTrp1!L81=3,2,0)))</f>
        <v>0</v>
      </c>
      <c r="BG53" s="220">
        <f>IF(CdTrp1!M81=1,1,IF(CdTrp1!M81=2,2,IF(CdTrp1!M81=3,2,0)))</f>
        <v>0</v>
      </c>
      <c r="BH53" s="220">
        <f>IF(CdTrp1!N81=1,1,IF(CdTrp1!N81=2,2,IF(CdTrp1!N81=3,2,0)))</f>
        <v>0</v>
      </c>
      <c r="BI53" s="220">
        <f>IF(CdTrp1!O81=1,1,IF(CdTrp1!O81=2,2,IF(CdTrp1!O81=3,2,0)))</f>
        <v>0</v>
      </c>
      <c r="BJ53" s="220">
        <f>IF(CdTrp1!P81=1,1,IF(CdTrp1!P81=2,2,IF(CdTrp1!P81=3,2,0)))</f>
        <v>0</v>
      </c>
      <c r="BK53" s="220">
        <f>IF(CdTrp1!Q81=1,1,IF(CdTrp1!Q81=2,2,IF(CdTrp1!Q81=3,2,0)))</f>
        <v>0</v>
      </c>
      <c r="BL53" s="220">
        <f>IF(CdTrp1!R81=1,1,IF(CdTrp1!R81=2,2,IF(CdTrp1!R81=3,2,0)))</f>
        <v>0</v>
      </c>
      <c r="BM53" s="220">
        <f>IF(CdTrp1!S81=1,1,IF(CdTrp1!S81=2,2,IF(CdTrp1!S81=3,2,0)))</f>
        <v>0</v>
      </c>
      <c r="BN53" s="220">
        <f>IF(CdTrp1!T81=1,1,IF(CdTrp1!T81=2,2,IF(CdTrp1!T81=3,2,0)))</f>
        <v>0</v>
      </c>
      <c r="BO53" s="220">
        <f>IF(CdTrp1!U81=1,1,IF(CdTrp1!U81=2,2,IF(CdTrp1!U81=3,2,0)))</f>
        <v>0</v>
      </c>
      <c r="BP53" s="220">
        <f>IF(CdTrp1!V81=1,1,IF(CdTrp1!V81=2,2,IF(CdTrp1!V81=3,2,0)))</f>
        <v>0</v>
      </c>
      <c r="BQ53" s="220">
        <f>IF(CdTrp1!W81=1,1,IF(CdTrp1!W81=2,2,IF(CdTrp1!W81=3,2,0)))</f>
        <v>0</v>
      </c>
      <c r="BR53" s="220">
        <f>IF(CdTrp1!X81=1,1,IF(CdTrp1!X81=2,2,IF(CdTrp1!X81=3,2,0)))</f>
        <v>0</v>
      </c>
      <c r="BS53" s="220">
        <f>IF(CdTrp1!Y81=1,1,IF(CdTrp1!Y81=2,2,IF(CdTrp1!Y81=3,2,0)))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IF(CdTrp2!B81=1,1,IF(CdTrp2!B81=2,2,IF(CdTrp2!B81=3,2,0)))</f>
        <v>0</v>
      </c>
      <c r="CC53" s="216">
        <f>IF(CdTrp2!C81=1,1,IF(CdTrp2!C81=2,2,IF(CdTrp2!C81=3,2,0)))</f>
        <v>0</v>
      </c>
      <c r="CD53" s="216">
        <f>IF(CdTrp2!D81=1,1,IF(CdTrp2!D81=2,2,IF(CdTrp2!D81=3,2,0)))</f>
        <v>0</v>
      </c>
      <c r="CE53" s="216">
        <f>IF(CdTrp2!E81=1,1,IF(CdTrp2!E81=2,2,IF(CdTrp2!E81=3,2,0)))</f>
        <v>0</v>
      </c>
      <c r="CF53" s="216">
        <f>IF(CdTrp2!F81=1,1,IF(CdTrp2!F81=2,2,IF(CdTrp2!F81=3,2,0)))</f>
        <v>0</v>
      </c>
      <c r="CG53" s="216">
        <f>IF(CdTrp2!G81=1,1,IF(CdTrp2!G81=2,2,IF(CdTrp2!G81=3,2,0)))</f>
        <v>0</v>
      </c>
      <c r="CH53" s="216">
        <f>IF(CdTrp2!H81=1,1,IF(CdTrp2!H81=2,2,IF(CdTrp2!H81=3,2,0)))</f>
        <v>0</v>
      </c>
      <c r="CI53" s="216">
        <f>IF(CdTrp2!I81=1,1,IF(CdTrp2!I81=2,2,IF(CdTrp2!I81=3,2,0)))</f>
        <v>0</v>
      </c>
      <c r="CJ53" s="216">
        <f>IF(CdTrp2!J81=1,1,IF(CdTrp2!J81=2,2,IF(CdTrp2!J81=3,2,0)))</f>
        <v>0</v>
      </c>
      <c r="CK53" s="216">
        <f>IF(CdTrp2!K81=1,1,IF(CdTrp2!K81=2,2,IF(CdTrp2!K81=3,2,0)))</f>
        <v>0</v>
      </c>
      <c r="CL53" s="216">
        <f>IF(CdTrp2!L81=1,1,IF(CdTrp2!L81=2,2,IF(CdTrp2!L81=3,2,0)))</f>
        <v>0</v>
      </c>
      <c r="CM53" s="216">
        <f>IF(CdTrp2!M81=1,1,IF(CdTrp2!M81=2,2,IF(CdTrp2!M81=3,2,0)))</f>
        <v>0</v>
      </c>
      <c r="CN53" s="216">
        <f>IF(CdTrp2!N81=1,1,IF(CdTrp2!N81=2,2,IF(CdTrp2!N81=3,2,0)))</f>
        <v>0</v>
      </c>
      <c r="CO53" s="216">
        <f>IF(CdTrp2!O81=1,1,IF(CdTrp2!O81=2,2,IF(CdTrp2!O81=3,2,0)))</f>
        <v>0</v>
      </c>
      <c r="CP53" s="216">
        <f>IF(CdTrp2!P81=1,1,IF(CdTrp2!P81=2,2,IF(CdTrp2!P81=3,2,0)))</f>
        <v>0</v>
      </c>
      <c r="CQ53" s="216">
        <f>IF(CdTrp2!Q81=1,1,IF(CdTrp2!Q81=2,2,IF(CdTrp2!Q81=3,2,0)))</f>
        <v>0</v>
      </c>
      <c r="CR53" s="216">
        <f>IF(CdTrp2!R81=1,1,IF(CdTrp2!R81=2,2,IF(CdTrp2!R81=3,2,0)))</f>
        <v>0</v>
      </c>
      <c r="CS53" s="216">
        <f>IF(CdTrp2!S81=1,1,IF(CdTrp2!S81=2,2,IF(CdTrp2!S81=3,2,0)))</f>
        <v>0</v>
      </c>
      <c r="CT53" s="216">
        <f>IF(CdTrp2!T81=1,1,IF(CdTrp2!T81=2,2,IF(CdTrp2!T81=3,2,0)))</f>
        <v>0</v>
      </c>
      <c r="CU53" s="216">
        <f>IF(CdTrp2!U81=1,1,IF(CdTrp2!U81=2,2,IF(CdTrp2!U81=3,2,0)))</f>
        <v>0</v>
      </c>
      <c r="CV53" s="216">
        <f>IF(CdTrp2!V81=1,1,IF(CdTrp2!V81=2,2,IF(CdTrp2!V81=3,2,0)))</f>
        <v>0</v>
      </c>
      <c r="CW53" s="216">
        <f>IF(CdTrp2!W81=1,1,IF(CdTrp2!W81=2,2,IF(CdTrp2!W81=3,2,0)))</f>
        <v>0</v>
      </c>
      <c r="CX53" s="216">
        <f>IF(CdTrp2!X81=1,1,IF(CdTrp2!X81=2,2,IF(CdTrp2!X81=3,2,0)))</f>
        <v>0</v>
      </c>
      <c r="CY53" s="216">
        <f>IF(CdTrp2!Y81=1,1,IF(CdTrp2!Y81=2,2,IF(CdTrp2!Y81=3,2,0)))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IF(CdTrp3!B81=1,1,IF(CdTrp3!B81=2,2,IF(CdTrp3!B81=3,2,0)))</f>
        <v>0</v>
      </c>
      <c r="DF53" s="220">
        <f>IF(CdTrp3!C81=1,1,IF(CdTrp3!C81=2,2,IF(CdTrp3!C81=3,2,0)))</f>
        <v>0</v>
      </c>
      <c r="DG53" s="220">
        <f>IF(CdTrp3!D81=1,1,IF(CdTrp3!D81=2,2,IF(CdTrp3!D81=3,2,0)))</f>
        <v>0</v>
      </c>
      <c r="DH53" s="220">
        <f>IF(CdTrp3!E81=1,1,IF(CdTrp3!E81=2,2,IF(CdTrp3!E81=3,2,0)))</f>
        <v>0</v>
      </c>
      <c r="DI53" s="220">
        <f>IF(CdTrp3!F81=1,1,IF(CdTrp3!F81=2,2,IF(CdTrp3!F81=3,2,0)))</f>
        <v>0</v>
      </c>
      <c r="DJ53" s="220">
        <f>IF(CdTrp3!G81=1,1,IF(CdTrp3!G81=2,2,IF(CdTrp3!G81=3,2,0)))</f>
        <v>0</v>
      </c>
      <c r="DK53" s="220">
        <f>IF(CdTrp3!H81=1,1,IF(CdTrp3!H81=2,2,IF(CdTrp3!H81=3,2,0)))</f>
        <v>0</v>
      </c>
      <c r="DL53" s="220">
        <f>IF(CdTrp3!I81=1,1,IF(CdTrp3!I81=2,2,IF(CdTrp3!I81=3,2,0)))</f>
        <v>0</v>
      </c>
      <c r="DM53" s="220">
        <f>IF(CdTrp3!J81=1,1,IF(CdTrp3!J81=2,2,IF(CdTrp3!J81=3,2,0)))</f>
        <v>0</v>
      </c>
      <c r="DN53" s="220">
        <f>IF(CdTrp3!K81=1,1,IF(CdTrp3!K81=2,2,IF(CdTrp3!K81=3,2,0)))</f>
        <v>0</v>
      </c>
      <c r="DO53" s="220">
        <f>IF(CdTrp3!L81=1,1,IF(CdTrp3!L81=2,2,IF(CdTrp3!L81=3,2,0)))</f>
        <v>0</v>
      </c>
      <c r="DP53" s="220">
        <f>IF(CdTrp3!M81=1,1,IF(CdTrp3!M81=2,2,IF(CdTrp3!M81=3,2,0)))</f>
        <v>0</v>
      </c>
      <c r="DQ53" s="220">
        <f>IF(CdTrp3!N81=1,1,IF(CdTrp3!N81=2,2,IF(CdTrp3!N81=3,2,0)))</f>
        <v>0</v>
      </c>
      <c r="DR53" s="220">
        <f>IF(CdTrp3!O81=1,1,IF(CdTrp3!O81=2,2,IF(CdTrp3!O81=3,2,0)))</f>
        <v>0</v>
      </c>
      <c r="DS53" s="220">
        <f>IF(CdTrp3!P81=1,1,IF(CdTrp3!P81=2,2,IF(CdTrp3!P81=3,2,0)))</f>
        <v>0</v>
      </c>
      <c r="DT53" s="220">
        <f>IF(CdTrp3!Q81=1,1,IF(CdTrp3!Q81=2,2,IF(CdTrp3!Q81=3,2,0)))</f>
        <v>0</v>
      </c>
      <c r="DU53" s="220">
        <f>IF(CdTrp3!R81=1,1,IF(CdTrp3!R81=2,2,IF(CdTrp3!R81=3,2,0)))</f>
        <v>0</v>
      </c>
      <c r="DV53" s="220">
        <f>IF(CdTrp3!S81=1,1,IF(CdTrp3!S81=2,2,IF(CdTrp3!S81=3,2,0)))</f>
        <v>0</v>
      </c>
      <c r="DW53" s="220">
        <f>IF(CdTrp3!T81=1,1,IF(CdTrp3!T81=2,2,IF(CdTrp3!T81=3,2,0)))</f>
        <v>0</v>
      </c>
      <c r="DX53" s="220">
        <f>IF(CdTrp3!U81=1,1,IF(CdTrp3!U81=2,2,IF(CdTrp3!U81=3,2,0)))</f>
        <v>0</v>
      </c>
      <c r="DY53" s="220">
        <f>IF(CdTrp3!V81=1,1,IF(CdTrp3!V81=2,2,IF(CdTrp3!V81=3,2,0)))</f>
        <v>0</v>
      </c>
      <c r="DZ53" s="220">
        <f>IF(CdTrp3!W81=1,1,IF(CdTrp3!W81=2,2,IF(CdTrp3!W81=3,2,0)))</f>
        <v>0</v>
      </c>
      <c r="EA53" s="220">
        <f>IF(CdTrp3!X81=1,1,IF(CdTrp3!X81=2,2,IF(CdTrp3!X81=3,2,0)))</f>
        <v>0</v>
      </c>
      <c r="EB53" s="220">
        <f>IF(CdTrp3!Y81=1,1,IF(CdTrp3!Y81=2,2,IF(CdTrp3!Y81=3,2,0)))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1026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2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IF(CdTrp1!B82=1,1,IF(CdTrp1!B82=2,2,IF(CdTrp1!B82=3,2,0)))</f>
        <v>0</v>
      </c>
      <c r="AW54" s="220">
        <f>IF(CdTrp1!C82=1,1,IF(CdTrp1!C82=2,2,IF(CdTrp1!C82=3,2,0)))</f>
        <v>0</v>
      </c>
      <c r="AX54" s="220">
        <f>IF(CdTrp1!D82=1,1,IF(CdTrp1!D82=2,2,IF(CdTrp1!D82=3,2,0)))</f>
        <v>0</v>
      </c>
      <c r="AY54" s="220">
        <f>IF(CdTrp1!E82=1,1,IF(CdTrp1!E82=2,2,IF(CdTrp1!E82=3,2,0)))</f>
        <v>0</v>
      </c>
      <c r="AZ54" s="220">
        <f>IF(CdTrp1!F82=1,1,IF(CdTrp1!F82=2,2,IF(CdTrp1!F82=3,2,0)))</f>
        <v>0</v>
      </c>
      <c r="BA54" s="220">
        <f>IF(CdTrp1!G82=1,1,IF(CdTrp1!G82=2,2,IF(CdTrp1!G82=3,2,0)))</f>
        <v>0</v>
      </c>
      <c r="BB54" s="220">
        <f>IF(CdTrp1!H82=1,1,IF(CdTrp1!H82=2,2,IF(CdTrp1!H82=3,2,0)))</f>
        <v>0</v>
      </c>
      <c r="BC54" s="220">
        <f>IF(CdTrp1!I82=1,1,IF(CdTrp1!I82=2,2,IF(CdTrp1!I82=3,2,0)))</f>
        <v>0</v>
      </c>
      <c r="BD54" s="220">
        <f>IF(CdTrp1!J82=1,1,IF(CdTrp1!J82=2,2,IF(CdTrp1!J82=3,2,0)))</f>
        <v>0</v>
      </c>
      <c r="BE54" s="220">
        <f>IF(CdTrp1!K82=1,1,IF(CdTrp1!K82=2,2,IF(CdTrp1!K82=3,2,0)))</f>
        <v>0</v>
      </c>
      <c r="BF54" s="220">
        <f>IF(CdTrp1!L82=1,1,IF(CdTrp1!L82=2,2,IF(CdTrp1!L82=3,2,0)))</f>
        <v>0</v>
      </c>
      <c r="BG54" s="220">
        <f>IF(CdTrp1!M82=1,1,IF(CdTrp1!M82=2,2,IF(CdTrp1!M82=3,2,0)))</f>
        <v>0</v>
      </c>
      <c r="BH54" s="220">
        <f>IF(CdTrp1!N82=1,1,IF(CdTrp1!N82=2,2,IF(CdTrp1!N82=3,2,0)))</f>
        <v>0</v>
      </c>
      <c r="BI54" s="220">
        <f>IF(CdTrp1!O82=1,1,IF(CdTrp1!O82=2,2,IF(CdTrp1!O82=3,2,0)))</f>
        <v>0</v>
      </c>
      <c r="BJ54" s="220">
        <f>IF(CdTrp1!P82=1,1,IF(CdTrp1!P82=2,2,IF(CdTrp1!P82=3,2,0)))</f>
        <v>0</v>
      </c>
      <c r="BK54" s="220">
        <f>IF(CdTrp1!Q82=1,1,IF(CdTrp1!Q82=2,2,IF(CdTrp1!Q82=3,2,0)))</f>
        <v>0</v>
      </c>
      <c r="BL54" s="220">
        <f>IF(CdTrp1!R82=1,1,IF(CdTrp1!R82=2,2,IF(CdTrp1!R82=3,2,0)))</f>
        <v>0</v>
      </c>
      <c r="BM54" s="220">
        <f>IF(CdTrp1!S82=1,1,IF(CdTrp1!S82=2,2,IF(CdTrp1!S82=3,2,0)))</f>
        <v>0</v>
      </c>
      <c r="BN54" s="220">
        <f>IF(CdTrp1!T82=1,1,IF(CdTrp1!T82=2,2,IF(CdTrp1!T82=3,2,0)))</f>
        <v>0</v>
      </c>
      <c r="BO54" s="220">
        <f>IF(CdTrp1!U82=1,1,IF(CdTrp1!U82=2,2,IF(CdTrp1!U82=3,2,0)))</f>
        <v>0</v>
      </c>
      <c r="BP54" s="220">
        <f>IF(CdTrp1!V82=1,1,IF(CdTrp1!V82=2,2,IF(CdTrp1!V82=3,2,0)))</f>
        <v>0</v>
      </c>
      <c r="BQ54" s="220">
        <f>IF(CdTrp1!W82=1,1,IF(CdTrp1!W82=2,2,IF(CdTrp1!W82=3,2,0)))</f>
        <v>0</v>
      </c>
      <c r="BR54" s="220">
        <f>IF(CdTrp1!X82=1,1,IF(CdTrp1!X82=2,2,IF(CdTrp1!X82=3,2,0)))</f>
        <v>0</v>
      </c>
      <c r="BS54" s="220">
        <f>IF(CdTrp1!Y82=1,1,IF(CdTrp1!Y82=2,2,IF(CdTrp1!Y82=3,2,0)))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IF(CdTrp2!B82=1,1,IF(CdTrp2!B82=2,2,IF(CdTrp2!B82=3,2,0)))</f>
        <v>0</v>
      </c>
      <c r="CC54" s="216">
        <f>IF(CdTrp2!C82=1,1,IF(CdTrp2!C82=2,2,IF(CdTrp2!C82=3,2,0)))</f>
        <v>0</v>
      </c>
      <c r="CD54" s="216">
        <f>IF(CdTrp2!D82=1,1,IF(CdTrp2!D82=2,2,IF(CdTrp2!D82=3,2,0)))</f>
        <v>0</v>
      </c>
      <c r="CE54" s="216">
        <f>IF(CdTrp2!E82=1,1,IF(CdTrp2!E82=2,2,IF(CdTrp2!E82=3,2,0)))</f>
        <v>0</v>
      </c>
      <c r="CF54" s="216">
        <f>IF(CdTrp2!F82=1,1,IF(CdTrp2!F82=2,2,IF(CdTrp2!F82=3,2,0)))</f>
        <v>0</v>
      </c>
      <c r="CG54" s="216">
        <f>IF(CdTrp2!G82=1,1,IF(CdTrp2!G82=2,2,IF(CdTrp2!G82=3,2,0)))</f>
        <v>0</v>
      </c>
      <c r="CH54" s="216">
        <f>IF(CdTrp2!H82=1,1,IF(CdTrp2!H82=2,2,IF(CdTrp2!H82=3,2,0)))</f>
        <v>0</v>
      </c>
      <c r="CI54" s="216">
        <f>IF(CdTrp2!I82=1,1,IF(CdTrp2!I82=2,2,IF(CdTrp2!I82=3,2,0)))</f>
        <v>0</v>
      </c>
      <c r="CJ54" s="216">
        <f>IF(CdTrp2!J82=1,1,IF(CdTrp2!J82=2,2,IF(CdTrp2!J82=3,2,0)))</f>
        <v>0</v>
      </c>
      <c r="CK54" s="216">
        <f>IF(CdTrp2!K82=1,1,IF(CdTrp2!K82=2,2,IF(CdTrp2!K82=3,2,0)))</f>
        <v>0</v>
      </c>
      <c r="CL54" s="216">
        <f>IF(CdTrp2!L82=1,1,IF(CdTrp2!L82=2,2,IF(CdTrp2!L82=3,2,0)))</f>
        <v>0</v>
      </c>
      <c r="CM54" s="216">
        <f>IF(CdTrp2!M82=1,1,IF(CdTrp2!M82=2,2,IF(CdTrp2!M82=3,2,0)))</f>
        <v>0</v>
      </c>
      <c r="CN54" s="216">
        <f>IF(CdTrp2!N82=1,1,IF(CdTrp2!N82=2,2,IF(CdTrp2!N82=3,2,0)))</f>
        <v>0</v>
      </c>
      <c r="CO54" s="216">
        <f>IF(CdTrp2!O82=1,1,IF(CdTrp2!O82=2,2,IF(CdTrp2!O82=3,2,0)))</f>
        <v>0</v>
      </c>
      <c r="CP54" s="216">
        <f>IF(CdTrp2!P82=1,1,IF(CdTrp2!P82=2,2,IF(CdTrp2!P82=3,2,0)))</f>
        <v>0</v>
      </c>
      <c r="CQ54" s="216">
        <f>IF(CdTrp2!Q82=1,1,IF(CdTrp2!Q82=2,2,IF(CdTrp2!Q82=3,2,0)))</f>
        <v>0</v>
      </c>
      <c r="CR54" s="216">
        <f>IF(CdTrp2!R82=1,1,IF(CdTrp2!R82=2,2,IF(CdTrp2!R82=3,2,0)))</f>
        <v>0</v>
      </c>
      <c r="CS54" s="216">
        <f>IF(CdTrp2!S82=1,1,IF(CdTrp2!S82=2,2,IF(CdTrp2!S82=3,2,0)))</f>
        <v>0</v>
      </c>
      <c r="CT54" s="216">
        <f>IF(CdTrp2!T82=1,1,IF(CdTrp2!T82=2,2,IF(CdTrp2!T82=3,2,0)))</f>
        <v>0</v>
      </c>
      <c r="CU54" s="216">
        <f>IF(CdTrp2!U82=1,1,IF(CdTrp2!U82=2,2,IF(CdTrp2!U82=3,2,0)))</f>
        <v>0</v>
      </c>
      <c r="CV54" s="216">
        <f>IF(CdTrp2!V82=1,1,IF(CdTrp2!V82=2,2,IF(CdTrp2!V82=3,2,0)))</f>
        <v>0</v>
      </c>
      <c r="CW54" s="216">
        <f>IF(CdTrp2!W82=1,1,IF(CdTrp2!W82=2,2,IF(CdTrp2!W82=3,2,0)))</f>
        <v>0</v>
      </c>
      <c r="CX54" s="216">
        <f>IF(CdTrp2!X82=1,1,IF(CdTrp2!X82=2,2,IF(CdTrp2!X82=3,2,0)))</f>
        <v>0</v>
      </c>
      <c r="CY54" s="216">
        <f>IF(CdTrp2!Y82=1,1,IF(CdTrp2!Y82=2,2,IF(CdTrp2!Y82=3,2,0)))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IF(CdTrp3!B82=1,1,IF(CdTrp3!B82=2,2,IF(CdTrp3!B82=3,2,0)))</f>
        <v>0</v>
      </c>
      <c r="DF54" s="220">
        <f>IF(CdTrp3!C82=1,1,IF(CdTrp3!C82=2,2,IF(CdTrp3!C82=3,2,0)))</f>
        <v>0</v>
      </c>
      <c r="DG54" s="220">
        <f>IF(CdTrp3!D82=1,1,IF(CdTrp3!D82=2,2,IF(CdTrp3!D82=3,2,0)))</f>
        <v>0</v>
      </c>
      <c r="DH54" s="220">
        <f>IF(CdTrp3!E82=1,1,IF(CdTrp3!E82=2,2,IF(CdTrp3!E82=3,2,0)))</f>
        <v>0</v>
      </c>
      <c r="DI54" s="220">
        <f>IF(CdTrp3!F82=1,1,IF(CdTrp3!F82=2,2,IF(CdTrp3!F82=3,2,0)))</f>
        <v>0</v>
      </c>
      <c r="DJ54" s="220">
        <f>IF(CdTrp3!G82=1,1,IF(CdTrp3!G82=2,2,IF(CdTrp3!G82=3,2,0)))</f>
        <v>0</v>
      </c>
      <c r="DK54" s="220">
        <f>IF(CdTrp3!H82=1,1,IF(CdTrp3!H82=2,2,IF(CdTrp3!H82=3,2,0)))</f>
        <v>0</v>
      </c>
      <c r="DL54" s="220">
        <f>IF(CdTrp3!I82=1,1,IF(CdTrp3!I82=2,2,IF(CdTrp3!I82=3,2,0)))</f>
        <v>0</v>
      </c>
      <c r="DM54" s="220">
        <f>IF(CdTrp3!J82=1,1,IF(CdTrp3!J82=2,2,IF(CdTrp3!J82=3,2,0)))</f>
        <v>0</v>
      </c>
      <c r="DN54" s="220">
        <f>IF(CdTrp3!K82=1,1,IF(CdTrp3!K82=2,2,IF(CdTrp3!K82=3,2,0)))</f>
        <v>0</v>
      </c>
      <c r="DO54" s="220">
        <f>IF(CdTrp3!L82=1,1,IF(CdTrp3!L82=2,2,IF(CdTrp3!L82=3,2,0)))</f>
        <v>0</v>
      </c>
      <c r="DP54" s="220">
        <f>IF(CdTrp3!M82=1,1,IF(CdTrp3!M82=2,2,IF(CdTrp3!M82=3,2,0)))</f>
        <v>0</v>
      </c>
      <c r="DQ54" s="220">
        <f>IF(CdTrp3!N82=1,1,IF(CdTrp3!N82=2,2,IF(CdTrp3!N82=3,2,0)))</f>
        <v>0</v>
      </c>
      <c r="DR54" s="220">
        <f>IF(CdTrp3!O82=1,1,IF(CdTrp3!O82=2,2,IF(CdTrp3!O82=3,2,0)))</f>
        <v>0</v>
      </c>
      <c r="DS54" s="220">
        <f>IF(CdTrp3!P82=1,1,IF(CdTrp3!P82=2,2,IF(CdTrp3!P82=3,2,0)))</f>
        <v>0</v>
      </c>
      <c r="DT54" s="220">
        <f>IF(CdTrp3!Q82=1,1,IF(CdTrp3!Q82=2,2,IF(CdTrp3!Q82=3,2,0)))</f>
        <v>0</v>
      </c>
      <c r="DU54" s="220">
        <f>IF(CdTrp3!R82=1,1,IF(CdTrp3!R82=2,2,IF(CdTrp3!R82=3,2,0)))</f>
        <v>0</v>
      </c>
      <c r="DV54" s="220">
        <f>IF(CdTrp3!S82=1,1,IF(CdTrp3!S82=2,2,IF(CdTrp3!S82=3,2,0)))</f>
        <v>0</v>
      </c>
      <c r="DW54" s="220">
        <f>IF(CdTrp3!T82=1,1,IF(CdTrp3!T82=2,2,IF(CdTrp3!T82=3,2,0)))</f>
        <v>0</v>
      </c>
      <c r="DX54" s="220">
        <f>IF(CdTrp3!U82=1,1,IF(CdTrp3!U82=2,2,IF(CdTrp3!U82=3,2,0)))</f>
        <v>0</v>
      </c>
      <c r="DY54" s="220">
        <f>IF(CdTrp3!V82=1,1,IF(CdTrp3!V82=2,2,IF(CdTrp3!V82=3,2,0)))</f>
        <v>0</v>
      </c>
      <c r="DZ54" s="220">
        <f>IF(CdTrp3!W82=1,1,IF(CdTrp3!W82=2,2,IF(CdTrp3!W82=3,2,0)))</f>
        <v>0</v>
      </c>
      <c r="EA54" s="220">
        <f>IF(CdTrp3!X82=1,1,IF(CdTrp3!X82=2,2,IF(CdTrp3!X82=3,2,0)))</f>
        <v>0</v>
      </c>
      <c r="EB54" s="220">
        <f>IF(CdTrp3!Y82=1,1,IF(CdTrp3!Y82=2,2,IF(CdTrp3!Y82=3,2,0)))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1027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IF(CdTrp1!B83=1,1,IF(CdTrp1!B83=2,2,IF(CdTrp1!B83=3,2,0)))</f>
        <v>0</v>
      </c>
      <c r="AW55" s="220">
        <f>IF(CdTrp1!C83=1,1,IF(CdTrp1!C83=2,2,IF(CdTrp1!C83=3,2,0)))</f>
        <v>0</v>
      </c>
      <c r="AX55" s="220">
        <f>IF(CdTrp1!D83=1,1,IF(CdTrp1!D83=2,2,IF(CdTrp1!D83=3,2,0)))</f>
        <v>0</v>
      </c>
      <c r="AY55" s="220">
        <f>IF(CdTrp1!E83=1,1,IF(CdTrp1!E83=2,2,IF(CdTrp1!E83=3,2,0)))</f>
        <v>0</v>
      </c>
      <c r="AZ55" s="220">
        <f>IF(CdTrp1!F83=1,1,IF(CdTrp1!F83=2,2,IF(CdTrp1!F83=3,2,0)))</f>
        <v>0</v>
      </c>
      <c r="BA55" s="220">
        <f>IF(CdTrp1!G83=1,1,IF(CdTrp1!G83=2,2,IF(CdTrp1!G83=3,2,0)))</f>
        <v>0</v>
      </c>
      <c r="BB55" s="220">
        <f>IF(CdTrp1!H83=1,1,IF(CdTrp1!H83=2,2,IF(CdTrp1!H83=3,2,0)))</f>
        <v>0</v>
      </c>
      <c r="BC55" s="220">
        <f>IF(CdTrp1!I83=1,1,IF(CdTrp1!I83=2,2,IF(CdTrp1!I83=3,2,0)))</f>
        <v>0</v>
      </c>
      <c r="BD55" s="220">
        <f>IF(CdTrp1!J83=1,1,IF(CdTrp1!J83=2,2,IF(CdTrp1!J83=3,2,0)))</f>
        <v>0</v>
      </c>
      <c r="BE55" s="220">
        <f>IF(CdTrp1!K83=1,1,IF(CdTrp1!K83=2,2,IF(CdTrp1!K83=3,2,0)))</f>
        <v>0</v>
      </c>
      <c r="BF55" s="220">
        <f>IF(CdTrp1!L83=1,1,IF(CdTrp1!L83=2,2,IF(CdTrp1!L83=3,2,0)))</f>
        <v>0</v>
      </c>
      <c r="BG55" s="220">
        <f>IF(CdTrp1!M83=1,1,IF(CdTrp1!M83=2,2,IF(CdTrp1!M83=3,2,0)))</f>
        <v>0</v>
      </c>
      <c r="BH55" s="220">
        <f>IF(CdTrp1!N83=1,1,IF(CdTrp1!N83=2,2,IF(CdTrp1!N83=3,2,0)))</f>
        <v>0</v>
      </c>
      <c r="BI55" s="220">
        <f>IF(CdTrp1!O83=1,1,IF(CdTrp1!O83=2,2,IF(CdTrp1!O83=3,2,0)))</f>
        <v>0</v>
      </c>
      <c r="BJ55" s="220">
        <f>IF(CdTrp1!P83=1,1,IF(CdTrp1!P83=2,2,IF(CdTrp1!P83=3,2,0)))</f>
        <v>0</v>
      </c>
      <c r="BK55" s="220">
        <f>IF(CdTrp1!Q83=1,1,IF(CdTrp1!Q83=2,2,IF(CdTrp1!Q83=3,2,0)))</f>
        <v>0</v>
      </c>
      <c r="BL55" s="220">
        <f>IF(CdTrp1!R83=1,1,IF(CdTrp1!R83=2,2,IF(CdTrp1!R83=3,2,0)))</f>
        <v>0</v>
      </c>
      <c r="BM55" s="220">
        <f>IF(CdTrp1!S83=1,1,IF(CdTrp1!S83=2,2,IF(CdTrp1!S83=3,2,0)))</f>
        <v>0</v>
      </c>
      <c r="BN55" s="220">
        <f>IF(CdTrp1!T83=1,1,IF(CdTrp1!T83=2,2,IF(CdTrp1!T83=3,2,0)))</f>
        <v>0</v>
      </c>
      <c r="BO55" s="220">
        <f>IF(CdTrp1!U83=1,1,IF(CdTrp1!U83=2,2,IF(CdTrp1!U83=3,2,0)))</f>
        <v>0</v>
      </c>
      <c r="BP55" s="220">
        <f>IF(CdTrp1!V83=1,1,IF(CdTrp1!V83=2,2,IF(CdTrp1!V83=3,2,0)))</f>
        <v>0</v>
      </c>
      <c r="BQ55" s="220">
        <f>IF(CdTrp1!W83=1,1,IF(CdTrp1!W83=2,2,IF(CdTrp1!W83=3,2,0)))</f>
        <v>0</v>
      </c>
      <c r="BR55" s="220">
        <f>IF(CdTrp1!X83=1,1,IF(CdTrp1!X83=2,2,IF(CdTrp1!X83=3,2,0)))</f>
        <v>0</v>
      </c>
      <c r="BS55" s="220">
        <f>IF(CdTrp1!Y83=1,1,IF(CdTrp1!Y83=2,2,IF(CdTrp1!Y83=3,2,0)))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IF(CdTrp2!B83=1,1,IF(CdTrp2!B83=2,2,IF(CdTrp2!B83=3,2,0)))</f>
        <v>0</v>
      </c>
      <c r="CC55" s="216">
        <f>IF(CdTrp2!C83=1,1,IF(CdTrp2!C83=2,2,IF(CdTrp2!C83=3,2,0)))</f>
        <v>0</v>
      </c>
      <c r="CD55" s="216">
        <f>IF(CdTrp2!D83=1,1,IF(CdTrp2!D83=2,2,IF(CdTrp2!D83=3,2,0)))</f>
        <v>0</v>
      </c>
      <c r="CE55" s="216">
        <f>IF(CdTrp2!E83=1,1,IF(CdTrp2!E83=2,2,IF(CdTrp2!E83=3,2,0)))</f>
        <v>0</v>
      </c>
      <c r="CF55" s="216">
        <f>IF(CdTrp2!F83=1,1,IF(CdTrp2!F83=2,2,IF(CdTrp2!F83=3,2,0)))</f>
        <v>0</v>
      </c>
      <c r="CG55" s="216">
        <f>IF(CdTrp2!G83=1,1,IF(CdTrp2!G83=2,2,IF(CdTrp2!G83=3,2,0)))</f>
        <v>0</v>
      </c>
      <c r="CH55" s="216">
        <f>IF(CdTrp2!H83=1,1,IF(CdTrp2!H83=2,2,IF(CdTrp2!H83=3,2,0)))</f>
        <v>0</v>
      </c>
      <c r="CI55" s="216">
        <f>IF(CdTrp2!I83=1,1,IF(CdTrp2!I83=2,2,IF(CdTrp2!I83=3,2,0)))</f>
        <v>0</v>
      </c>
      <c r="CJ55" s="216">
        <f>IF(CdTrp2!J83=1,1,IF(CdTrp2!J83=2,2,IF(CdTrp2!J83=3,2,0)))</f>
        <v>0</v>
      </c>
      <c r="CK55" s="216">
        <f>IF(CdTrp2!K83=1,1,IF(CdTrp2!K83=2,2,IF(CdTrp2!K83=3,2,0)))</f>
        <v>0</v>
      </c>
      <c r="CL55" s="216">
        <f>IF(CdTrp2!L83=1,1,IF(CdTrp2!L83=2,2,IF(CdTrp2!L83=3,2,0)))</f>
        <v>0</v>
      </c>
      <c r="CM55" s="216">
        <f>IF(CdTrp2!M83=1,1,IF(CdTrp2!M83=2,2,IF(CdTrp2!M83=3,2,0)))</f>
        <v>0</v>
      </c>
      <c r="CN55" s="216">
        <f>IF(CdTrp2!N83=1,1,IF(CdTrp2!N83=2,2,IF(CdTrp2!N83=3,2,0)))</f>
        <v>0</v>
      </c>
      <c r="CO55" s="216">
        <f>IF(CdTrp2!O83=1,1,IF(CdTrp2!O83=2,2,IF(CdTrp2!O83=3,2,0)))</f>
        <v>0</v>
      </c>
      <c r="CP55" s="216">
        <f>IF(CdTrp2!P83=1,1,IF(CdTrp2!P83=2,2,IF(CdTrp2!P83=3,2,0)))</f>
        <v>0</v>
      </c>
      <c r="CQ55" s="216">
        <f>IF(CdTrp2!Q83=1,1,IF(CdTrp2!Q83=2,2,IF(CdTrp2!Q83=3,2,0)))</f>
        <v>0</v>
      </c>
      <c r="CR55" s="216">
        <f>IF(CdTrp2!R83=1,1,IF(CdTrp2!R83=2,2,IF(CdTrp2!R83=3,2,0)))</f>
        <v>0</v>
      </c>
      <c r="CS55" s="216">
        <f>IF(CdTrp2!S83=1,1,IF(CdTrp2!S83=2,2,IF(CdTrp2!S83=3,2,0)))</f>
        <v>0</v>
      </c>
      <c r="CT55" s="216">
        <f>IF(CdTrp2!T83=1,1,IF(CdTrp2!T83=2,2,IF(CdTrp2!T83=3,2,0)))</f>
        <v>0</v>
      </c>
      <c r="CU55" s="216">
        <f>IF(CdTrp2!U83=1,1,IF(CdTrp2!U83=2,2,IF(CdTrp2!U83=3,2,0)))</f>
        <v>0</v>
      </c>
      <c r="CV55" s="216">
        <f>IF(CdTrp2!V83=1,1,IF(CdTrp2!V83=2,2,IF(CdTrp2!V83=3,2,0)))</f>
        <v>0</v>
      </c>
      <c r="CW55" s="216">
        <f>IF(CdTrp2!W83=1,1,IF(CdTrp2!W83=2,2,IF(CdTrp2!W83=3,2,0)))</f>
        <v>0</v>
      </c>
      <c r="CX55" s="216">
        <f>IF(CdTrp2!X83=1,1,IF(CdTrp2!X83=2,2,IF(CdTrp2!X83=3,2,0)))</f>
        <v>0</v>
      </c>
      <c r="CY55" s="216">
        <f>IF(CdTrp2!Y83=1,1,IF(CdTrp2!Y83=2,2,IF(CdTrp2!Y83=3,2,0)))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IF(CdTrp3!B83=1,1,IF(CdTrp3!B83=2,2,IF(CdTrp3!B83=3,2,0)))</f>
        <v>0</v>
      </c>
      <c r="DF55" s="220">
        <f>IF(CdTrp3!C83=1,1,IF(CdTrp3!C83=2,2,IF(CdTrp3!C83=3,2,0)))</f>
        <v>0</v>
      </c>
      <c r="DG55" s="220">
        <f>IF(CdTrp3!D83=1,1,IF(CdTrp3!D83=2,2,IF(CdTrp3!D83=3,2,0)))</f>
        <v>0</v>
      </c>
      <c r="DH55" s="220">
        <f>IF(CdTrp3!E83=1,1,IF(CdTrp3!E83=2,2,IF(CdTrp3!E83=3,2,0)))</f>
        <v>0</v>
      </c>
      <c r="DI55" s="220">
        <f>IF(CdTrp3!F83=1,1,IF(CdTrp3!F83=2,2,IF(CdTrp3!F83=3,2,0)))</f>
        <v>0</v>
      </c>
      <c r="DJ55" s="220">
        <f>IF(CdTrp3!G83=1,1,IF(CdTrp3!G83=2,2,IF(CdTrp3!G83=3,2,0)))</f>
        <v>0</v>
      </c>
      <c r="DK55" s="220">
        <f>IF(CdTrp3!H83=1,1,IF(CdTrp3!H83=2,2,IF(CdTrp3!H83=3,2,0)))</f>
        <v>0</v>
      </c>
      <c r="DL55" s="220">
        <f>IF(CdTrp3!I83=1,1,IF(CdTrp3!I83=2,2,IF(CdTrp3!I83=3,2,0)))</f>
        <v>0</v>
      </c>
      <c r="DM55" s="220">
        <f>IF(CdTrp3!J83=1,1,IF(CdTrp3!J83=2,2,IF(CdTrp3!J83=3,2,0)))</f>
        <v>0</v>
      </c>
      <c r="DN55" s="220">
        <f>IF(CdTrp3!K83=1,1,IF(CdTrp3!K83=2,2,IF(CdTrp3!K83=3,2,0)))</f>
        <v>0</v>
      </c>
      <c r="DO55" s="220">
        <f>IF(CdTrp3!L83=1,1,IF(CdTrp3!L83=2,2,IF(CdTrp3!L83=3,2,0)))</f>
        <v>0</v>
      </c>
      <c r="DP55" s="220">
        <f>IF(CdTrp3!M83=1,1,IF(CdTrp3!M83=2,2,IF(CdTrp3!M83=3,2,0)))</f>
        <v>0</v>
      </c>
      <c r="DQ55" s="220">
        <f>IF(CdTrp3!N83=1,1,IF(CdTrp3!N83=2,2,IF(CdTrp3!N83=3,2,0)))</f>
        <v>0</v>
      </c>
      <c r="DR55" s="220">
        <f>IF(CdTrp3!O83=1,1,IF(CdTrp3!O83=2,2,IF(CdTrp3!O83=3,2,0)))</f>
        <v>0</v>
      </c>
      <c r="DS55" s="220">
        <f>IF(CdTrp3!P83=1,1,IF(CdTrp3!P83=2,2,IF(CdTrp3!P83=3,2,0)))</f>
        <v>0</v>
      </c>
      <c r="DT55" s="220">
        <f>IF(CdTrp3!Q83=1,1,IF(CdTrp3!Q83=2,2,IF(CdTrp3!Q83=3,2,0)))</f>
        <v>0</v>
      </c>
      <c r="DU55" s="220">
        <f>IF(CdTrp3!R83=1,1,IF(CdTrp3!R83=2,2,IF(CdTrp3!R83=3,2,0)))</f>
        <v>0</v>
      </c>
      <c r="DV55" s="220">
        <f>IF(CdTrp3!S83=1,1,IF(CdTrp3!S83=2,2,IF(CdTrp3!S83=3,2,0)))</f>
        <v>0</v>
      </c>
      <c r="DW55" s="220">
        <f>IF(CdTrp3!T83=1,1,IF(CdTrp3!T83=2,2,IF(CdTrp3!T83=3,2,0)))</f>
        <v>0</v>
      </c>
      <c r="DX55" s="220">
        <f>IF(CdTrp3!U83=1,1,IF(CdTrp3!U83=2,2,IF(CdTrp3!U83=3,2,0)))</f>
        <v>0</v>
      </c>
      <c r="DY55" s="220">
        <f>IF(CdTrp3!V83=1,1,IF(CdTrp3!V83=2,2,IF(CdTrp3!V83=3,2,0)))</f>
        <v>0</v>
      </c>
      <c r="DZ55" s="220">
        <f>IF(CdTrp3!W83=1,1,IF(CdTrp3!W83=2,2,IF(CdTrp3!W83=3,2,0)))</f>
        <v>0</v>
      </c>
      <c r="EA55" s="220">
        <f>IF(CdTrp3!X83=1,1,IF(CdTrp3!X83=2,2,IF(CdTrp3!X83=3,2,0)))</f>
        <v>0</v>
      </c>
      <c r="EB55" s="220">
        <f>IF(CdTrp3!Y83=1,1,IF(CdTrp3!Y83=2,2,IF(CdTrp3!Y83=3,2,0)))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2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IF(CdTrp1!B84=1,1,IF(CdTrp1!B84=2,2,IF(CdTrp1!B84=3,2,0)))</f>
        <v>0</v>
      </c>
      <c r="AW56" s="220">
        <f>IF(CdTrp1!C84=1,1,IF(CdTrp1!C84=2,2,IF(CdTrp1!C84=3,2,0)))</f>
        <v>0</v>
      </c>
      <c r="AX56" s="220">
        <f>IF(CdTrp1!D84=1,1,IF(CdTrp1!D84=2,2,IF(CdTrp1!D84=3,2,0)))</f>
        <v>0</v>
      </c>
      <c r="AY56" s="220">
        <f>IF(CdTrp1!E84=1,1,IF(CdTrp1!E84=2,2,IF(CdTrp1!E84=3,2,0)))</f>
        <v>0</v>
      </c>
      <c r="AZ56" s="220">
        <f>IF(CdTrp1!F84=1,1,IF(CdTrp1!F84=2,2,IF(CdTrp1!F84=3,2,0)))</f>
        <v>0</v>
      </c>
      <c r="BA56" s="220">
        <f>IF(CdTrp1!G84=1,1,IF(CdTrp1!G84=2,2,IF(CdTrp1!G84=3,2,0)))</f>
        <v>0</v>
      </c>
      <c r="BB56" s="220">
        <f>IF(CdTrp1!H84=1,1,IF(CdTrp1!H84=2,2,IF(CdTrp1!H84=3,2,0)))</f>
        <v>0</v>
      </c>
      <c r="BC56" s="220">
        <f>IF(CdTrp1!I84=1,1,IF(CdTrp1!I84=2,2,IF(CdTrp1!I84=3,2,0)))</f>
        <v>0</v>
      </c>
      <c r="BD56" s="220">
        <f>IF(CdTrp1!J84=1,1,IF(CdTrp1!J84=2,2,IF(CdTrp1!J84=3,2,0)))</f>
        <v>0</v>
      </c>
      <c r="BE56" s="220">
        <f>IF(CdTrp1!K84=1,1,IF(CdTrp1!K84=2,2,IF(CdTrp1!K84=3,2,0)))</f>
        <v>0</v>
      </c>
      <c r="BF56" s="220">
        <f>IF(CdTrp1!L84=1,1,IF(CdTrp1!L84=2,2,IF(CdTrp1!L84=3,2,0)))</f>
        <v>0</v>
      </c>
      <c r="BG56" s="220">
        <f>IF(CdTrp1!M84=1,1,IF(CdTrp1!M84=2,2,IF(CdTrp1!M84=3,2,0)))</f>
        <v>0</v>
      </c>
      <c r="BH56" s="220">
        <f>IF(CdTrp1!N84=1,1,IF(CdTrp1!N84=2,2,IF(CdTrp1!N84=3,2,0)))</f>
        <v>0</v>
      </c>
      <c r="BI56" s="220">
        <f>IF(CdTrp1!O84=1,1,IF(CdTrp1!O84=2,2,IF(CdTrp1!O84=3,2,0)))</f>
        <v>0</v>
      </c>
      <c r="BJ56" s="220">
        <f>IF(CdTrp1!P84=1,1,IF(CdTrp1!P84=2,2,IF(CdTrp1!P84=3,2,0)))</f>
        <v>0</v>
      </c>
      <c r="BK56" s="220">
        <f>IF(CdTrp1!Q84=1,1,IF(CdTrp1!Q84=2,2,IF(CdTrp1!Q84=3,2,0)))</f>
        <v>0</v>
      </c>
      <c r="BL56" s="220">
        <f>IF(CdTrp1!R84=1,1,IF(CdTrp1!R84=2,2,IF(CdTrp1!R84=3,2,0)))</f>
        <v>0</v>
      </c>
      <c r="BM56" s="220">
        <f>IF(CdTrp1!S84=1,1,IF(CdTrp1!S84=2,2,IF(CdTrp1!S84=3,2,0)))</f>
        <v>0</v>
      </c>
      <c r="BN56" s="220">
        <f>IF(CdTrp1!T84=1,1,IF(CdTrp1!T84=2,2,IF(CdTrp1!T84=3,2,0)))</f>
        <v>0</v>
      </c>
      <c r="BO56" s="220">
        <f>IF(CdTrp1!U84=1,1,IF(CdTrp1!U84=2,2,IF(CdTrp1!U84=3,2,0)))</f>
        <v>0</v>
      </c>
      <c r="BP56" s="220">
        <f>IF(CdTrp1!V84=1,1,IF(CdTrp1!V84=2,2,IF(CdTrp1!V84=3,2,0)))</f>
        <v>0</v>
      </c>
      <c r="BQ56" s="220">
        <f>IF(CdTrp1!W84=1,1,IF(CdTrp1!W84=2,2,IF(CdTrp1!W84=3,2,0)))</f>
        <v>0</v>
      </c>
      <c r="BR56" s="220">
        <f>IF(CdTrp1!X84=1,1,IF(CdTrp1!X84=2,2,IF(CdTrp1!X84=3,2,0)))</f>
        <v>0</v>
      </c>
      <c r="BS56" s="220">
        <f>IF(CdTrp1!Y84=1,1,IF(CdTrp1!Y84=2,2,IF(CdTrp1!Y84=3,2,0)))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IF(CdTrp2!B84=1,1,IF(CdTrp2!B84=2,2,IF(CdTrp2!B84=3,2,0)))</f>
        <v>0</v>
      </c>
      <c r="CC56" s="216">
        <f>IF(CdTrp2!C84=1,1,IF(CdTrp2!C84=2,2,IF(CdTrp2!C84=3,2,0)))</f>
        <v>0</v>
      </c>
      <c r="CD56" s="216">
        <f>IF(CdTrp2!D84=1,1,IF(CdTrp2!D84=2,2,IF(CdTrp2!D84=3,2,0)))</f>
        <v>0</v>
      </c>
      <c r="CE56" s="216">
        <f>IF(CdTrp2!E84=1,1,IF(CdTrp2!E84=2,2,IF(CdTrp2!E84=3,2,0)))</f>
        <v>0</v>
      </c>
      <c r="CF56" s="216">
        <f>IF(CdTrp2!F84=1,1,IF(CdTrp2!F84=2,2,IF(CdTrp2!F84=3,2,0)))</f>
        <v>0</v>
      </c>
      <c r="CG56" s="216">
        <f>IF(CdTrp2!G84=1,1,IF(CdTrp2!G84=2,2,IF(CdTrp2!G84=3,2,0)))</f>
        <v>0</v>
      </c>
      <c r="CH56" s="216">
        <f>IF(CdTrp2!H84=1,1,IF(CdTrp2!H84=2,2,IF(CdTrp2!H84=3,2,0)))</f>
        <v>0</v>
      </c>
      <c r="CI56" s="216">
        <f>IF(CdTrp2!I84=1,1,IF(CdTrp2!I84=2,2,IF(CdTrp2!I84=3,2,0)))</f>
        <v>0</v>
      </c>
      <c r="CJ56" s="216">
        <f>IF(CdTrp2!J84=1,1,IF(CdTrp2!J84=2,2,IF(CdTrp2!J84=3,2,0)))</f>
        <v>0</v>
      </c>
      <c r="CK56" s="216">
        <f>IF(CdTrp2!K84=1,1,IF(CdTrp2!K84=2,2,IF(CdTrp2!K84=3,2,0)))</f>
        <v>0</v>
      </c>
      <c r="CL56" s="216">
        <f>IF(CdTrp2!L84=1,1,IF(CdTrp2!L84=2,2,IF(CdTrp2!L84=3,2,0)))</f>
        <v>0</v>
      </c>
      <c r="CM56" s="216">
        <f>IF(CdTrp2!M84=1,1,IF(CdTrp2!M84=2,2,IF(CdTrp2!M84=3,2,0)))</f>
        <v>0</v>
      </c>
      <c r="CN56" s="216">
        <f>IF(CdTrp2!N84=1,1,IF(CdTrp2!N84=2,2,IF(CdTrp2!N84=3,2,0)))</f>
        <v>0</v>
      </c>
      <c r="CO56" s="216">
        <f>IF(CdTrp2!O84=1,1,IF(CdTrp2!O84=2,2,IF(CdTrp2!O84=3,2,0)))</f>
        <v>0</v>
      </c>
      <c r="CP56" s="216">
        <f>IF(CdTrp2!P84=1,1,IF(CdTrp2!P84=2,2,IF(CdTrp2!P84=3,2,0)))</f>
        <v>0</v>
      </c>
      <c r="CQ56" s="216">
        <f>IF(CdTrp2!Q84=1,1,IF(CdTrp2!Q84=2,2,IF(CdTrp2!Q84=3,2,0)))</f>
        <v>0</v>
      </c>
      <c r="CR56" s="216">
        <f>IF(CdTrp2!R84=1,1,IF(CdTrp2!R84=2,2,IF(CdTrp2!R84=3,2,0)))</f>
        <v>0</v>
      </c>
      <c r="CS56" s="216">
        <f>IF(CdTrp2!S84=1,1,IF(CdTrp2!S84=2,2,IF(CdTrp2!S84=3,2,0)))</f>
        <v>0</v>
      </c>
      <c r="CT56" s="216">
        <f>IF(CdTrp2!T84=1,1,IF(CdTrp2!T84=2,2,IF(CdTrp2!T84=3,2,0)))</f>
        <v>0</v>
      </c>
      <c r="CU56" s="216">
        <f>IF(CdTrp2!U84=1,1,IF(CdTrp2!U84=2,2,IF(CdTrp2!U84=3,2,0)))</f>
        <v>0</v>
      </c>
      <c r="CV56" s="216">
        <f>IF(CdTrp2!V84=1,1,IF(CdTrp2!V84=2,2,IF(CdTrp2!V84=3,2,0)))</f>
        <v>0</v>
      </c>
      <c r="CW56" s="216">
        <f>IF(CdTrp2!W84=1,1,IF(CdTrp2!W84=2,2,IF(CdTrp2!W84=3,2,0)))</f>
        <v>0</v>
      </c>
      <c r="CX56" s="216">
        <f>IF(CdTrp2!X84=1,1,IF(CdTrp2!X84=2,2,IF(CdTrp2!X84=3,2,0)))</f>
        <v>0</v>
      </c>
      <c r="CY56" s="216">
        <f>IF(CdTrp2!Y84=1,1,IF(CdTrp2!Y84=2,2,IF(CdTrp2!Y84=3,2,0)))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IF(CdTrp3!B84=1,1,IF(CdTrp3!B84=2,2,IF(CdTrp3!B84=3,2,0)))</f>
        <v>0</v>
      </c>
      <c r="DF56" s="220">
        <f>IF(CdTrp3!C84=1,1,IF(CdTrp3!C84=2,2,IF(CdTrp3!C84=3,2,0)))</f>
        <v>0</v>
      </c>
      <c r="DG56" s="220">
        <f>IF(CdTrp3!D84=1,1,IF(CdTrp3!D84=2,2,IF(CdTrp3!D84=3,2,0)))</f>
        <v>0</v>
      </c>
      <c r="DH56" s="220">
        <f>IF(CdTrp3!E84=1,1,IF(CdTrp3!E84=2,2,IF(CdTrp3!E84=3,2,0)))</f>
        <v>0</v>
      </c>
      <c r="DI56" s="220">
        <f>IF(CdTrp3!F84=1,1,IF(CdTrp3!F84=2,2,IF(CdTrp3!F84=3,2,0)))</f>
        <v>0</v>
      </c>
      <c r="DJ56" s="220">
        <f>IF(CdTrp3!G84=1,1,IF(CdTrp3!G84=2,2,IF(CdTrp3!G84=3,2,0)))</f>
        <v>0</v>
      </c>
      <c r="DK56" s="220">
        <f>IF(CdTrp3!H84=1,1,IF(CdTrp3!H84=2,2,IF(CdTrp3!H84=3,2,0)))</f>
        <v>0</v>
      </c>
      <c r="DL56" s="220">
        <f>IF(CdTrp3!I84=1,1,IF(CdTrp3!I84=2,2,IF(CdTrp3!I84=3,2,0)))</f>
        <v>0</v>
      </c>
      <c r="DM56" s="220">
        <f>IF(CdTrp3!J84=1,1,IF(CdTrp3!J84=2,2,IF(CdTrp3!J84=3,2,0)))</f>
        <v>0</v>
      </c>
      <c r="DN56" s="220">
        <f>IF(CdTrp3!K84=1,1,IF(CdTrp3!K84=2,2,IF(CdTrp3!K84=3,2,0)))</f>
        <v>0</v>
      </c>
      <c r="DO56" s="220">
        <f>IF(CdTrp3!L84=1,1,IF(CdTrp3!L84=2,2,IF(CdTrp3!L84=3,2,0)))</f>
        <v>0</v>
      </c>
      <c r="DP56" s="220">
        <f>IF(CdTrp3!M84=1,1,IF(CdTrp3!M84=2,2,IF(CdTrp3!M84=3,2,0)))</f>
        <v>0</v>
      </c>
      <c r="DQ56" s="220">
        <f>IF(CdTrp3!N84=1,1,IF(CdTrp3!N84=2,2,IF(CdTrp3!N84=3,2,0)))</f>
        <v>0</v>
      </c>
      <c r="DR56" s="220">
        <f>IF(CdTrp3!O84=1,1,IF(CdTrp3!O84=2,2,IF(CdTrp3!O84=3,2,0)))</f>
        <v>0</v>
      </c>
      <c r="DS56" s="220">
        <f>IF(CdTrp3!P84=1,1,IF(CdTrp3!P84=2,2,IF(CdTrp3!P84=3,2,0)))</f>
        <v>0</v>
      </c>
      <c r="DT56" s="220">
        <f>IF(CdTrp3!Q84=1,1,IF(CdTrp3!Q84=2,2,IF(CdTrp3!Q84=3,2,0)))</f>
        <v>0</v>
      </c>
      <c r="DU56" s="220">
        <f>IF(CdTrp3!R84=1,1,IF(CdTrp3!R84=2,2,IF(CdTrp3!R84=3,2,0)))</f>
        <v>0</v>
      </c>
      <c r="DV56" s="220">
        <f>IF(CdTrp3!S84=1,1,IF(CdTrp3!S84=2,2,IF(CdTrp3!S84=3,2,0)))</f>
        <v>0</v>
      </c>
      <c r="DW56" s="220">
        <f>IF(CdTrp3!T84=1,1,IF(CdTrp3!T84=2,2,IF(CdTrp3!T84=3,2,0)))</f>
        <v>0</v>
      </c>
      <c r="DX56" s="220">
        <f>IF(CdTrp3!U84=1,1,IF(CdTrp3!U84=2,2,IF(CdTrp3!U84=3,2,0)))</f>
        <v>0</v>
      </c>
      <c r="DY56" s="220">
        <f>IF(CdTrp3!V84=1,1,IF(CdTrp3!V84=2,2,IF(CdTrp3!V84=3,2,0)))</f>
        <v>0</v>
      </c>
      <c r="DZ56" s="220">
        <f>IF(CdTrp3!W84=1,1,IF(CdTrp3!W84=2,2,IF(CdTrp3!W84=3,2,0)))</f>
        <v>0</v>
      </c>
      <c r="EA56" s="220">
        <f>IF(CdTrp3!X84=1,1,IF(CdTrp3!X84=2,2,IF(CdTrp3!X84=3,2,0)))</f>
        <v>0</v>
      </c>
      <c r="EB56" s="220">
        <f>IF(CdTrp3!Y84=1,1,IF(CdTrp3!Y84=2,2,IF(CdTrp3!Y84=3,2,0)))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20">
        <f>IF(CdTrp1!B85=1,1,IF(CdTrp1!B85=2,2,IF(CdTrp1!B85=3,2,0)))</f>
        <v>0</v>
      </c>
      <c r="AW57" s="220">
        <f>IF(CdTrp1!C85=1,1,IF(CdTrp1!C85=2,2,IF(CdTrp1!C85=3,2,0)))</f>
        <v>0</v>
      </c>
      <c r="AX57" s="220">
        <f>IF(CdTrp1!D85=1,1,IF(CdTrp1!D85=2,2,IF(CdTrp1!D85=3,2,0)))</f>
        <v>0</v>
      </c>
      <c r="AY57" s="220">
        <f>IF(CdTrp1!E85=1,1,IF(CdTrp1!E85=2,2,IF(CdTrp1!E85=3,2,0)))</f>
        <v>0</v>
      </c>
      <c r="AZ57" s="220">
        <f>IF(CdTrp1!F85=1,1,IF(CdTrp1!F85=2,2,IF(CdTrp1!F85=3,2,0)))</f>
        <v>0</v>
      </c>
      <c r="BA57" s="220">
        <f>IF(CdTrp1!G85=1,1,IF(CdTrp1!G85=2,2,IF(CdTrp1!G85=3,2,0)))</f>
        <v>0</v>
      </c>
      <c r="BB57" s="220">
        <f>IF(CdTrp1!H85=1,1,IF(CdTrp1!H85=2,2,IF(CdTrp1!H85=3,2,0)))</f>
        <v>0</v>
      </c>
      <c r="BC57" s="220">
        <f>IF(CdTrp1!I85=1,1,IF(CdTrp1!I85=2,2,IF(CdTrp1!I85=3,2,0)))</f>
        <v>0</v>
      </c>
      <c r="BD57" s="220">
        <f>IF(CdTrp1!J85=1,1,IF(CdTrp1!J85=2,2,IF(CdTrp1!J85=3,2,0)))</f>
        <v>0</v>
      </c>
      <c r="BE57" s="220">
        <f>IF(CdTrp1!K85=1,1,IF(CdTrp1!K85=2,2,IF(CdTrp1!K85=3,2,0)))</f>
        <v>0</v>
      </c>
      <c r="BF57" s="220">
        <f>IF(CdTrp1!L85=1,1,IF(CdTrp1!L85=2,2,IF(CdTrp1!L85=3,2,0)))</f>
        <v>0</v>
      </c>
      <c r="BG57" s="220">
        <f>IF(CdTrp1!M85=1,1,IF(CdTrp1!M85=2,2,IF(CdTrp1!M85=3,2,0)))</f>
        <v>0</v>
      </c>
      <c r="BH57" s="220">
        <f>IF(CdTrp1!N85=1,1,IF(CdTrp1!N85=2,2,IF(CdTrp1!N85=3,2,0)))</f>
        <v>0</v>
      </c>
      <c r="BI57" s="220">
        <f>IF(CdTrp1!O85=1,1,IF(CdTrp1!O85=2,2,IF(CdTrp1!O85=3,2,0)))</f>
        <v>0</v>
      </c>
      <c r="BJ57" s="220">
        <f>IF(CdTrp1!P85=1,1,IF(CdTrp1!P85=2,2,IF(CdTrp1!P85=3,2,0)))</f>
        <v>0</v>
      </c>
      <c r="BK57" s="220">
        <f>IF(CdTrp1!Q85=1,1,IF(CdTrp1!Q85=2,2,IF(CdTrp1!Q85=3,2,0)))</f>
        <v>0</v>
      </c>
      <c r="BL57" s="220">
        <f>IF(CdTrp1!R85=1,1,IF(CdTrp1!R85=2,2,IF(CdTrp1!R85=3,2,0)))</f>
        <v>0</v>
      </c>
      <c r="BM57" s="220">
        <f>IF(CdTrp1!S85=1,1,IF(CdTrp1!S85=2,2,IF(CdTrp1!S85=3,2,0)))</f>
        <v>0</v>
      </c>
      <c r="BN57" s="220">
        <f>IF(CdTrp1!T85=1,1,IF(CdTrp1!T85=2,2,IF(CdTrp1!T85=3,2,0)))</f>
        <v>0</v>
      </c>
      <c r="BO57" s="220">
        <f>IF(CdTrp1!U85=1,1,IF(CdTrp1!U85=2,2,IF(CdTrp1!U85=3,2,0)))</f>
        <v>0</v>
      </c>
      <c r="BP57" s="220">
        <f>IF(CdTrp1!V85=1,1,IF(CdTrp1!V85=2,2,IF(CdTrp1!V85=3,2,0)))</f>
        <v>0</v>
      </c>
      <c r="BQ57" s="220">
        <f>IF(CdTrp1!W85=1,1,IF(CdTrp1!W85=2,2,IF(CdTrp1!W85=3,2,0)))</f>
        <v>0</v>
      </c>
      <c r="BR57" s="220">
        <f>IF(CdTrp1!X85=1,1,IF(CdTrp1!X85=2,2,IF(CdTrp1!X85=3,2,0)))</f>
        <v>0</v>
      </c>
      <c r="BS57" s="220">
        <f>IF(CdTrp1!Y85=1,1,IF(CdTrp1!Y85=2,2,IF(CdTrp1!Y85=3,2,0)))</f>
        <v>0</v>
      </c>
      <c r="BT57" s="216"/>
      <c r="BU57" s="216"/>
      <c r="BV57" s="216"/>
      <c r="BW57" s="216"/>
      <c r="BX57" s="216"/>
      <c r="BY57" s="216"/>
      <c r="BZ57" s="216"/>
      <c r="CA57" s="216"/>
      <c r="CB57" s="216">
        <f>IF(CdTrp2!B85=1,1,IF(CdTrp2!B85=2,2,IF(CdTrp2!B85=3,2,0)))</f>
        <v>0</v>
      </c>
      <c r="CC57" s="216">
        <f>IF(CdTrp2!C85=1,1,IF(CdTrp2!C85=2,2,IF(CdTrp2!C85=3,2,0)))</f>
        <v>0</v>
      </c>
      <c r="CD57" s="216">
        <f>IF(CdTrp2!D85=1,1,IF(CdTrp2!D85=2,2,IF(CdTrp2!D85=3,2,0)))</f>
        <v>0</v>
      </c>
      <c r="CE57" s="216">
        <f>IF(CdTrp2!E85=1,1,IF(CdTrp2!E85=2,2,IF(CdTrp2!E85=3,2,0)))</f>
        <v>0</v>
      </c>
      <c r="CF57" s="216">
        <f>IF(CdTrp2!F85=1,1,IF(CdTrp2!F85=2,2,IF(CdTrp2!F85=3,2,0)))</f>
        <v>0</v>
      </c>
      <c r="CG57" s="216">
        <f>IF(CdTrp2!G85=1,1,IF(CdTrp2!G85=2,2,IF(CdTrp2!G85=3,2,0)))</f>
        <v>0</v>
      </c>
      <c r="CH57" s="216">
        <f>IF(CdTrp2!H85=1,1,IF(CdTrp2!H85=2,2,IF(CdTrp2!H85=3,2,0)))</f>
        <v>0</v>
      </c>
      <c r="CI57" s="216">
        <f>IF(CdTrp2!I85=1,1,IF(CdTrp2!I85=2,2,IF(CdTrp2!I85=3,2,0)))</f>
        <v>0</v>
      </c>
      <c r="CJ57" s="216">
        <f>IF(CdTrp2!J85=1,1,IF(CdTrp2!J85=2,2,IF(CdTrp2!J85=3,2,0)))</f>
        <v>0</v>
      </c>
      <c r="CK57" s="216">
        <f>IF(CdTrp2!K85=1,1,IF(CdTrp2!K85=2,2,IF(CdTrp2!K85=3,2,0)))</f>
        <v>0</v>
      </c>
      <c r="CL57" s="216">
        <f>IF(CdTrp2!L85=1,1,IF(CdTrp2!L85=2,2,IF(CdTrp2!L85=3,2,0)))</f>
        <v>0</v>
      </c>
      <c r="CM57" s="216">
        <f>IF(CdTrp2!M85=1,1,IF(CdTrp2!M85=2,2,IF(CdTrp2!M85=3,2,0)))</f>
        <v>0</v>
      </c>
      <c r="CN57" s="216">
        <f>IF(CdTrp2!N85=1,1,IF(CdTrp2!N85=2,2,IF(CdTrp2!N85=3,2,0)))</f>
        <v>0</v>
      </c>
      <c r="CO57" s="216">
        <f>IF(CdTrp2!O85=1,1,IF(CdTrp2!O85=2,2,IF(CdTrp2!O85=3,2,0)))</f>
        <v>0</v>
      </c>
      <c r="CP57" s="216">
        <f>IF(CdTrp2!P85=1,1,IF(CdTrp2!P85=2,2,IF(CdTrp2!P85=3,2,0)))</f>
        <v>0</v>
      </c>
      <c r="CQ57" s="216">
        <f>IF(CdTrp2!Q85=1,1,IF(CdTrp2!Q85=2,2,IF(CdTrp2!Q85=3,2,0)))</f>
        <v>0</v>
      </c>
      <c r="CR57" s="216">
        <f>IF(CdTrp2!R85=1,1,IF(CdTrp2!R85=2,2,IF(CdTrp2!R85=3,2,0)))</f>
        <v>0</v>
      </c>
      <c r="CS57" s="216">
        <f>IF(CdTrp2!S85=1,1,IF(CdTrp2!S85=2,2,IF(CdTrp2!S85=3,2,0)))</f>
        <v>0</v>
      </c>
      <c r="CT57" s="216">
        <f>IF(CdTrp2!T85=1,1,IF(CdTrp2!T85=2,2,IF(CdTrp2!T85=3,2,0)))</f>
        <v>0</v>
      </c>
      <c r="CU57" s="216">
        <f>IF(CdTrp2!U85=1,1,IF(CdTrp2!U85=2,2,IF(CdTrp2!U85=3,2,0)))</f>
        <v>0</v>
      </c>
      <c r="CV57" s="216">
        <f>IF(CdTrp2!V85=1,1,IF(CdTrp2!V85=2,2,IF(CdTrp2!V85=3,2,0)))</f>
        <v>0</v>
      </c>
      <c r="CW57" s="216">
        <f>IF(CdTrp2!W85=1,1,IF(CdTrp2!W85=2,2,IF(CdTrp2!W85=3,2,0)))</f>
        <v>0</v>
      </c>
      <c r="CX57" s="216">
        <f>IF(CdTrp2!X85=1,1,IF(CdTrp2!X85=2,2,IF(CdTrp2!X85=3,2,0)))</f>
        <v>0</v>
      </c>
      <c r="CY57" s="216">
        <f>IF(CdTrp2!Y85=1,1,IF(CdTrp2!Y85=2,2,IF(CdTrp2!Y85=3,2,0)))</f>
        <v>0</v>
      </c>
      <c r="CZ57" s="220"/>
      <c r="DA57" s="220"/>
      <c r="DB57" s="220"/>
      <c r="DC57" s="220"/>
      <c r="DD57" s="220"/>
      <c r="DE57" s="220">
        <f>IF(CdTrp3!B85=1,1,IF(CdTrp3!B85=2,2,IF(CdTrp3!B85=3,2,0)))</f>
        <v>0</v>
      </c>
      <c r="DF57" s="220">
        <f>IF(CdTrp3!C85=1,1,IF(CdTrp3!C85=2,2,IF(CdTrp3!C85=3,2,0)))</f>
        <v>0</v>
      </c>
      <c r="DG57" s="220">
        <f>IF(CdTrp3!D85=1,1,IF(CdTrp3!D85=2,2,IF(CdTrp3!D85=3,2,0)))</f>
        <v>0</v>
      </c>
      <c r="DH57" s="220">
        <f>IF(CdTrp3!E85=1,1,IF(CdTrp3!E85=2,2,IF(CdTrp3!E85=3,2,0)))</f>
        <v>0</v>
      </c>
      <c r="DI57" s="220">
        <f>IF(CdTrp3!F85=1,1,IF(CdTrp3!F85=2,2,IF(CdTrp3!F85=3,2,0)))</f>
        <v>0</v>
      </c>
      <c r="DJ57" s="220">
        <f>IF(CdTrp3!G85=1,1,IF(CdTrp3!G85=2,2,IF(CdTrp3!G85=3,2,0)))</f>
        <v>0</v>
      </c>
      <c r="DK57" s="220">
        <f>IF(CdTrp3!H85=1,1,IF(CdTrp3!H85=2,2,IF(CdTrp3!H85=3,2,0)))</f>
        <v>0</v>
      </c>
      <c r="DL57" s="220">
        <f>IF(CdTrp3!I85=1,1,IF(CdTrp3!I85=2,2,IF(CdTrp3!I85=3,2,0)))</f>
        <v>0</v>
      </c>
      <c r="DM57" s="220">
        <f>IF(CdTrp3!J85=1,1,IF(CdTrp3!J85=2,2,IF(CdTrp3!J85=3,2,0)))</f>
        <v>0</v>
      </c>
      <c r="DN57" s="220">
        <f>IF(CdTrp3!K85=1,1,IF(CdTrp3!K85=2,2,IF(CdTrp3!K85=3,2,0)))</f>
        <v>0</v>
      </c>
      <c r="DO57" s="220">
        <f>IF(CdTrp3!L85=1,1,IF(CdTrp3!L85=2,2,IF(CdTrp3!L85=3,2,0)))</f>
        <v>0</v>
      </c>
      <c r="DP57" s="220">
        <f>IF(CdTrp3!M85=1,1,IF(CdTrp3!M85=2,2,IF(CdTrp3!M85=3,2,0)))</f>
        <v>0</v>
      </c>
      <c r="DQ57" s="220">
        <f>IF(CdTrp3!N85=1,1,IF(CdTrp3!N85=2,2,IF(CdTrp3!N85=3,2,0)))</f>
        <v>0</v>
      </c>
      <c r="DR57" s="220">
        <f>IF(CdTrp3!O85=1,1,IF(CdTrp3!O85=2,2,IF(CdTrp3!O85=3,2,0)))</f>
        <v>0</v>
      </c>
      <c r="DS57" s="220">
        <f>IF(CdTrp3!P85=1,1,IF(CdTrp3!P85=2,2,IF(CdTrp3!P85=3,2,0)))</f>
        <v>0</v>
      </c>
      <c r="DT57" s="220">
        <f>IF(CdTrp3!Q85=1,1,IF(CdTrp3!Q85=2,2,IF(CdTrp3!Q85=3,2,0)))</f>
        <v>0</v>
      </c>
      <c r="DU57" s="220">
        <f>IF(CdTrp3!R85=1,1,IF(CdTrp3!R85=2,2,IF(CdTrp3!R85=3,2,0)))</f>
        <v>0</v>
      </c>
      <c r="DV57" s="220">
        <f>IF(CdTrp3!S85=1,1,IF(CdTrp3!S85=2,2,IF(CdTrp3!S85=3,2,0)))</f>
        <v>0</v>
      </c>
      <c r="DW57" s="220">
        <f>IF(CdTrp3!T85=1,1,IF(CdTrp3!T85=2,2,IF(CdTrp3!T85=3,2,0)))</f>
        <v>0</v>
      </c>
      <c r="DX57" s="220">
        <f>IF(CdTrp3!U85=1,1,IF(CdTrp3!U85=2,2,IF(CdTrp3!U85=3,2,0)))</f>
        <v>0</v>
      </c>
      <c r="DY57" s="220">
        <f>IF(CdTrp3!V85=1,1,IF(CdTrp3!V85=2,2,IF(CdTrp3!V85=3,2,0)))</f>
        <v>0</v>
      </c>
      <c r="DZ57" s="220">
        <f>IF(CdTrp3!W85=1,1,IF(CdTrp3!W85=2,2,IF(CdTrp3!W85=3,2,0)))</f>
        <v>0</v>
      </c>
      <c r="EA57" s="220">
        <f>IF(CdTrp3!X85=1,1,IF(CdTrp3!X85=2,2,IF(CdTrp3!X85=3,2,0)))</f>
        <v>0</v>
      </c>
      <c r="EB57" s="220">
        <f>IF(CdTrp3!Y85=1,1,IF(CdTrp3!Y85=2,2,IF(CdTrp3!Y85=3,2,0)))</f>
        <v>0</v>
      </c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1028</v>
      </c>
      <c r="AG58" s="216" t="str">
        <f>CdTrp1!A76</f>
        <v>laitiéres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1028</v>
      </c>
      <c r="BH58" s="216" t="str">
        <f t="shared" ref="BH58:BH67" si="22">BH47</f>
        <v>lot1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1028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1028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2" t="str">
        <f>CdTrp1!A77</f>
        <v>agnelles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>
        <f t="shared" si="22"/>
        <v>1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>
        <f t="shared" si="23"/>
        <v>0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>
        <f t="shared" si="24"/>
        <v>0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2" t="str">
        <f>CdTrp1!A78</f>
        <v>vides + mammites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>
        <f t="shared" si="22"/>
        <v>0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>
        <f t="shared" si="23"/>
        <v>0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>
        <f t="shared" si="24"/>
        <v>0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béliers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>
        <f t="shared" si="22"/>
        <v>2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>
        <f t="shared" si="23"/>
        <v>0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>
        <f t="shared" si="24"/>
        <v>0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2">
        <f>CdTrp1!A80</f>
        <v>0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>
        <f t="shared" si="22"/>
        <v>0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>
        <f t="shared" si="23"/>
        <v>0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>
        <f t="shared" si="24"/>
        <v>0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>
        <f t="shared" si="22"/>
        <v>0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>
        <f t="shared" si="23"/>
        <v>0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>
        <f t="shared" si="24"/>
        <v>0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2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>
        <f t="shared" si="22"/>
        <v>0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>
        <f t="shared" si="23"/>
        <v>0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>
        <f t="shared" si="24"/>
        <v>0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2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>
        <f t="shared" si="22"/>
        <v>0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>
        <f t="shared" si="23"/>
        <v>0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>
        <f t="shared" si="24"/>
        <v>0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>
        <f t="shared" si="22"/>
        <v>0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>
        <f t="shared" si="23"/>
        <v>0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>
        <f t="shared" si="24"/>
        <v>0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2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>
        <f t="shared" si="22"/>
        <v>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>
        <f t="shared" si="23"/>
        <v>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>
        <f t="shared" si="24"/>
        <v>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1029</v>
      </c>
      <c r="AG69" s="216" t="str">
        <f t="shared" ref="AG69:AG78" si="25">AG58</f>
        <v>laitiéres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1029</v>
      </c>
      <c r="BH69" s="216" t="str">
        <f t="shared" ref="BH69:BH78" si="27">BH58</f>
        <v>lot1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1029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1029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agnelles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>
        <f t="shared" si="27"/>
        <v>1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>
        <f t="shared" si="29"/>
        <v>0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>
        <f t="shared" si="31"/>
        <v>0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vides + mammites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>
        <f t="shared" si="27"/>
        <v>0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>
        <f t="shared" si="29"/>
        <v>0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>
        <f t="shared" si="31"/>
        <v>0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béliers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>
        <f t="shared" si="27"/>
        <v>2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>
        <f t="shared" si="29"/>
        <v>0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>
        <f t="shared" si="31"/>
        <v>0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>
        <f t="shared" si="25"/>
        <v>0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>
        <f t="shared" si="26"/>
        <v>0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>
        <f t="shared" si="27"/>
        <v>0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>
        <f t="shared" si="29"/>
        <v>0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>
        <f t="shared" si="31"/>
        <v>0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>
        <f t="shared" si="27"/>
        <v>0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>
        <f t="shared" si="29"/>
        <v>0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>
        <f t="shared" si="31"/>
        <v>0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>
        <f t="shared" si="27"/>
        <v>0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>
        <f t="shared" si="29"/>
        <v>0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>
        <f t="shared" si="31"/>
        <v>0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1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>
        <f t="shared" si="27"/>
        <v>0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>
        <f t="shared" si="29"/>
        <v>0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>
        <f t="shared" si="31"/>
        <v>0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>
        <f t="shared" si="27"/>
        <v>0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>
        <f t="shared" si="29"/>
        <v>0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>
        <f t="shared" si="31"/>
        <v>0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1030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8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>
        <f t="shared" si="27"/>
        <v>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>
        <f t="shared" si="29"/>
        <v>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>
        <f t="shared" si="31"/>
        <v>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987</v>
      </c>
      <c r="AG79" s="218">
        <f>SUM(AH69:BE78)</f>
        <v>0</v>
      </c>
      <c r="AH79" s="216" t="s">
        <v>1031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987</v>
      </c>
      <c r="BH79" s="216">
        <f>SUM(BI69:CF78)</f>
        <v>0</v>
      </c>
      <c r="BI79" s="216" t="s">
        <v>1031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987</v>
      </c>
      <c r="CJ79" s="216">
        <f>SUM(CK69:DH78)</f>
        <v>0</v>
      </c>
      <c r="CK79" s="216" t="s">
        <v>1031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987</v>
      </c>
      <c r="DL79" s="216">
        <f>SUM(DM69:EJ78)</f>
        <v>0</v>
      </c>
      <c r="DM79" s="216" t="s">
        <v>1031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1032</v>
      </c>
      <c r="D80" s="33" t="s">
        <v>1033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1034</v>
      </c>
      <c r="C81" s="36" t="s">
        <v>1035</v>
      </c>
      <c r="D81" s="166" t="str">
        <f>Troupeau!B3</f>
        <v>OL</v>
      </c>
      <c r="E81" s="166">
        <f>Troupeau!C3</f>
        <v>0</v>
      </c>
      <c r="F81" s="166">
        <f>Troupeau!D3</f>
        <v>0</v>
      </c>
      <c r="J81" s="166" t="s">
        <v>13</v>
      </c>
      <c r="K81" s="166" t="str">
        <f>Troupeau!B3</f>
        <v>OL</v>
      </c>
      <c r="L81" s="166">
        <f>Troupeau!C3</f>
        <v>0</v>
      </c>
      <c r="M81" s="166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1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3">
        <f>[1]Conc!$D5</f>
        <v>200</v>
      </c>
      <c r="D82" s="168">
        <f>BY89+CC89</f>
        <v>36.400000000000006</v>
      </c>
      <c r="E82" s="168">
        <f t="shared" ref="E82:F97" si="33">BZ89+CD89</f>
        <v>0</v>
      </c>
      <c r="F82" s="168">
        <f t="shared" si="33"/>
        <v>0</v>
      </c>
      <c r="J82" s="168">
        <f>SUM(K82:M82)</f>
        <v>7280.0000000000009</v>
      </c>
      <c r="K82" s="168">
        <f>$C82*D82</f>
        <v>7280.0000000000009</v>
      </c>
      <c r="L82" s="168">
        <f t="shared" ref="L82:M97" si="34">$C82*E82</f>
        <v>0</v>
      </c>
      <c r="M82" s="168">
        <f t="shared" si="34"/>
        <v>0</v>
      </c>
      <c r="X82" s="14" t="s">
        <v>1036</v>
      </c>
      <c r="Y82" s="168">
        <f>B14</f>
        <v>0</v>
      </c>
    </row>
    <row r="83" spans="1:143" x14ac:dyDescent="0.25">
      <c r="A83" s="222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8.1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1336.5</v>
      </c>
      <c r="K83" s="168">
        <f t="shared" ref="K83:M106" si="37">$C83*D83</f>
        <v>1336.5</v>
      </c>
      <c r="L83" s="168">
        <f t="shared" si="34"/>
        <v>0</v>
      </c>
      <c r="M83" s="168">
        <f t="shared" si="34"/>
        <v>0</v>
      </c>
      <c r="Q83" s="2" t="s">
        <v>1037</v>
      </c>
      <c r="X83" s="14" t="s">
        <v>1038</v>
      </c>
      <c r="Y83" s="168">
        <f>U12</f>
        <v>0</v>
      </c>
    </row>
    <row r="84" spans="1:143" x14ac:dyDescent="0.25">
      <c r="A84" s="222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1039</v>
      </c>
      <c r="Y84" s="168">
        <f>V12</f>
        <v>0</v>
      </c>
    </row>
    <row r="85" spans="1:143" x14ac:dyDescent="0.25">
      <c r="A85" s="222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1040</v>
      </c>
      <c r="Y85" s="168">
        <f>W12</f>
        <v>0</v>
      </c>
    </row>
    <row r="86" spans="1:143" x14ac:dyDescent="0.25">
      <c r="A86" s="222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22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423</v>
      </c>
      <c r="U87" s="17"/>
      <c r="Y87" t="s">
        <v>1041</v>
      </c>
      <c r="AB87" t="s">
        <v>87</v>
      </c>
      <c r="AL87"/>
      <c r="BG87"/>
      <c r="BY87" t="s">
        <v>927</v>
      </c>
      <c r="CC87" t="s">
        <v>1042</v>
      </c>
    </row>
    <row r="88" spans="1:143" x14ac:dyDescent="0.25">
      <c r="A88" s="222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287</v>
      </c>
      <c r="X88" t="s">
        <v>288</v>
      </c>
      <c r="Y88" t="s">
        <v>1043</v>
      </c>
      <c r="Z88" t="s">
        <v>704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901</v>
      </c>
      <c r="BZ88" s="166" t="s">
        <v>917</v>
      </c>
      <c r="CA88" s="166" t="s">
        <v>918</v>
      </c>
      <c r="CB88" s="166"/>
      <c r="CC88" s="166" t="s">
        <v>901</v>
      </c>
      <c r="CD88" s="166" t="s">
        <v>917</v>
      </c>
      <c r="CE88" s="166" t="s">
        <v>918</v>
      </c>
    </row>
    <row r="89" spans="1:143" x14ac:dyDescent="0.25">
      <c r="A89" s="222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94</v>
      </c>
      <c r="R89" t="s">
        <v>378</v>
      </c>
      <c r="T89" s="229">
        <v>36</v>
      </c>
      <c r="U89" s="229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36.400000000000006</v>
      </c>
      <c r="CD89" s="168">
        <f>CdTrp2!AK$54</f>
        <v>0</v>
      </c>
      <c r="CE89" s="168">
        <f>CdTrp3!AK$54</f>
        <v>0</v>
      </c>
    </row>
    <row r="90" spans="1:143" x14ac:dyDescent="0.25">
      <c r="A90" s="222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379</v>
      </c>
      <c r="T90" s="229">
        <v>37</v>
      </c>
      <c r="U90" s="229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8.1</v>
      </c>
      <c r="CD90" s="168">
        <f>CdTrp2!AL$54</f>
        <v>0</v>
      </c>
      <c r="CE90" s="168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380</v>
      </c>
      <c r="T91" s="229">
        <v>38</v>
      </c>
      <c r="U91" s="229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3">
        <f>[1]Conc!$D15</f>
        <v>416</v>
      </c>
      <c r="D92" s="168">
        <f t="shared" si="35"/>
        <v>5.8</v>
      </c>
      <c r="E92" s="168">
        <f t="shared" si="33"/>
        <v>0</v>
      </c>
      <c r="F92" s="168">
        <f t="shared" si="33"/>
        <v>0</v>
      </c>
      <c r="J92" s="168">
        <f t="shared" si="36"/>
        <v>2412.7999999999997</v>
      </c>
      <c r="K92" s="168">
        <f t="shared" si="37"/>
        <v>2412.7999999999997</v>
      </c>
      <c r="L92" s="168">
        <f t="shared" si="34"/>
        <v>0</v>
      </c>
      <c r="M92" s="168">
        <f t="shared" si="34"/>
        <v>0</v>
      </c>
      <c r="R92" t="s">
        <v>381</v>
      </c>
      <c r="T92" s="229">
        <v>39</v>
      </c>
      <c r="U92" s="229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382</v>
      </c>
      <c r="S93" s="5"/>
      <c r="T93" s="229">
        <v>40</v>
      </c>
      <c r="U93" s="229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22" t="str">
        <f>'Conduite Trp'!B23</f>
        <v>13 -aliment complet brebis lait</v>
      </c>
      <c r="C94" s="183">
        <f>[1]Conc!$D17</f>
        <v>308</v>
      </c>
      <c r="D94" s="168">
        <f t="shared" si="35"/>
        <v>5</v>
      </c>
      <c r="E94" s="168">
        <f t="shared" si="33"/>
        <v>0</v>
      </c>
      <c r="F94" s="168">
        <f t="shared" si="33"/>
        <v>0</v>
      </c>
      <c r="J94" s="168">
        <f t="shared" si="36"/>
        <v>1540</v>
      </c>
      <c r="K94" s="168">
        <f t="shared" si="37"/>
        <v>1540</v>
      </c>
      <c r="L94" s="168">
        <f t="shared" si="34"/>
        <v>0</v>
      </c>
      <c r="M94" s="168">
        <f t="shared" si="34"/>
        <v>0</v>
      </c>
      <c r="AB94" s="230">
        <f>SUM(AB89:AB93)</f>
        <v>0</v>
      </c>
      <c r="AC94" s="230">
        <f t="shared" ref="AC94:BV94" si="42">SUM(AC89:AC93)</f>
        <v>0</v>
      </c>
      <c r="AD94" s="230">
        <f t="shared" si="42"/>
        <v>0</v>
      </c>
      <c r="AE94" s="230">
        <f t="shared" si="42"/>
        <v>0</v>
      </c>
      <c r="AF94" s="230">
        <f t="shared" si="42"/>
        <v>0</v>
      </c>
      <c r="AG94" s="230">
        <f t="shared" si="42"/>
        <v>0</v>
      </c>
      <c r="AH94" s="230">
        <f t="shared" si="42"/>
        <v>0</v>
      </c>
      <c r="AI94" s="230">
        <f t="shared" si="42"/>
        <v>0</v>
      </c>
      <c r="AJ94" s="230">
        <f t="shared" si="42"/>
        <v>0</v>
      </c>
      <c r="AK94" s="230">
        <f t="shared" si="42"/>
        <v>0</v>
      </c>
      <c r="AL94" s="230">
        <f t="shared" si="42"/>
        <v>0</v>
      </c>
      <c r="AM94" s="230">
        <f t="shared" si="42"/>
        <v>0</v>
      </c>
      <c r="AN94" s="230">
        <f t="shared" si="42"/>
        <v>0</v>
      </c>
      <c r="AO94" s="230">
        <f t="shared" si="42"/>
        <v>0</v>
      </c>
      <c r="AP94" s="230">
        <f t="shared" si="42"/>
        <v>0</v>
      </c>
      <c r="AQ94" s="230">
        <f t="shared" si="42"/>
        <v>0</v>
      </c>
      <c r="AR94" s="230">
        <f t="shared" si="42"/>
        <v>0</v>
      </c>
      <c r="AS94" s="230">
        <f t="shared" si="42"/>
        <v>0</v>
      </c>
      <c r="AT94" s="230">
        <f t="shared" si="42"/>
        <v>0</v>
      </c>
      <c r="AU94" s="230">
        <f t="shared" si="42"/>
        <v>0</v>
      </c>
      <c r="AV94" s="230">
        <f t="shared" si="42"/>
        <v>0</v>
      </c>
      <c r="AW94" s="230">
        <f t="shared" si="42"/>
        <v>0</v>
      </c>
      <c r="AX94" s="230">
        <f t="shared" si="42"/>
        <v>0</v>
      </c>
      <c r="AY94" s="230">
        <f t="shared" si="42"/>
        <v>0</v>
      </c>
      <c r="AZ94" s="230">
        <f t="shared" si="42"/>
        <v>0</v>
      </c>
      <c r="BA94" s="230">
        <f t="shared" si="42"/>
        <v>0</v>
      </c>
      <c r="BB94" s="230">
        <f t="shared" si="42"/>
        <v>0</v>
      </c>
      <c r="BC94" s="230">
        <f t="shared" si="42"/>
        <v>0</v>
      </c>
      <c r="BD94" s="230">
        <f t="shared" si="42"/>
        <v>0</v>
      </c>
      <c r="BE94" s="230">
        <f t="shared" si="42"/>
        <v>0</v>
      </c>
      <c r="BF94" s="230">
        <f t="shared" si="42"/>
        <v>0</v>
      </c>
      <c r="BG94" s="230">
        <f t="shared" si="42"/>
        <v>0</v>
      </c>
      <c r="BH94" s="230">
        <f t="shared" si="42"/>
        <v>0</v>
      </c>
      <c r="BI94" s="230">
        <f t="shared" si="42"/>
        <v>0</v>
      </c>
      <c r="BJ94" s="230">
        <f t="shared" si="42"/>
        <v>0</v>
      </c>
      <c r="BK94" s="230">
        <f t="shared" si="42"/>
        <v>0</v>
      </c>
      <c r="BL94" s="230">
        <f t="shared" si="42"/>
        <v>0</v>
      </c>
      <c r="BM94" s="230">
        <f t="shared" si="42"/>
        <v>0</v>
      </c>
      <c r="BN94" s="230">
        <f t="shared" si="42"/>
        <v>0</v>
      </c>
      <c r="BO94" s="230">
        <f t="shared" si="42"/>
        <v>0</v>
      </c>
      <c r="BP94" s="230">
        <f t="shared" si="42"/>
        <v>0</v>
      </c>
      <c r="BQ94" s="230">
        <f t="shared" si="42"/>
        <v>0</v>
      </c>
      <c r="BR94" s="230">
        <f t="shared" si="42"/>
        <v>0</v>
      </c>
      <c r="BS94" s="230">
        <f t="shared" si="42"/>
        <v>0</v>
      </c>
      <c r="BT94" s="230">
        <f t="shared" si="42"/>
        <v>0</v>
      </c>
      <c r="BU94" s="230">
        <f t="shared" si="42"/>
        <v>0</v>
      </c>
      <c r="BV94" s="230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3">
        <f>[1]Conc!$D18</f>
        <v>270</v>
      </c>
      <c r="D95" s="168">
        <f t="shared" si="35"/>
        <v>8.5</v>
      </c>
      <c r="E95" s="168">
        <f t="shared" si="33"/>
        <v>0</v>
      </c>
      <c r="F95" s="168">
        <f t="shared" si="33"/>
        <v>0</v>
      </c>
      <c r="J95" s="168">
        <f t="shared" si="36"/>
        <v>2295</v>
      </c>
      <c r="K95" s="168">
        <f t="shared" si="37"/>
        <v>2295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22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95</v>
      </c>
      <c r="R96" t="s">
        <v>378</v>
      </c>
      <c r="T96" s="229">
        <v>36</v>
      </c>
      <c r="U96" s="229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22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379</v>
      </c>
      <c r="T97" s="229">
        <v>37</v>
      </c>
      <c r="U97" s="229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22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380</v>
      </c>
      <c r="T98" s="229">
        <v>38</v>
      </c>
      <c r="U98" s="229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381</v>
      </c>
      <c r="T99" s="229">
        <v>39</v>
      </c>
      <c r="U99" s="229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5.8</v>
      </c>
      <c r="CD99" s="168">
        <f>CdTrp2!AU$54</f>
        <v>0</v>
      </c>
      <c r="CE99" s="168">
        <f>CdTrp3!AU$54</f>
        <v>0</v>
      </c>
    </row>
    <row r="100" spans="1:83" x14ac:dyDescent="0.25">
      <c r="A100" s="222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382</v>
      </c>
      <c r="S100" s="5"/>
      <c r="T100" s="229">
        <v>40</v>
      </c>
      <c r="U100" s="229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22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5</v>
      </c>
      <c r="CD101" s="168">
        <f>CdTrp2!AW$54</f>
        <v>0</v>
      </c>
      <c r="CE101" s="168">
        <f>CdTrp3!AW$54</f>
        <v>0</v>
      </c>
    </row>
    <row r="102" spans="1:83" x14ac:dyDescent="0.25">
      <c r="A102" s="222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8.5</v>
      </c>
      <c r="CD102" s="168">
        <f>CdTrp2!AX$54</f>
        <v>0</v>
      </c>
      <c r="CE102" s="168">
        <f>CdTrp3!AX$54</f>
        <v>0</v>
      </c>
    </row>
    <row r="103" spans="1:83" x14ac:dyDescent="0.25">
      <c r="A103" s="222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96</v>
      </c>
      <c r="R103" t="s">
        <v>378</v>
      </c>
      <c r="T103" s="229">
        <v>36</v>
      </c>
      <c r="U103" s="229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22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379</v>
      </c>
      <c r="T104" s="229">
        <v>37</v>
      </c>
      <c r="U104" s="229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22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380</v>
      </c>
      <c r="T105" s="229">
        <v>38</v>
      </c>
      <c r="U105" s="229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22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381</v>
      </c>
      <c r="T106" s="229">
        <v>39</v>
      </c>
      <c r="U106" s="229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22"/>
      <c r="B107" s="231"/>
      <c r="C107" s="167"/>
      <c r="R107" t="s">
        <v>382</v>
      </c>
      <c r="S107" s="5"/>
      <c r="T107" s="229">
        <v>40</v>
      </c>
      <c r="U107" s="229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>
        <f>Troupeau!C3</f>
        <v>0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1044</v>
      </c>
      <c r="J110" s="168">
        <f t="shared" ref="J110:J115" si="54">SUM(K110:N110)</f>
        <v>2573</v>
      </c>
      <c r="K110" s="172">
        <f t="shared" ref="K110:K115" si="55">ROUND(T132*U132,0)</f>
        <v>2573</v>
      </c>
      <c r="L110" s="172">
        <f>ROUND(V132*W132,0)</f>
        <v>0</v>
      </c>
      <c r="M110" s="172">
        <f t="shared" ref="M110:M115" si="56">ROUND(X132*Y132,0)</f>
        <v>0</v>
      </c>
      <c r="R110" s="40" t="s">
        <v>1045</v>
      </c>
      <c r="S110" s="166" t="str">
        <f>Troupeau!B3</f>
        <v>OL</v>
      </c>
      <c r="T110" s="61">
        <f>SUM(K82:K106)</f>
        <v>14864.3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1046</v>
      </c>
      <c r="J111" s="168">
        <f t="shared" si="54"/>
        <v>8410</v>
      </c>
      <c r="K111" s="172">
        <f t="shared" si="55"/>
        <v>8410</v>
      </c>
      <c r="L111" s="172">
        <f>ROUND(V133*W133,0)</f>
        <v>0</v>
      </c>
      <c r="M111" s="172">
        <f t="shared" si="56"/>
        <v>0</v>
      </c>
      <c r="R111" s="14"/>
      <c r="S111" s="166">
        <f>Troupeau!C3</f>
        <v>0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1047</v>
      </c>
      <c r="J112" s="168">
        <f t="shared" si="54"/>
        <v>0</v>
      </c>
      <c r="K112" s="172">
        <f t="shared" si="55"/>
        <v>0</v>
      </c>
      <c r="L112" s="172">
        <f>ROUND(V134*W134,0)</f>
        <v>0</v>
      </c>
      <c r="M112" s="172">
        <f t="shared" si="56"/>
        <v>0</v>
      </c>
      <c r="O112" s="232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1048</v>
      </c>
      <c r="J113" s="168">
        <f t="shared" si="54"/>
        <v>965</v>
      </c>
      <c r="K113" s="172">
        <f t="shared" si="55"/>
        <v>965</v>
      </c>
      <c r="L113" s="172">
        <f>ROUND(V135*W135,0)</f>
        <v>0</v>
      </c>
      <c r="M113" s="172">
        <f t="shared" si="56"/>
        <v>0</v>
      </c>
      <c r="O113" s="232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1049</v>
      </c>
      <c r="J114" s="168">
        <f t="shared" si="54"/>
        <v>0</v>
      </c>
      <c r="K114" s="172">
        <f t="shared" si="55"/>
        <v>0</v>
      </c>
      <c r="L114" s="172">
        <f>ROUND(U136*V136,0)</f>
        <v>0</v>
      </c>
      <c r="M114" s="172">
        <f t="shared" si="56"/>
        <v>0</v>
      </c>
      <c r="O114" s="232"/>
      <c r="BG114"/>
      <c r="BH114" s="14"/>
      <c r="BZ114" s="166"/>
      <c r="CA114" s="166"/>
    </row>
    <row r="115" spans="1:83" x14ac:dyDescent="0.25">
      <c r="A115" t="s">
        <v>1050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32"/>
      <c r="BG115"/>
      <c r="BH115" s="14"/>
    </row>
    <row r="116" spans="1:83" x14ac:dyDescent="0.25">
      <c r="A116" s="2" t="s">
        <v>1051</v>
      </c>
      <c r="K116" s="62">
        <f>SUM(K110:K115)+SUM(K82:K106)</f>
        <v>26812.3</v>
      </c>
      <c r="L116" s="62">
        <f t="shared" ref="L116:M116" si="57">SUM(L110:L115)+SUM(L82:L106)</f>
        <v>0</v>
      </c>
      <c r="M116" s="62">
        <f t="shared" si="57"/>
        <v>0</v>
      </c>
      <c r="O116" s="232"/>
      <c r="BG116"/>
      <c r="BH116" s="14"/>
    </row>
    <row r="117" spans="1:83" x14ac:dyDescent="0.25">
      <c r="O117" s="232"/>
      <c r="BG117"/>
      <c r="BH117" s="14"/>
    </row>
    <row r="118" spans="1:83" x14ac:dyDescent="0.25">
      <c r="A118" t="s">
        <v>1052</v>
      </c>
      <c r="B118" s="172">
        <f>IF('Alim -Surf'!K27&lt;0,-'Alim -Surf'!K27,0)</f>
        <v>49.35499999999999</v>
      </c>
      <c r="C118" s="183">
        <f>IF(Scénario!$K$12="BV",[1]Eco!$B$78,IF(Scénario!$K$12="BL",[1]Eco!$B$77,[1]Eco!$B$76))</f>
        <v>223</v>
      </c>
      <c r="J118" s="168">
        <f>B118*C118</f>
        <v>11006.164999999997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1053</v>
      </c>
      <c r="B119" s="172">
        <f>IF('Alim -Surf'!K9&lt;0,-'Alim -Surf'!K9,0)</f>
        <v>10.113</v>
      </c>
      <c r="C119" s="183">
        <f>[1]Eco!$B$79</f>
        <v>80</v>
      </c>
      <c r="J119" s="168">
        <f>B119*C119</f>
        <v>809.04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1054</v>
      </c>
      <c r="B121" t="s">
        <v>1055</v>
      </c>
      <c r="C121" t="s">
        <v>37</v>
      </c>
      <c r="D121" t="s">
        <v>1056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10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553</v>
      </c>
      <c r="U122" s="2" t="s">
        <v>567</v>
      </c>
      <c r="V122" s="2" t="s">
        <v>574</v>
      </c>
      <c r="W122" s="2" t="s">
        <v>1019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1057</v>
      </c>
      <c r="T123" s="166">
        <f>Troupeau!J17</f>
        <v>45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1058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1059</v>
      </c>
      <c r="T124" s="166" t="str">
        <f>Troupeau!B3</f>
        <v>OL</v>
      </c>
      <c r="U124" s="166">
        <f>Troupeau!C3</f>
        <v>0</v>
      </c>
      <c r="V124" s="166">
        <f>Troupeau!D3</f>
        <v>0</v>
      </c>
      <c r="W124" s="166">
        <f>Troupeau!E3</f>
        <v>0</v>
      </c>
      <c r="AF124" s="2" t="s">
        <v>553</v>
      </c>
      <c r="AG124" s="2" t="s">
        <v>567</v>
      </c>
      <c r="AH124" s="2" t="s">
        <v>574</v>
      </c>
      <c r="AI124" s="2" t="s">
        <v>1019</v>
      </c>
      <c r="AJ124" s="233" t="s">
        <v>1060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1061</v>
      </c>
      <c r="T125">
        <f>ROUND(Troupeau!B35/1000,2)</f>
        <v>50.13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1062</v>
      </c>
      <c r="AF125" s="30">
        <f>Troupeau!J17</f>
        <v>45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5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1063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1064</v>
      </c>
      <c r="AE126" t="s">
        <v>1065</v>
      </c>
      <c r="AF126" s="30">
        <f>B9</f>
        <v>168</v>
      </c>
      <c r="AG126" s="30">
        <f>C9</f>
        <v>0</v>
      </c>
      <c r="AH126" s="30">
        <f>D9</f>
        <v>0</v>
      </c>
      <c r="AI126" s="30">
        <f>E9</f>
        <v>0</v>
      </c>
      <c r="AJ126" s="205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1066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1067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5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1068</v>
      </c>
      <c r="AE128" t="s">
        <v>1069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5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1"/>
      <c r="AD129" s="14" t="s">
        <v>1070</v>
      </c>
      <c r="AE129" t="s">
        <v>1065</v>
      </c>
      <c r="AF129" s="30">
        <f>B10</f>
        <v>104</v>
      </c>
      <c r="AG129" s="30">
        <f>C10</f>
        <v>0</v>
      </c>
      <c r="AH129" s="30">
        <f>D10</f>
        <v>0</v>
      </c>
      <c r="AI129" s="30">
        <f>E10</f>
        <v>0</v>
      </c>
      <c r="AJ129" s="205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553</v>
      </c>
      <c r="U130" s="2"/>
      <c r="V130" s="2" t="s">
        <v>567</v>
      </c>
      <c r="W130" s="2"/>
      <c r="X130" s="2" t="s">
        <v>574</v>
      </c>
      <c r="Y130" s="2"/>
      <c r="Z130" s="2" t="s">
        <v>1019</v>
      </c>
      <c r="AA130" s="2"/>
      <c r="AB130" s="201"/>
      <c r="AE130" t="s">
        <v>1067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5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32"/>
      <c r="T131" s="166" t="s">
        <v>1071</v>
      </c>
      <c r="U131" s="166" t="s">
        <v>1072</v>
      </c>
      <c r="V131" s="166" t="s">
        <v>1071</v>
      </c>
      <c r="W131" s="166" t="s">
        <v>1072</v>
      </c>
      <c r="X131" s="166" t="s">
        <v>1071</v>
      </c>
      <c r="Y131" s="166" t="s">
        <v>1072</v>
      </c>
      <c r="Z131" s="166" t="s">
        <v>1071</v>
      </c>
      <c r="AA131" s="166" t="s">
        <v>1072</v>
      </c>
      <c r="AB131" s="201" t="s">
        <v>1073</v>
      </c>
      <c r="AE131" t="s">
        <v>1069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5"/>
      <c r="AL131"/>
      <c r="AM131" s="5"/>
      <c r="BG131"/>
      <c r="BH131" s="14"/>
    </row>
    <row r="132" spans="1:60" x14ac:dyDescent="0.25">
      <c r="A132" s="182" t="s">
        <v>1074</v>
      </c>
      <c r="B132" s="5"/>
      <c r="C132" s="168">
        <f>AH228</f>
        <v>15.5</v>
      </c>
      <c r="D132" s="183">
        <f>HLOOKUP(Troupeau!$J$17,[1]Anx!$D$170:$CN$186,'Calcul éco'!O132)</f>
        <v>36</v>
      </c>
      <c r="E132" s="234"/>
      <c r="F132" s="234"/>
      <c r="G132" s="18"/>
      <c r="J132" s="168">
        <f>D132*C132</f>
        <v>558</v>
      </c>
      <c r="K132" s="167"/>
      <c r="L132" s="167"/>
      <c r="M132" s="167"/>
      <c r="N132" s="167"/>
      <c r="O132" s="232">
        <v>10</v>
      </c>
      <c r="S132" s="14" t="s">
        <v>1044</v>
      </c>
      <c r="T132" s="166">
        <f>$T$127</f>
        <v>268</v>
      </c>
      <c r="U132" s="183">
        <f>HLOOKUP($T$123,[1]Anx!$D$170:$CN$1177,$AB132)</f>
        <v>9.6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5">
        <f>IF(Z132=0,0,HLOOKUP(W$123,[1]Anx!$D$170:$CN$1177,$AB132))</f>
        <v>0</v>
      </c>
      <c r="AB132" s="232">
        <v>3</v>
      </c>
      <c r="AD132" s="14" t="s">
        <v>1075</v>
      </c>
      <c r="AE132" t="s">
        <v>1065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5"/>
      <c r="AL132"/>
      <c r="AM132" s="5"/>
      <c r="BG132"/>
      <c r="BH132" s="14"/>
    </row>
    <row r="133" spans="1:60" x14ac:dyDescent="0.25">
      <c r="A133" s="182" t="s">
        <v>1076</v>
      </c>
      <c r="B133" s="5"/>
      <c r="C133" s="168">
        <f>AI228</f>
        <v>2.5</v>
      </c>
      <c r="D133" s="183">
        <f>HLOOKUP(Troupeau!$J$17,[1]Anx!$D$170:$CN$186,'Calcul éco'!O133)</f>
        <v>62.16</v>
      </c>
      <c r="E133" s="234"/>
      <c r="F133" s="234"/>
      <c r="G133" s="18"/>
      <c r="J133" s="168">
        <f t="shared" ref="J133:J138" si="61">D133*C133</f>
        <v>155.39999999999998</v>
      </c>
      <c r="K133" s="167"/>
      <c r="L133" s="167"/>
      <c r="M133" s="167"/>
      <c r="N133" s="167"/>
      <c r="O133" s="232">
        <v>11</v>
      </c>
      <c r="S133" s="14" t="s">
        <v>1046</v>
      </c>
      <c r="T133" s="166">
        <f>$T$127</f>
        <v>268</v>
      </c>
      <c r="U133" s="183">
        <f>HLOOKUP($T$123,[1]Anx!$D$170:$CN$1177,$AB133)</f>
        <v>31.379999999999995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5">
        <f>IF(Z133=0,0,HLOOKUP(W$123,[1]Anx!$D$170:$CN$1177,$AB133))</f>
        <v>0</v>
      </c>
      <c r="AB133" s="232">
        <v>4</v>
      </c>
      <c r="AE133" t="s">
        <v>1067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5">
        <v>14</v>
      </c>
      <c r="AL133"/>
      <c r="AM133" s="5"/>
      <c r="BG133"/>
      <c r="BH133" s="14"/>
    </row>
    <row r="134" spans="1:60" x14ac:dyDescent="0.25">
      <c r="A134" s="182" t="s">
        <v>1077</v>
      </c>
      <c r="B134" s="5"/>
      <c r="C134" s="168">
        <f>AJ228</f>
        <v>9.1000000000000014</v>
      </c>
      <c r="D134" s="183">
        <f>HLOOKUP(Troupeau!$J$17,[1]Anx!$D$170:$CN$186,'Calcul éco'!O134)</f>
        <v>66.84</v>
      </c>
      <c r="E134" s="234"/>
      <c r="F134" s="234"/>
      <c r="G134" s="18"/>
      <c r="J134" s="168">
        <f t="shared" si="61"/>
        <v>608.24400000000014</v>
      </c>
      <c r="K134" s="167"/>
      <c r="L134" s="167"/>
      <c r="M134" s="167"/>
      <c r="N134" s="167"/>
      <c r="O134" s="232">
        <v>12</v>
      </c>
      <c r="S134" s="14" t="s">
        <v>1047</v>
      </c>
      <c r="T134" s="167">
        <f>B6</f>
        <v>0</v>
      </c>
      <c r="U134" s="183">
        <f>HLOOKUP($T$123,[1]Anx!$D$170:$CN$1177,$AB134)</f>
        <v>0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5">
        <f>IF(Z134=0,0,HLOOKUP(W$123,[1]Anx!$D$170:$CN$1177,$AB134))</f>
        <v>0</v>
      </c>
      <c r="AB134" s="232">
        <v>5</v>
      </c>
      <c r="AE134" t="s">
        <v>1069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5"/>
      <c r="AL134"/>
      <c r="AM134" s="5"/>
      <c r="BG134"/>
      <c r="BH134" s="14"/>
    </row>
    <row r="135" spans="1:60" x14ac:dyDescent="0.25">
      <c r="A135" s="182" t="s">
        <v>1078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32">
        <v>13</v>
      </c>
      <c r="S135" s="14" t="s">
        <v>1048</v>
      </c>
      <c r="T135" s="166">
        <f>$T$127</f>
        <v>268</v>
      </c>
      <c r="U135" s="183">
        <f>HLOOKUP($T$123,[1]Anx!$D$170:$CN$1177,$AB135)</f>
        <v>3.5999999999999996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5">
        <f>IF(Z135=0,0,HLOOKUP(W$123,[1]Anx!$D$170:$CN$1177,$AB135))</f>
        <v>0</v>
      </c>
      <c r="AB135" s="232">
        <v>6</v>
      </c>
      <c r="AD135" s="14" t="s">
        <v>1079</v>
      </c>
      <c r="AE135" t="s">
        <v>1065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5"/>
      <c r="AL135"/>
      <c r="AM135" s="5"/>
      <c r="BG135"/>
      <c r="BH135" s="14"/>
    </row>
    <row r="136" spans="1:60" x14ac:dyDescent="0.25">
      <c r="A136" s="182" t="s">
        <v>1080</v>
      </c>
      <c r="B136" s="5"/>
      <c r="C136" s="168">
        <f>AF228</f>
        <v>0</v>
      </c>
      <c r="D136" s="183">
        <f>HLOOKUP(Troupeau!$J$17,[1]Anx!$D$170:$CN$186,'Calcul éco'!O136)</f>
        <v>118.55999999999999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32">
        <v>14</v>
      </c>
      <c r="S136" s="14" t="s">
        <v>1081</v>
      </c>
      <c r="T136" s="166">
        <f>$T$127</f>
        <v>268</v>
      </c>
      <c r="U136" s="183">
        <f>HLOOKUP($T$123,[1]Anx!$D$170:$CN$1177,$AB136)</f>
        <v>0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5">
        <f>IF(Z136=0,0,HLOOKUP(W$123,[1]Anx!$D$170:$CN$1177,$AB136))</f>
        <v>0</v>
      </c>
      <c r="AB136" s="232">
        <v>7</v>
      </c>
      <c r="AE136" t="s">
        <v>1067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5">
        <v>19</v>
      </c>
      <c r="AL136"/>
      <c r="AM136" s="5"/>
      <c r="BG136"/>
      <c r="BH136" s="14"/>
    </row>
    <row r="137" spans="1:60" x14ac:dyDescent="0.25">
      <c r="A137" s="182" t="s">
        <v>1082</v>
      </c>
      <c r="B137" s="5"/>
      <c r="C137" s="168">
        <f>AG228</f>
        <v>1.3</v>
      </c>
      <c r="D137" s="183">
        <f>HLOOKUP(Troupeau!$J$17,[1]Anx!$D$170:$CN$186,'Calcul éco'!O137)</f>
        <v>150.24</v>
      </c>
      <c r="E137" s="5"/>
      <c r="F137" s="5"/>
      <c r="G137" s="18"/>
      <c r="J137" s="168">
        <f t="shared" si="61"/>
        <v>195.31200000000001</v>
      </c>
      <c r="K137" s="167"/>
      <c r="L137" s="167"/>
      <c r="M137" s="167"/>
      <c r="N137" s="167"/>
      <c r="O137" s="232">
        <v>15</v>
      </c>
      <c r="S137" s="32" t="s">
        <v>1083</v>
      </c>
      <c r="T137" s="166">
        <f>Troupeau!B22</f>
        <v>64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5">
        <f>IF(Z137=0,0,HLOOKUP(W$123,[1]Anx!$D$170:$CN$1177,$AB137))</f>
        <v>0</v>
      </c>
      <c r="AB137" s="232">
        <v>8</v>
      </c>
      <c r="AE137" t="s">
        <v>1069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5"/>
      <c r="AL137"/>
      <c r="AM137" s="5"/>
      <c r="BG137"/>
      <c r="BH137" s="14"/>
    </row>
    <row r="138" spans="1:60" x14ac:dyDescent="0.25">
      <c r="A138" s="182" t="s">
        <v>1084</v>
      </c>
      <c r="B138" s="5"/>
      <c r="C138" s="168">
        <f>AA228</f>
        <v>0</v>
      </c>
      <c r="D138" s="183">
        <f>HLOOKUP(Troupeau!$J$17,[1]Anx!$D$170:$CN$186,'Calcul éco'!O138)</f>
        <v>147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32">
        <v>16</v>
      </c>
      <c r="AD138" s="14" t="s">
        <v>1085</v>
      </c>
      <c r="AE138" t="s">
        <v>1065</v>
      </c>
      <c r="AF138" s="30">
        <f>B13</f>
        <v>51</v>
      </c>
      <c r="AG138" s="30">
        <f>C13</f>
        <v>0</v>
      </c>
      <c r="AH138" s="30">
        <f>D13</f>
        <v>0</v>
      </c>
      <c r="AI138" s="30">
        <f>E13</f>
        <v>0</v>
      </c>
      <c r="AJ138" s="205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2"/>
      <c r="AE139" t="s">
        <v>1067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5">
        <v>24</v>
      </c>
      <c r="AL139"/>
      <c r="AM139" s="5"/>
    </row>
    <row r="140" spans="1:60" x14ac:dyDescent="0.25">
      <c r="A140" s="2" t="s">
        <v>1086</v>
      </c>
      <c r="J140" s="167"/>
      <c r="K140" s="167"/>
      <c r="L140" s="167"/>
      <c r="M140" s="167"/>
      <c r="N140" s="167"/>
      <c r="Y140" s="166"/>
      <c r="AE140" t="s">
        <v>1069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5"/>
      <c r="AL140"/>
      <c r="AM140" s="5"/>
    </row>
    <row r="141" spans="1:60" x14ac:dyDescent="0.25">
      <c r="A141" t="s">
        <v>1087</v>
      </c>
      <c r="J141" s="168">
        <f>X245</f>
        <v>3617</v>
      </c>
      <c r="K141" s="167"/>
      <c r="L141" s="167"/>
      <c r="M141" s="167"/>
      <c r="N141" s="167"/>
      <c r="Y141" s="166"/>
      <c r="AD141" s="14" t="s">
        <v>1088</v>
      </c>
      <c r="AE141" t="s">
        <v>1065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5"/>
      <c r="AL141"/>
      <c r="AM141" s="5"/>
    </row>
    <row r="142" spans="1:60" x14ac:dyDescent="0.25">
      <c r="A142" t="s">
        <v>1089</v>
      </c>
      <c r="J142" s="168">
        <f>SUM(X271:X275)</f>
        <v>399.33000000000004</v>
      </c>
      <c r="K142" s="167"/>
      <c r="L142" s="167"/>
      <c r="M142" s="167"/>
      <c r="N142" s="167"/>
      <c r="Y142" s="166"/>
      <c r="AE142" t="s">
        <v>1067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5">
        <v>29</v>
      </c>
      <c r="AL142"/>
      <c r="AM142" s="5"/>
    </row>
    <row r="143" spans="1:60" x14ac:dyDescent="0.25">
      <c r="Y143" s="166"/>
      <c r="AE143" t="s">
        <v>1069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5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1090</v>
      </c>
      <c r="AE144" t="s">
        <v>1065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5"/>
      <c r="AL144"/>
      <c r="AM144" s="5"/>
    </row>
    <row r="145" spans="1:39" x14ac:dyDescent="0.25">
      <c r="A145" s="224" t="s">
        <v>1091</v>
      </c>
      <c r="B145" s="224"/>
      <c r="C145" s="224"/>
      <c r="D145" s="224"/>
      <c r="E145" s="224"/>
      <c r="F145" s="236"/>
      <c r="G145" s="236"/>
      <c r="H145" s="236"/>
      <c r="I145" s="236"/>
      <c r="J145" s="225">
        <f>SUM(J82:J144)</f>
        <v>44160.790999999997</v>
      </c>
      <c r="K145" s="225"/>
      <c r="L145" s="225"/>
      <c r="M145" s="225"/>
      <c r="N145" s="225"/>
      <c r="Y145" s="166"/>
      <c r="AE145" t="s">
        <v>1067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5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1069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5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1092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5"/>
      <c r="AL147"/>
      <c r="AM147" s="5"/>
    </row>
    <row r="148" spans="1:39" x14ac:dyDescent="0.25">
      <c r="A148" s="2" t="s">
        <v>1093</v>
      </c>
      <c r="D148" s="5"/>
      <c r="E148" s="18"/>
      <c r="F148" s="5"/>
      <c r="G148" s="18"/>
      <c r="O148" s="232"/>
      <c r="AL148"/>
      <c r="AM148" s="5"/>
    </row>
    <row r="149" spans="1:39" x14ac:dyDescent="0.25">
      <c r="A149" t="s">
        <v>1094</v>
      </c>
      <c r="B149" s="168">
        <f>B$154</f>
        <v>18.399999999999999</v>
      </c>
      <c r="C149" s="183">
        <f>HLOOKUP(Troupeau!J$17,[1]Anx!$D$170:$CN$220,'Calcul éco'!O149)</f>
        <v>50</v>
      </c>
      <c r="D149" s="5"/>
      <c r="G149" s="166"/>
      <c r="J149" s="168">
        <f t="shared" ref="J149:J154" si="67">B149*C149</f>
        <v>919.99999999999989</v>
      </c>
      <c r="K149" s="168"/>
      <c r="L149" s="168"/>
      <c r="M149" s="168"/>
      <c r="N149" s="168"/>
      <c r="O149" s="232">
        <v>19</v>
      </c>
      <c r="AL149"/>
      <c r="AM149" s="5"/>
    </row>
    <row r="150" spans="1:39" x14ac:dyDescent="0.25">
      <c r="A150" t="s">
        <v>1095</v>
      </c>
      <c r="B150" s="167">
        <v>1</v>
      </c>
      <c r="C150" s="183">
        <f>HLOOKUP(Troupeau!J$17,[1]Anx!$D$170:$CN$220,'Calcul éco'!O150)</f>
        <v>1000</v>
      </c>
      <c r="D150" s="5"/>
      <c r="G150" s="166"/>
      <c r="J150" s="168">
        <f t="shared" si="67"/>
        <v>1000</v>
      </c>
      <c r="K150" s="168"/>
      <c r="L150" s="168"/>
      <c r="M150" s="168"/>
      <c r="N150" s="168"/>
      <c r="O150" s="232">
        <v>20</v>
      </c>
      <c r="AL150"/>
      <c r="AM150" s="5"/>
    </row>
    <row r="151" spans="1:39" x14ac:dyDescent="0.25">
      <c r="A151" t="s">
        <v>1096</v>
      </c>
      <c r="B151" s="167">
        <v>1</v>
      </c>
      <c r="C151" s="183">
        <f>HLOOKUP(Troupeau!J$17,[1]Anx!$D$170:$CN$220,'Calcul éco'!O151)</f>
        <v>5727</v>
      </c>
      <c r="D151" s="5"/>
      <c r="G151" s="166"/>
      <c r="J151" s="168">
        <f t="shared" si="67"/>
        <v>5727</v>
      </c>
      <c r="K151" s="168"/>
      <c r="L151" s="168"/>
      <c r="M151" s="168"/>
      <c r="N151" s="168"/>
      <c r="O151" s="232">
        <v>21</v>
      </c>
      <c r="Y151" t="s">
        <v>1097</v>
      </c>
    </row>
    <row r="152" spans="1:39" x14ac:dyDescent="0.25">
      <c r="A152" t="s">
        <v>1098</v>
      </c>
      <c r="B152" s="168">
        <f>+Scénario!K6</f>
        <v>0</v>
      </c>
      <c r="C152" s="183">
        <f>HLOOKUP(Troupeau!J$17,[1]Anx!$D$170:$CN$220,'Calcul éco'!O152)</f>
        <v>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32">
        <v>22</v>
      </c>
      <c r="Z152" t="s">
        <v>1099</v>
      </c>
    </row>
    <row r="153" spans="1:39" x14ac:dyDescent="0.25">
      <c r="A153" s="5" t="s">
        <v>1100</v>
      </c>
      <c r="B153" s="167">
        <v>1</v>
      </c>
      <c r="C153" s="183">
        <f>HLOOKUP(Troupeau!J$17,[1]Anx!$D$170:$CN$220,'Calcul éco'!O153)</f>
        <v>9587</v>
      </c>
      <c r="D153" s="5"/>
      <c r="E153" s="5"/>
      <c r="G153" s="166"/>
      <c r="J153" s="168">
        <f t="shared" si="67"/>
        <v>9587</v>
      </c>
      <c r="K153" s="168"/>
      <c r="L153" s="168"/>
      <c r="M153" s="168"/>
      <c r="N153" s="168"/>
      <c r="O153" s="232">
        <v>23</v>
      </c>
      <c r="V153" s="14" t="s">
        <v>1101</v>
      </c>
      <c r="W153" s="168">
        <f>U$228</f>
        <v>12.9</v>
      </c>
      <c r="X153" t="s">
        <v>52</v>
      </c>
      <c r="Y153" s="168">
        <f>W153-Scénario!K28</f>
        <v>0.99999999999999822</v>
      </c>
      <c r="Z153" s="168">
        <f>Y153-Y156</f>
        <v>0.89999999999999836</v>
      </c>
    </row>
    <row r="154" spans="1:39" x14ac:dyDescent="0.25">
      <c r="A154" t="s">
        <v>1102</v>
      </c>
      <c r="B154" s="168">
        <f>Scénario!K48</f>
        <v>18.399999999999999</v>
      </c>
      <c r="C154" s="183">
        <f>HLOOKUP(Troupeau!J$17,[1]Anx!$D$170:$CN$220,'Calcul éco'!O154)</f>
        <v>345</v>
      </c>
      <c r="D154" s="5"/>
      <c r="G154" s="166"/>
      <c r="J154" s="168">
        <f t="shared" si="67"/>
        <v>6347.9999999999991</v>
      </c>
      <c r="K154" s="168"/>
      <c r="L154" s="168"/>
      <c r="M154" s="168"/>
      <c r="N154" s="168"/>
      <c r="O154" s="232">
        <v>24</v>
      </c>
      <c r="V154" s="14" t="s">
        <v>1103</v>
      </c>
      <c r="W154" s="168">
        <f>V$228</f>
        <v>10.400000000000002</v>
      </c>
      <c r="X154" t="s">
        <v>52</v>
      </c>
      <c r="Y154" s="168">
        <f>W154-Scénario!K29</f>
        <v>1.0000000000000018</v>
      </c>
      <c r="Z154" s="168">
        <f>Y154</f>
        <v>1.0000000000000018</v>
      </c>
    </row>
    <row r="155" spans="1:39" x14ac:dyDescent="0.25">
      <c r="A155" s="17" t="s">
        <v>1104</v>
      </c>
      <c r="B155" s="237">
        <f>B154</f>
        <v>18.399999999999999</v>
      </c>
      <c r="C155" s="183">
        <f>HLOOKUP(Troupeau!J$17,[1]Anx!$D$170:$CN$220,'Calcul éco'!O155)</f>
        <v>58</v>
      </c>
      <c r="D155" s="86"/>
      <c r="E155" s="17"/>
      <c r="G155" s="166"/>
      <c r="H155" s="17"/>
      <c r="I155" s="237">
        <f>B155*C155</f>
        <v>1067.1999999999998</v>
      </c>
      <c r="O155" s="232">
        <v>25</v>
      </c>
      <c r="V155" s="14" t="s">
        <v>1105</v>
      </c>
      <c r="W155" s="168">
        <f>W$228</f>
        <v>0</v>
      </c>
      <c r="X155" t="s">
        <v>52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32"/>
      <c r="U156" t="s">
        <v>1106</v>
      </c>
      <c r="V156" s="14"/>
      <c r="W156" s="14"/>
      <c r="X156" s="14"/>
      <c r="Y156" s="168">
        <f>Y153*Scénario!K31/100</f>
        <v>9.9999999999999825E-2</v>
      </c>
      <c r="Z156" s="168">
        <f t="shared" si="68"/>
        <v>9.9999999999999825E-2</v>
      </c>
    </row>
    <row r="157" spans="1:39" x14ac:dyDescent="0.25">
      <c r="A157" s="5" t="s">
        <v>1107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1108</v>
      </c>
      <c r="B158" s="168">
        <f>Z153</f>
        <v>0.89999999999999836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32.579999999999941</v>
      </c>
      <c r="K158" s="168"/>
      <c r="L158" s="168"/>
      <c r="M158" s="168"/>
      <c r="N158" s="168"/>
      <c r="O158" s="232">
        <v>2</v>
      </c>
    </row>
    <row r="159" spans="1:39" x14ac:dyDescent="0.25">
      <c r="A159" s="5" t="s">
        <v>1109</v>
      </c>
      <c r="B159" s="168">
        <f t="shared" ref="B159:B161" si="69">Z154</f>
        <v>1.0000000000000018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30.000000000000053</v>
      </c>
      <c r="K159" s="168"/>
      <c r="L159" s="168"/>
      <c r="M159" s="168"/>
      <c r="N159" s="168"/>
      <c r="O159" s="232">
        <v>3</v>
      </c>
    </row>
    <row r="160" spans="1:39" x14ac:dyDescent="0.25">
      <c r="A160" s="5" t="s">
        <v>1110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32">
        <v>3</v>
      </c>
      <c r="X160" s="5"/>
      <c r="Y160" s="5"/>
    </row>
    <row r="161" spans="1:41" x14ac:dyDescent="0.25">
      <c r="A161" s="5" t="s">
        <v>1111</v>
      </c>
      <c r="B161" s="168">
        <f t="shared" si="69"/>
        <v>9.9999999999999825E-2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15.539999999999974</v>
      </c>
      <c r="K161" s="168"/>
      <c r="L161" s="168"/>
      <c r="M161" s="168"/>
      <c r="N161" s="168"/>
      <c r="O161" s="232">
        <v>4</v>
      </c>
      <c r="R161" s="2" t="s">
        <v>633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634</v>
      </c>
      <c r="U163" t="s">
        <v>635</v>
      </c>
      <c r="V163" s="166" t="s">
        <v>636</v>
      </c>
      <c r="W163" s="166" t="s">
        <v>637</v>
      </c>
      <c r="X163" s="167" t="s">
        <v>638</v>
      </c>
      <c r="Y163" s="167" t="s">
        <v>639</v>
      </c>
      <c r="Z163" s="167" t="s">
        <v>640</v>
      </c>
      <c r="AA163" s="167" t="s">
        <v>641</v>
      </c>
      <c r="AB163" s="167" t="s">
        <v>642</v>
      </c>
      <c r="AC163" s="167" t="s">
        <v>643</v>
      </c>
      <c r="AD163" s="167" t="s">
        <v>644</v>
      </c>
      <c r="AE163" s="167" t="s">
        <v>645</v>
      </c>
      <c r="AF163" s="167" t="s">
        <v>646</v>
      </c>
      <c r="AG163" s="167" t="s">
        <v>647</v>
      </c>
      <c r="AH163" s="167" t="s">
        <v>648</v>
      </c>
      <c r="AI163" s="167" t="s">
        <v>649</v>
      </c>
      <c r="AJ163" s="167" t="s">
        <v>650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265</v>
      </c>
      <c r="S164" s="168">
        <f>'Alim -Surf'!R7</f>
        <v>4.9000000000000004</v>
      </c>
      <c r="T164" s="168">
        <f>VLOOKUP($R164,[1]MEP!$A$4:$M$300,13)</f>
        <v>2</v>
      </c>
      <c r="U164" s="168">
        <f>IF($T164&gt;0,$S164,0)</f>
        <v>4.9000000000000004</v>
      </c>
      <c r="V164" s="168">
        <f>IF($T164&gt;1,$S164,0)</f>
        <v>4.9000000000000004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27" si="70">S164*X164</f>
        <v>0</v>
      </c>
      <c r="AB164" s="168">
        <f t="shared" ref="AB164:AB227" si="71">S164*Y164</f>
        <v>0</v>
      </c>
      <c r="AC164" s="168">
        <f>Z164*S164</f>
        <v>0</v>
      </c>
      <c r="AD164" s="168">
        <f>S164-AC164-AA164</f>
        <v>4.9000000000000004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4.9000000000000004</v>
      </c>
      <c r="AO164" s="166" t="s">
        <v>52</v>
      </c>
    </row>
    <row r="165" spans="1:41" x14ac:dyDescent="0.25">
      <c r="A165" s="5" t="s">
        <v>1112</v>
      </c>
      <c r="B165" s="5"/>
      <c r="C165" s="190" t="s">
        <v>1113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264</v>
      </c>
      <c r="S165" s="168">
        <f>'Alim -Surf'!R8</f>
        <v>2.5</v>
      </c>
      <c r="T165" s="168">
        <f>VLOOKUP(R165,[1]MEP!$A$4:$M$300,13)</f>
        <v>1</v>
      </c>
      <c r="U165" s="168">
        <f t="shared" ref="U165:U227" si="72">IF($T165&gt;0,$S165,0)</f>
        <v>2.5</v>
      </c>
      <c r="V165" s="168">
        <f t="shared" ref="V165:V227" si="73">IF($T165&gt;1,$S165,0)</f>
        <v>0</v>
      </c>
      <c r="W165" s="168">
        <f t="shared" ref="W165:W22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27" si="75">Z165*S165</f>
        <v>0</v>
      </c>
      <c r="AD165" s="168">
        <f t="shared" ref="AD165:AD227" si="76">S165-AC165-AA165</f>
        <v>2.5</v>
      </c>
      <c r="AE165" s="168">
        <f t="shared" ref="AE165:AE227" si="77">IF(T165=0,AC165,0)</f>
        <v>0</v>
      </c>
      <c r="AF165" s="168">
        <f t="shared" ref="AF165:AF227" si="78">IF(T165=1,AC165,0)</f>
        <v>0</v>
      </c>
      <c r="AG165" s="168">
        <f t="shared" ref="AG165:AG227" si="79">IF(T165&gt;1,AC165,0)</f>
        <v>0</v>
      </c>
      <c r="AH165" s="168">
        <f t="shared" ref="AH165:AH227" si="80">IF(T165=0,AD165,0)</f>
        <v>0</v>
      </c>
      <c r="AI165" s="168">
        <f t="shared" ref="AI165:AI227" si="81">IF(T165=1,AD165,0)</f>
        <v>2.5</v>
      </c>
      <c r="AJ165" s="168">
        <f t="shared" ref="AJ165:AJ227" si="82">IF(T165&gt;1,AD165,0)</f>
        <v>0</v>
      </c>
      <c r="AN165" s="32" t="s">
        <v>651</v>
      </c>
      <c r="AO165" s="168">
        <f>SUM(AD164:AD183)</f>
        <v>12.9</v>
      </c>
    </row>
    <row r="166" spans="1:41" x14ac:dyDescent="0.25">
      <c r="A166" s="5" t="s">
        <v>1114</v>
      </c>
      <c r="B166" s="30">
        <f>T246*[1]Eco!$B$108*[1]Eco!$B$109</f>
        <v>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0</v>
      </c>
      <c r="K166" s="168"/>
      <c r="L166" s="168"/>
      <c r="M166" s="168"/>
      <c r="N166" s="168"/>
      <c r="Q166">
        <v>3</v>
      </c>
      <c r="R166" s="168">
        <f>'Alim -Surf'!Q9</f>
        <v>266</v>
      </c>
      <c r="S166" s="168">
        <f>'Alim -Surf'!R9</f>
        <v>5.5</v>
      </c>
      <c r="T166" s="168">
        <f>VLOOKUP(R166,[1]MEP!$A$4:$M$300,13)</f>
        <v>0</v>
      </c>
      <c r="U166" s="168">
        <f t="shared" si="72"/>
        <v>0</v>
      </c>
      <c r="V166" s="168">
        <f t="shared" si="73"/>
        <v>0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5.5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5.5</v>
      </c>
      <c r="AI166" s="168">
        <f t="shared" si="81"/>
        <v>0</v>
      </c>
      <c r="AJ166" s="168">
        <f t="shared" si="82"/>
        <v>0</v>
      </c>
      <c r="AN166" s="32" t="s">
        <v>652</v>
      </c>
      <c r="AO166" s="168">
        <f>SUM(AC164:AC183)</f>
        <v>0</v>
      </c>
    </row>
    <row r="167" spans="1:41" x14ac:dyDescent="0.25">
      <c r="A167" s="5" t="s">
        <v>1115</v>
      </c>
      <c r="B167" s="30">
        <f>IF(Scénario!K129=1,SUM(Travail!F69:F74)+Travail!F83+Travail!F84,0)</f>
        <v>225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2391.75</v>
      </c>
      <c r="K167" s="168"/>
      <c r="L167" s="168"/>
      <c r="M167" s="168"/>
      <c r="N167" s="168"/>
      <c r="Q167">
        <v>4</v>
      </c>
      <c r="R167" s="168">
        <f>'Alim -Surf'!Q10</f>
        <v>0</v>
      </c>
      <c r="S167" s="168">
        <f>'Alim -Surf'!R10</f>
        <v>0</v>
      </c>
      <c r="T167" s="168">
        <f>VLOOKUP(R167,[1]MEP!$A$4:$M$300,13)</f>
        <v>0</v>
      </c>
      <c r="U167" s="168">
        <f t="shared" si="72"/>
        <v>0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0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0</v>
      </c>
      <c r="AI167" s="168">
        <f t="shared" si="81"/>
        <v>0</v>
      </c>
      <c r="AJ167" s="168">
        <f t="shared" si="82"/>
        <v>0</v>
      </c>
      <c r="AN167" s="32" t="s">
        <v>653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0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0</v>
      </c>
      <c r="AI168" s="168">
        <f t="shared" si="81"/>
        <v>0</v>
      </c>
      <c r="AJ168" s="168">
        <f t="shared" si="82"/>
        <v>0</v>
      </c>
      <c r="AN168" s="32" t="s">
        <v>654</v>
      </c>
      <c r="AO168" s="168">
        <f>SUM(AD186:AD205)</f>
        <v>4.2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0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0</v>
      </c>
      <c r="AJ169" s="168">
        <f t="shared" si="82"/>
        <v>0</v>
      </c>
      <c r="AN169" s="32" t="s">
        <v>655</v>
      </c>
      <c r="AO169" s="168">
        <f>SUM(AC186:AC205)</f>
        <v>1.3</v>
      </c>
    </row>
    <row r="170" spans="1:41" x14ac:dyDescent="0.25">
      <c r="A170" s="224" t="s">
        <v>1116</v>
      </c>
      <c r="B170" s="224"/>
      <c r="C170" s="224"/>
      <c r="D170" s="224"/>
      <c r="E170" s="224"/>
      <c r="F170" s="236"/>
      <c r="G170" s="236"/>
      <c r="H170" s="236"/>
      <c r="I170" s="236"/>
      <c r="J170" s="62">
        <f>SUM(J149:J169)</f>
        <v>26051.870000000003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656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657</v>
      </c>
      <c r="AO171" s="168">
        <f>'Alim -Surf'!O51</f>
        <v>10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1117</v>
      </c>
      <c r="B174" s="225">
        <f>J48-J145-J170</f>
        <v>19829.939000000006</v>
      </c>
      <c r="C174" s="238"/>
      <c r="D174" s="238"/>
      <c r="E174" s="238"/>
      <c r="F174" s="238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1118</v>
      </c>
      <c r="B175" s="225">
        <f>ROUND(B174/Scénario!K4,0)</f>
        <v>19830</v>
      </c>
      <c r="C175" s="187"/>
      <c r="D175" s="238"/>
      <c r="E175" s="238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1119</v>
      </c>
      <c r="B177" s="30">
        <f>HLOOKUP(Troupeau!J17,[1]Anx!$D$170:$CO$196,27)</f>
        <v>11000</v>
      </c>
      <c r="C177" s="5"/>
      <c r="D177" s="5"/>
      <c r="F177" s="5"/>
      <c r="G177" s="5"/>
      <c r="O177" s="232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1120</v>
      </c>
      <c r="B178" s="239">
        <f>SUM(AF237:AF240)</f>
        <v>656.45030399137863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1121</v>
      </c>
      <c r="B180" s="225">
        <f>B174-B177-B178</f>
        <v>8173.4886960086269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1122</v>
      </c>
      <c r="B181" s="225">
        <f>ROUND(B180/Scénario!K4,0)</f>
        <v>8173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294</v>
      </c>
      <c r="S186" s="168">
        <f>'Alim -Surf'!R29</f>
        <v>1.2</v>
      </c>
      <c r="T186" s="168">
        <f>VLOOKUP(R186,[1]MEP!$A$4:$M$300,13)</f>
        <v>2</v>
      </c>
      <c r="U186" s="168">
        <f t="shared" si="72"/>
        <v>1.2</v>
      </c>
      <c r="V186" s="168">
        <f t="shared" si="73"/>
        <v>1.2</v>
      </c>
      <c r="W186" s="168">
        <f t="shared" si="74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1.2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0</v>
      </c>
      <c r="AI186" s="168">
        <f t="shared" si="81"/>
        <v>0</v>
      </c>
      <c r="AJ186" s="168">
        <f t="shared" si="82"/>
        <v>1.2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269</v>
      </c>
      <c r="S187" s="168">
        <f>'Alim -Surf'!R30</f>
        <v>2.1</v>
      </c>
      <c r="T187" s="168">
        <f>VLOOKUP(R187,[1]MEP!$A$4:$M$300,13)</f>
        <v>2</v>
      </c>
      <c r="U187" s="168">
        <f t="shared" si="72"/>
        <v>2.1</v>
      </c>
      <c r="V187" s="168">
        <f t="shared" si="73"/>
        <v>2.1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2.1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2.1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265</v>
      </c>
      <c r="S188" s="168">
        <f>'Alim -Surf'!R31</f>
        <v>0.9</v>
      </c>
      <c r="T188" s="168">
        <f>VLOOKUP(R188,[1]MEP!$A$4:$M$300,13)</f>
        <v>2</v>
      </c>
      <c r="U188" s="168">
        <f t="shared" si="72"/>
        <v>0.9</v>
      </c>
      <c r="V188" s="168">
        <f t="shared" si="73"/>
        <v>0.9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0.9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0.9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194</v>
      </c>
      <c r="S189" s="168">
        <f>'Alim -Surf'!R32</f>
        <v>1.3</v>
      </c>
      <c r="T189" s="168">
        <f>VLOOKUP(R189,[1]MEP!$A$4:$M$300,13)</f>
        <v>2</v>
      </c>
      <c r="U189" s="168">
        <f t="shared" si="72"/>
        <v>1.3</v>
      </c>
      <c r="V189" s="168">
        <f t="shared" si="73"/>
        <v>1.3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1</v>
      </c>
      <c r="AA189" s="168">
        <f t="shared" si="70"/>
        <v>0</v>
      </c>
      <c r="AB189" s="168">
        <f t="shared" si="71"/>
        <v>0</v>
      </c>
      <c r="AC189" s="168">
        <f t="shared" si="75"/>
        <v>1.3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1.3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>
        <f>'Alim -Surf'!Q51</f>
        <v>47</v>
      </c>
      <c r="S208" s="168">
        <f>'Alim -Surf'!R51</f>
        <v>10</v>
      </c>
      <c r="T208" s="168">
        <f>VLOOKUP(R208,[1]MEP!$A$4:$M$300,13)</f>
        <v>0</v>
      </c>
      <c r="U208" s="168">
        <f t="shared" si="72"/>
        <v>0</v>
      </c>
      <c r="V208" s="168">
        <f t="shared" si="73"/>
        <v>0</v>
      </c>
      <c r="W208" s="168">
        <f t="shared" si="74"/>
        <v>0</v>
      </c>
      <c r="X208" s="168">
        <f>VLOOKUP(R208,[1]MEP!$A$4:$Q$300,14)</f>
        <v>0</v>
      </c>
      <c r="Y208" s="168">
        <f>VLOOKUP(R208,[1]MEP!$A$4:$R$300,15)</f>
        <v>0</v>
      </c>
      <c r="Z208" s="168">
        <f>VLOOKUP(R208,[1]MEP!$A$4:$R$300,16)</f>
        <v>0</v>
      </c>
      <c r="AA208" s="168">
        <f t="shared" si="70"/>
        <v>0</v>
      </c>
      <c r="AB208" s="168">
        <f t="shared" si="71"/>
        <v>0</v>
      </c>
      <c r="AC208" s="168">
        <f t="shared" si="75"/>
        <v>0</v>
      </c>
      <c r="AD208" s="168">
        <f t="shared" si="76"/>
        <v>10</v>
      </c>
      <c r="AE208" s="168">
        <f t="shared" si="77"/>
        <v>0</v>
      </c>
      <c r="AF208" s="168">
        <f t="shared" si="78"/>
        <v>0</v>
      </c>
      <c r="AG208" s="168">
        <f t="shared" si="79"/>
        <v>0</v>
      </c>
      <c r="AH208" s="168">
        <f t="shared" si="80"/>
        <v>10</v>
      </c>
      <c r="AI208" s="168">
        <f t="shared" si="81"/>
        <v>0</v>
      </c>
      <c r="AJ208" s="168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0"/>
      <c r="P209" s="5"/>
      <c r="Q209" s="171">
        <v>2</v>
      </c>
      <c r="R209" s="168">
        <f>'Alim -Surf'!Q52</f>
        <v>0</v>
      </c>
      <c r="S209" s="168">
        <f>'Alim -Surf'!R52</f>
        <v>0</v>
      </c>
      <c r="T209" s="168">
        <f>VLOOKUP(R209,[1]MEP!$A$4:$M$300,13)</f>
        <v>0</v>
      </c>
      <c r="U209" s="168">
        <f t="shared" si="72"/>
        <v>0</v>
      </c>
      <c r="V209" s="168">
        <f t="shared" si="73"/>
        <v>0</v>
      </c>
      <c r="W209" s="168">
        <f t="shared" si="74"/>
        <v>0</v>
      </c>
      <c r="X209" s="168">
        <f>VLOOKUP(R209,[1]MEP!$A$4:$Q$300,14)</f>
        <v>0</v>
      </c>
      <c r="Y209" s="168">
        <f>VLOOKUP(R209,[1]MEP!$A$4:$R$300,15)</f>
        <v>0</v>
      </c>
      <c r="Z209" s="168">
        <f>VLOOKUP(R209,[1]MEP!$A$4:$R$300,16)</f>
        <v>0</v>
      </c>
      <c r="AA209" s="168">
        <f t="shared" si="70"/>
        <v>0</v>
      </c>
      <c r="AB209" s="168">
        <f t="shared" si="71"/>
        <v>0</v>
      </c>
      <c r="AC209" s="168">
        <f t="shared" si="75"/>
        <v>0</v>
      </c>
      <c r="AD209" s="168">
        <f t="shared" si="76"/>
        <v>0</v>
      </c>
      <c r="AE209" s="168">
        <f t="shared" si="77"/>
        <v>0</v>
      </c>
      <c r="AF209" s="168">
        <f t="shared" si="78"/>
        <v>0</v>
      </c>
      <c r="AG209" s="168">
        <f t="shared" si="79"/>
        <v>0</v>
      </c>
      <c r="AH209" s="168">
        <f t="shared" si="80"/>
        <v>0</v>
      </c>
      <c r="AI209" s="168">
        <f t="shared" si="81"/>
        <v>0</v>
      </c>
      <c r="AJ209" s="168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>
        <f>'Alim -Surf'!Q53</f>
        <v>0</v>
      </c>
      <c r="S210" s="168">
        <f>'Alim -Surf'!R53</f>
        <v>0</v>
      </c>
      <c r="T210" s="168">
        <f>VLOOKUP(R210,[1]MEP!$A$4:$M$300,13)</f>
        <v>0</v>
      </c>
      <c r="U210" s="168">
        <f t="shared" si="72"/>
        <v>0</v>
      </c>
      <c r="V210" s="168">
        <f t="shared" si="73"/>
        <v>0</v>
      </c>
      <c r="W210" s="168">
        <f t="shared" si="74"/>
        <v>0</v>
      </c>
      <c r="X210" s="168">
        <f>VLOOKUP(R210,[1]MEP!$A$4:$Q$300,14)</f>
        <v>0</v>
      </c>
      <c r="Y210" s="168">
        <f>VLOOKUP(R210,[1]MEP!$A$4:$R$300,15)</f>
        <v>0</v>
      </c>
      <c r="Z210" s="168">
        <f>VLOOKUP(R210,[1]MEP!$A$4:$R$300,16)</f>
        <v>0</v>
      </c>
      <c r="AA210" s="168">
        <f t="shared" si="70"/>
        <v>0</v>
      </c>
      <c r="AB210" s="168">
        <f t="shared" si="71"/>
        <v>0</v>
      </c>
      <c r="AC210" s="168">
        <f t="shared" si="75"/>
        <v>0</v>
      </c>
      <c r="AD210" s="168">
        <f t="shared" si="76"/>
        <v>0</v>
      </c>
      <c r="AE210" s="168">
        <f t="shared" si="77"/>
        <v>0</v>
      </c>
      <c r="AF210" s="168">
        <f t="shared" si="78"/>
        <v>0</v>
      </c>
      <c r="AG210" s="168">
        <f t="shared" si="79"/>
        <v>0</v>
      </c>
      <c r="AH210" s="168">
        <f t="shared" si="80"/>
        <v>0</v>
      </c>
      <c r="AI210" s="168">
        <f t="shared" si="81"/>
        <v>0</v>
      </c>
      <c r="AJ210" s="168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1"/>
      <c r="Q211" s="171">
        <v>4</v>
      </c>
      <c r="R211" s="168">
        <f>'Alim -Surf'!Q54</f>
        <v>0</v>
      </c>
      <c r="S211" s="168">
        <f>'Alim -Surf'!R54</f>
        <v>0</v>
      </c>
      <c r="T211" s="168">
        <f>VLOOKUP(R211,[1]MEP!$A$4:$M$300,13)</f>
        <v>0</v>
      </c>
      <c r="U211" s="168">
        <f t="shared" si="72"/>
        <v>0</v>
      </c>
      <c r="V211" s="168">
        <f t="shared" si="73"/>
        <v>0</v>
      </c>
      <c r="W211" s="168">
        <f t="shared" si="74"/>
        <v>0</v>
      </c>
      <c r="X211" s="168">
        <f>VLOOKUP(R211,[1]MEP!$A$4:$Q$300,14)</f>
        <v>0</v>
      </c>
      <c r="Y211" s="168">
        <f>VLOOKUP(R211,[1]MEP!$A$4:$R$300,15)</f>
        <v>0</v>
      </c>
      <c r="Z211" s="168">
        <f>VLOOKUP(R211,[1]MEP!$A$4:$R$300,16)</f>
        <v>0</v>
      </c>
      <c r="AA211" s="168">
        <f t="shared" si="70"/>
        <v>0</v>
      </c>
      <c r="AB211" s="168">
        <f t="shared" si="71"/>
        <v>0</v>
      </c>
      <c r="AC211" s="168">
        <f t="shared" si="75"/>
        <v>0</v>
      </c>
      <c r="AD211" s="168">
        <f t="shared" si="76"/>
        <v>0</v>
      </c>
      <c r="AE211" s="168">
        <f t="shared" si="77"/>
        <v>0</v>
      </c>
      <c r="AF211" s="168">
        <f t="shared" si="78"/>
        <v>0</v>
      </c>
      <c r="AG211" s="168">
        <f t="shared" si="79"/>
        <v>0</v>
      </c>
      <c r="AH211" s="168">
        <f t="shared" si="80"/>
        <v>0</v>
      </c>
      <c r="AI211" s="168">
        <f t="shared" si="81"/>
        <v>0</v>
      </c>
      <c r="AJ211" s="168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>
        <f>'Alim -Surf'!Q55</f>
        <v>0</v>
      </c>
      <c r="S212" s="168">
        <f>'Alim -Surf'!R55</f>
        <v>0</v>
      </c>
      <c r="T212" s="168">
        <f>VLOOKUP(R212,[1]MEP!$A$4:$M$300,13)</f>
        <v>0</v>
      </c>
      <c r="U212" s="168">
        <f t="shared" si="72"/>
        <v>0</v>
      </c>
      <c r="V212" s="168">
        <f t="shared" si="73"/>
        <v>0</v>
      </c>
      <c r="W212" s="168">
        <f t="shared" si="74"/>
        <v>0</v>
      </c>
      <c r="X212" s="168">
        <f>VLOOKUP(R212,[1]MEP!$A$4:$Q$300,14)</f>
        <v>0</v>
      </c>
      <c r="Y212" s="168">
        <f>VLOOKUP(R212,[1]MEP!$A$4:$R$300,15)</f>
        <v>0</v>
      </c>
      <c r="Z212" s="168">
        <f>VLOOKUP(R212,[1]MEP!$A$4:$R$300,16)</f>
        <v>0</v>
      </c>
      <c r="AA212" s="168">
        <f t="shared" si="70"/>
        <v>0</v>
      </c>
      <c r="AB212" s="168">
        <f t="shared" si="71"/>
        <v>0</v>
      </c>
      <c r="AC212" s="168">
        <f t="shared" si="75"/>
        <v>0</v>
      </c>
      <c r="AD212" s="168">
        <f t="shared" si="76"/>
        <v>0</v>
      </c>
      <c r="AE212" s="168">
        <f t="shared" si="77"/>
        <v>0</v>
      </c>
      <c r="AF212" s="168">
        <f t="shared" si="78"/>
        <v>0</v>
      </c>
      <c r="AG212" s="168">
        <f t="shared" si="79"/>
        <v>0</v>
      </c>
      <c r="AH212" s="168">
        <f t="shared" si="80"/>
        <v>0</v>
      </c>
      <c r="AI212" s="168">
        <f t="shared" si="81"/>
        <v>0</v>
      </c>
      <c r="AJ212" s="168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>
        <f>'Alim -Surf'!Q56</f>
        <v>0</v>
      </c>
      <c r="S213" s="168">
        <f>'Alim -Surf'!R56</f>
        <v>0</v>
      </c>
      <c r="T213" s="168">
        <f>VLOOKUP(R213,[1]MEP!$A$4:$M$300,13)</f>
        <v>0</v>
      </c>
      <c r="U213" s="168">
        <f t="shared" si="72"/>
        <v>0</v>
      </c>
      <c r="V213" s="168">
        <f t="shared" si="73"/>
        <v>0</v>
      </c>
      <c r="W213" s="168">
        <f t="shared" si="74"/>
        <v>0</v>
      </c>
      <c r="X213" s="168">
        <f>VLOOKUP(R213,[1]MEP!$A$4:$Q$300,14)</f>
        <v>0</v>
      </c>
      <c r="Y213" s="168">
        <f>VLOOKUP(R213,[1]MEP!$A$4:$R$300,15)</f>
        <v>0</v>
      </c>
      <c r="Z213" s="168">
        <f>VLOOKUP(R213,[1]MEP!$A$4:$R$300,16)</f>
        <v>0</v>
      </c>
      <c r="AA213" s="168">
        <f t="shared" si="70"/>
        <v>0</v>
      </c>
      <c r="AB213" s="168">
        <f t="shared" si="71"/>
        <v>0</v>
      </c>
      <c r="AC213" s="168">
        <f t="shared" si="75"/>
        <v>0</v>
      </c>
      <c r="AD213" s="168">
        <f t="shared" si="76"/>
        <v>0</v>
      </c>
      <c r="AE213" s="168">
        <f t="shared" si="77"/>
        <v>0</v>
      </c>
      <c r="AF213" s="168">
        <f t="shared" si="78"/>
        <v>0</v>
      </c>
      <c r="AG213" s="168">
        <f t="shared" si="79"/>
        <v>0</v>
      </c>
      <c r="AH213" s="168">
        <f t="shared" si="80"/>
        <v>0</v>
      </c>
      <c r="AI213" s="168">
        <f t="shared" si="81"/>
        <v>0</v>
      </c>
      <c r="AJ213" s="168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>
        <f>'Alim -Surf'!Q57</f>
        <v>0</v>
      </c>
      <c r="S214" s="168">
        <f>'Alim -Surf'!R57</f>
        <v>0</v>
      </c>
      <c r="T214" s="168">
        <f>VLOOKUP(R214,[1]MEP!$A$4:$M$300,13)</f>
        <v>0</v>
      </c>
      <c r="U214" s="168">
        <f t="shared" si="72"/>
        <v>0</v>
      </c>
      <c r="V214" s="168">
        <f t="shared" si="73"/>
        <v>0</v>
      </c>
      <c r="W214" s="168">
        <f t="shared" si="74"/>
        <v>0</v>
      </c>
      <c r="X214" s="168">
        <f>VLOOKUP(R214,[1]MEP!$A$4:$Q$300,14)</f>
        <v>0</v>
      </c>
      <c r="Y214" s="168">
        <f>VLOOKUP(R214,[1]MEP!$A$4:$R$300,15)</f>
        <v>0</v>
      </c>
      <c r="Z214" s="168">
        <f>VLOOKUP(R214,[1]MEP!$A$4:$R$300,16)</f>
        <v>0</v>
      </c>
      <c r="AA214" s="168">
        <f t="shared" si="70"/>
        <v>0</v>
      </c>
      <c r="AB214" s="168">
        <f t="shared" si="71"/>
        <v>0</v>
      </c>
      <c r="AC214" s="168">
        <f t="shared" si="75"/>
        <v>0</v>
      </c>
      <c r="AD214" s="168">
        <f t="shared" si="76"/>
        <v>0</v>
      </c>
      <c r="AE214" s="168">
        <f t="shared" si="77"/>
        <v>0</v>
      </c>
      <c r="AF214" s="168">
        <f t="shared" si="78"/>
        <v>0</v>
      </c>
      <c r="AG214" s="168">
        <f t="shared" si="79"/>
        <v>0</v>
      </c>
      <c r="AH214" s="168">
        <f t="shared" si="80"/>
        <v>0</v>
      </c>
      <c r="AI214" s="168">
        <f t="shared" si="81"/>
        <v>0</v>
      </c>
      <c r="AJ214" s="168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>
        <f>'Alim -Surf'!Q58</f>
        <v>0</v>
      </c>
      <c r="S215" s="168">
        <f>'Alim -Surf'!R58</f>
        <v>0</v>
      </c>
      <c r="T215" s="168">
        <f>VLOOKUP(R215,[1]MEP!$A$4:$M$300,13)</f>
        <v>0</v>
      </c>
      <c r="U215" s="168">
        <f t="shared" si="72"/>
        <v>0</v>
      </c>
      <c r="V215" s="168">
        <f t="shared" si="73"/>
        <v>0</v>
      </c>
      <c r="W215" s="168">
        <f t="shared" si="74"/>
        <v>0</v>
      </c>
      <c r="X215" s="168">
        <f>VLOOKUP(R215,[1]MEP!$A$4:$Q$300,14)</f>
        <v>0</v>
      </c>
      <c r="Y215" s="168">
        <f>VLOOKUP(R215,[1]MEP!$A$4:$R$300,15)</f>
        <v>0</v>
      </c>
      <c r="Z215" s="168">
        <f>VLOOKUP(R215,[1]MEP!$A$4:$R$300,16)</f>
        <v>0</v>
      </c>
      <c r="AA215" s="168">
        <f t="shared" si="70"/>
        <v>0</v>
      </c>
      <c r="AB215" s="168">
        <f t="shared" si="71"/>
        <v>0</v>
      </c>
      <c r="AC215" s="168">
        <f t="shared" si="75"/>
        <v>0</v>
      </c>
      <c r="AD215" s="168">
        <f t="shared" si="76"/>
        <v>0</v>
      </c>
      <c r="AE215" s="168">
        <f t="shared" si="77"/>
        <v>0</v>
      </c>
      <c r="AF215" s="168">
        <f t="shared" si="78"/>
        <v>0</v>
      </c>
      <c r="AG215" s="168">
        <f t="shared" si="79"/>
        <v>0</v>
      </c>
      <c r="AH215" s="168">
        <f t="shared" si="80"/>
        <v>0</v>
      </c>
      <c r="AI215" s="168">
        <f t="shared" si="81"/>
        <v>0</v>
      </c>
      <c r="AJ215" s="168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>
        <f>'Alim -Surf'!Q59</f>
        <v>0</v>
      </c>
      <c r="S216" s="168">
        <f>'Alim -Surf'!R59</f>
        <v>0</v>
      </c>
      <c r="T216" s="168">
        <f>VLOOKUP(R216,[1]MEP!$A$4:$M$300,13)</f>
        <v>0</v>
      </c>
      <c r="U216" s="168">
        <f t="shared" si="72"/>
        <v>0</v>
      </c>
      <c r="V216" s="168">
        <f t="shared" si="73"/>
        <v>0</v>
      </c>
      <c r="W216" s="168">
        <f t="shared" si="74"/>
        <v>0</v>
      </c>
      <c r="X216" s="168">
        <f>VLOOKUP(R216,[1]MEP!$A$4:$Q$300,14)</f>
        <v>0</v>
      </c>
      <c r="Y216" s="168">
        <f>VLOOKUP(R216,[1]MEP!$A$4:$R$300,15)</f>
        <v>0</v>
      </c>
      <c r="Z216" s="168">
        <f>VLOOKUP(R216,[1]MEP!$A$4:$R$300,16)</f>
        <v>0</v>
      </c>
      <c r="AA216" s="168">
        <f t="shared" si="70"/>
        <v>0</v>
      </c>
      <c r="AB216" s="168">
        <f t="shared" si="71"/>
        <v>0</v>
      </c>
      <c r="AC216" s="168">
        <f t="shared" si="75"/>
        <v>0</v>
      </c>
      <c r="AD216" s="168">
        <f t="shared" si="76"/>
        <v>0</v>
      </c>
      <c r="AE216" s="168">
        <f t="shared" si="77"/>
        <v>0</v>
      </c>
      <c r="AF216" s="168">
        <f t="shared" si="78"/>
        <v>0</v>
      </c>
      <c r="AG216" s="168">
        <f t="shared" si="79"/>
        <v>0</v>
      </c>
      <c r="AH216" s="168">
        <f t="shared" si="80"/>
        <v>0</v>
      </c>
      <c r="AI216" s="168">
        <f t="shared" si="81"/>
        <v>0</v>
      </c>
      <c r="AJ216" s="168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>
        <f>'Alim -Surf'!Q60</f>
        <v>0</v>
      </c>
      <c r="S217" s="168">
        <f>'Alim -Surf'!R60</f>
        <v>0</v>
      </c>
      <c r="T217" s="168">
        <f>VLOOKUP(R217,[1]MEP!$A$4:$M$300,13)</f>
        <v>0</v>
      </c>
      <c r="U217" s="168">
        <f t="shared" si="72"/>
        <v>0</v>
      </c>
      <c r="V217" s="168">
        <f t="shared" si="73"/>
        <v>0</v>
      </c>
      <c r="W217" s="168">
        <f t="shared" si="74"/>
        <v>0</v>
      </c>
      <c r="X217" s="168">
        <f>VLOOKUP(R217,[1]MEP!$A$4:$Q$300,14)</f>
        <v>0</v>
      </c>
      <c r="Y217" s="168">
        <f>VLOOKUP(R217,[1]MEP!$A$4:$R$300,15)</f>
        <v>0</v>
      </c>
      <c r="Z217" s="168">
        <f>VLOOKUP(R217,[1]MEP!$A$4:$R$300,16)</f>
        <v>0</v>
      </c>
      <c r="AA217" s="168">
        <f t="shared" si="70"/>
        <v>0</v>
      </c>
      <c r="AB217" s="168">
        <f t="shared" si="71"/>
        <v>0</v>
      </c>
      <c r="AC217" s="168">
        <f t="shared" si="75"/>
        <v>0</v>
      </c>
      <c r="AD217" s="168">
        <f t="shared" si="76"/>
        <v>0</v>
      </c>
      <c r="AE217" s="168">
        <f t="shared" si="77"/>
        <v>0</v>
      </c>
      <c r="AF217" s="168">
        <f t="shared" si="78"/>
        <v>0</v>
      </c>
      <c r="AG217" s="168">
        <f t="shared" si="79"/>
        <v>0</v>
      </c>
      <c r="AH217" s="168">
        <f t="shared" si="80"/>
        <v>0</v>
      </c>
      <c r="AI217" s="168">
        <f t="shared" si="81"/>
        <v>0</v>
      </c>
      <c r="AJ217" s="168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>
        <f>'Alim -Surf'!Q61</f>
        <v>0</v>
      </c>
      <c r="S218" s="168">
        <f>'Alim -Surf'!R61</f>
        <v>0</v>
      </c>
      <c r="T218" s="168">
        <f>VLOOKUP(R218,[1]MEP!$A$4:$M$300,13)</f>
        <v>0</v>
      </c>
      <c r="U218" s="168">
        <f t="shared" si="72"/>
        <v>0</v>
      </c>
      <c r="V218" s="168">
        <f t="shared" si="73"/>
        <v>0</v>
      </c>
      <c r="W218" s="168">
        <f t="shared" si="74"/>
        <v>0</v>
      </c>
      <c r="X218" s="168">
        <f>VLOOKUP(R218,[1]MEP!$A$4:$Q$300,14)</f>
        <v>0</v>
      </c>
      <c r="Y218" s="168">
        <f>VLOOKUP(R218,[1]MEP!$A$4:$R$300,15)</f>
        <v>0</v>
      </c>
      <c r="Z218" s="168">
        <f>VLOOKUP(R218,[1]MEP!$A$4:$R$300,16)</f>
        <v>0</v>
      </c>
      <c r="AA218" s="168">
        <f t="shared" si="70"/>
        <v>0</v>
      </c>
      <c r="AB218" s="168">
        <f t="shared" si="71"/>
        <v>0</v>
      </c>
      <c r="AC218" s="168">
        <f t="shared" si="75"/>
        <v>0</v>
      </c>
      <c r="AD218" s="168">
        <f t="shared" si="76"/>
        <v>0</v>
      </c>
      <c r="AE218" s="168">
        <f t="shared" si="77"/>
        <v>0</v>
      </c>
      <c r="AF218" s="168">
        <f t="shared" si="78"/>
        <v>0</v>
      </c>
      <c r="AG218" s="168">
        <f t="shared" si="79"/>
        <v>0</v>
      </c>
      <c r="AH218" s="168">
        <f t="shared" si="80"/>
        <v>0</v>
      </c>
      <c r="AI218" s="168">
        <f t="shared" si="81"/>
        <v>0</v>
      </c>
      <c r="AJ218" s="168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>
        <f>'Alim -Surf'!Q62</f>
        <v>0</v>
      </c>
      <c r="S219" s="168">
        <f>'Alim -Surf'!R62</f>
        <v>0</v>
      </c>
      <c r="T219" s="168">
        <f>VLOOKUP(R219,[1]MEP!$A$4:$M$300,13)</f>
        <v>0</v>
      </c>
      <c r="U219" s="168">
        <f t="shared" si="72"/>
        <v>0</v>
      </c>
      <c r="V219" s="168">
        <f t="shared" si="73"/>
        <v>0</v>
      </c>
      <c r="W219" s="168">
        <f t="shared" si="74"/>
        <v>0</v>
      </c>
      <c r="X219" s="168">
        <f>VLOOKUP(R219,[1]MEP!$A$4:$Q$300,14)</f>
        <v>0</v>
      </c>
      <c r="Y219" s="168">
        <f>VLOOKUP(R219,[1]MEP!$A$4:$R$300,15)</f>
        <v>0</v>
      </c>
      <c r="Z219" s="168">
        <f>VLOOKUP(R219,[1]MEP!$A$4:$R$300,16)</f>
        <v>0</v>
      </c>
      <c r="AA219" s="168">
        <f t="shared" si="70"/>
        <v>0</v>
      </c>
      <c r="AB219" s="168">
        <f t="shared" si="71"/>
        <v>0</v>
      </c>
      <c r="AC219" s="168">
        <f t="shared" si="75"/>
        <v>0</v>
      </c>
      <c r="AD219" s="168">
        <f t="shared" si="76"/>
        <v>0</v>
      </c>
      <c r="AE219" s="168">
        <f t="shared" si="77"/>
        <v>0</v>
      </c>
      <c r="AF219" s="168">
        <f t="shared" si="78"/>
        <v>0</v>
      </c>
      <c r="AG219" s="168">
        <f t="shared" si="79"/>
        <v>0</v>
      </c>
      <c r="AH219" s="168">
        <f t="shared" si="80"/>
        <v>0</v>
      </c>
      <c r="AI219" s="168">
        <f t="shared" si="81"/>
        <v>0</v>
      </c>
      <c r="AJ219" s="168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>
        <f>'Alim -Surf'!Q63</f>
        <v>0</v>
      </c>
      <c r="S220" s="168">
        <f>'Alim -Surf'!R63</f>
        <v>0</v>
      </c>
      <c r="T220" s="168">
        <f>VLOOKUP(R220,[1]MEP!$A$4:$M$300,13)</f>
        <v>0</v>
      </c>
      <c r="U220" s="168">
        <f t="shared" si="72"/>
        <v>0</v>
      </c>
      <c r="V220" s="168">
        <f t="shared" si="73"/>
        <v>0</v>
      </c>
      <c r="W220" s="168">
        <f t="shared" si="74"/>
        <v>0</v>
      </c>
      <c r="X220" s="168">
        <f>VLOOKUP(R220,[1]MEP!$A$4:$Q$300,14)</f>
        <v>0</v>
      </c>
      <c r="Y220" s="168">
        <f>VLOOKUP(R220,[1]MEP!$A$4:$R$300,15)</f>
        <v>0</v>
      </c>
      <c r="Z220" s="168">
        <f>VLOOKUP(R220,[1]MEP!$A$4:$R$300,16)</f>
        <v>0</v>
      </c>
      <c r="AA220" s="168">
        <f t="shared" si="70"/>
        <v>0</v>
      </c>
      <c r="AB220" s="168">
        <f t="shared" si="71"/>
        <v>0</v>
      </c>
      <c r="AC220" s="168">
        <f t="shared" si="75"/>
        <v>0</v>
      </c>
      <c r="AD220" s="168">
        <f t="shared" si="76"/>
        <v>0</v>
      </c>
      <c r="AE220" s="168">
        <f t="shared" si="77"/>
        <v>0</v>
      </c>
      <c r="AF220" s="168">
        <f t="shared" si="78"/>
        <v>0</v>
      </c>
      <c r="AG220" s="168">
        <f t="shared" si="79"/>
        <v>0</v>
      </c>
      <c r="AH220" s="168">
        <f t="shared" si="80"/>
        <v>0</v>
      </c>
      <c r="AI220" s="168">
        <f t="shared" si="81"/>
        <v>0</v>
      </c>
      <c r="AJ220" s="168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>
        <f>'Alim -Surf'!Q64</f>
        <v>0</v>
      </c>
      <c r="S221" s="168">
        <f>'Alim -Surf'!R64</f>
        <v>0</v>
      </c>
      <c r="T221" s="168">
        <f>VLOOKUP(R221,[1]MEP!$A$4:$M$300,13)</f>
        <v>0</v>
      </c>
      <c r="U221" s="168">
        <f t="shared" si="72"/>
        <v>0</v>
      </c>
      <c r="V221" s="168">
        <f t="shared" si="73"/>
        <v>0</v>
      </c>
      <c r="W221" s="168">
        <f t="shared" si="74"/>
        <v>0</v>
      </c>
      <c r="X221" s="168">
        <f>VLOOKUP(R221,[1]MEP!$A$4:$Q$300,14)</f>
        <v>0</v>
      </c>
      <c r="Y221" s="168">
        <f>VLOOKUP(R221,[1]MEP!$A$4:$R$300,15)</f>
        <v>0</v>
      </c>
      <c r="Z221" s="168">
        <f>VLOOKUP(R221,[1]MEP!$A$4:$R$300,16)</f>
        <v>0</v>
      </c>
      <c r="AA221" s="168">
        <f t="shared" si="70"/>
        <v>0</v>
      </c>
      <c r="AB221" s="168">
        <f t="shared" si="71"/>
        <v>0</v>
      </c>
      <c r="AC221" s="168">
        <f t="shared" si="75"/>
        <v>0</v>
      </c>
      <c r="AD221" s="168">
        <f t="shared" si="76"/>
        <v>0</v>
      </c>
      <c r="AE221" s="168">
        <f t="shared" si="77"/>
        <v>0</v>
      </c>
      <c r="AF221" s="168">
        <f t="shared" si="78"/>
        <v>0</v>
      </c>
      <c r="AG221" s="168">
        <f t="shared" si="79"/>
        <v>0</v>
      </c>
      <c r="AH221" s="168">
        <f t="shared" si="80"/>
        <v>0</v>
      </c>
      <c r="AI221" s="168">
        <f t="shared" si="81"/>
        <v>0</v>
      </c>
      <c r="AJ221" s="168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>
        <f>'Alim -Surf'!Q65</f>
        <v>0</v>
      </c>
      <c r="S222" s="168">
        <f>'Alim -Surf'!R65</f>
        <v>0</v>
      </c>
      <c r="T222" s="168">
        <f>VLOOKUP(R222,[1]MEP!$A$4:$M$300,13)</f>
        <v>0</v>
      </c>
      <c r="U222" s="168">
        <f t="shared" si="72"/>
        <v>0</v>
      </c>
      <c r="V222" s="168">
        <f t="shared" si="73"/>
        <v>0</v>
      </c>
      <c r="W222" s="168">
        <f t="shared" si="74"/>
        <v>0</v>
      </c>
      <c r="X222" s="168">
        <f>VLOOKUP(R222,[1]MEP!$A$4:$Q$300,14)</f>
        <v>0</v>
      </c>
      <c r="Y222" s="168">
        <f>VLOOKUP(R222,[1]MEP!$A$4:$R$300,15)</f>
        <v>0</v>
      </c>
      <c r="Z222" s="168">
        <f>VLOOKUP(R222,[1]MEP!$A$4:$R$300,16)</f>
        <v>0</v>
      </c>
      <c r="AA222" s="168">
        <f t="shared" si="70"/>
        <v>0</v>
      </c>
      <c r="AB222" s="168">
        <f t="shared" si="71"/>
        <v>0</v>
      </c>
      <c r="AC222" s="168">
        <f t="shared" si="75"/>
        <v>0</v>
      </c>
      <c r="AD222" s="168">
        <f t="shared" si="76"/>
        <v>0</v>
      </c>
      <c r="AE222" s="168">
        <f t="shared" si="77"/>
        <v>0</v>
      </c>
      <c r="AF222" s="168">
        <f t="shared" si="78"/>
        <v>0</v>
      </c>
      <c r="AG222" s="168">
        <f t="shared" si="79"/>
        <v>0</v>
      </c>
      <c r="AH222" s="168">
        <f t="shared" si="80"/>
        <v>0</v>
      </c>
      <c r="AI222" s="168">
        <f t="shared" si="81"/>
        <v>0</v>
      </c>
      <c r="AJ222" s="168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>
        <f>'Alim -Surf'!Q66</f>
        <v>0</v>
      </c>
      <c r="S223" s="168">
        <f>'Alim -Surf'!R66</f>
        <v>0</v>
      </c>
      <c r="T223" s="168">
        <f>VLOOKUP(R223,[1]MEP!$A$4:$M$300,13)</f>
        <v>0</v>
      </c>
      <c r="U223" s="168">
        <f t="shared" si="72"/>
        <v>0</v>
      </c>
      <c r="V223" s="168">
        <f t="shared" si="73"/>
        <v>0</v>
      </c>
      <c r="W223" s="168">
        <f t="shared" si="74"/>
        <v>0</v>
      </c>
      <c r="X223" s="168">
        <f>VLOOKUP(R223,[1]MEP!$A$4:$Q$300,14)</f>
        <v>0</v>
      </c>
      <c r="Y223" s="168">
        <f>VLOOKUP(R223,[1]MEP!$A$4:$R$300,15)</f>
        <v>0</v>
      </c>
      <c r="Z223" s="168">
        <f>VLOOKUP(R223,[1]MEP!$A$4:$R$300,16)</f>
        <v>0</v>
      </c>
      <c r="AA223" s="168">
        <f t="shared" si="70"/>
        <v>0</v>
      </c>
      <c r="AB223" s="168">
        <f t="shared" si="71"/>
        <v>0</v>
      </c>
      <c r="AC223" s="168">
        <f t="shared" si="75"/>
        <v>0</v>
      </c>
      <c r="AD223" s="168">
        <f t="shared" si="76"/>
        <v>0</v>
      </c>
      <c r="AE223" s="168">
        <f t="shared" si="77"/>
        <v>0</v>
      </c>
      <c r="AF223" s="168">
        <f t="shared" si="78"/>
        <v>0</v>
      </c>
      <c r="AG223" s="168">
        <f t="shared" si="79"/>
        <v>0</v>
      </c>
      <c r="AH223" s="168">
        <f t="shared" si="80"/>
        <v>0</v>
      </c>
      <c r="AI223" s="168">
        <f t="shared" si="81"/>
        <v>0</v>
      </c>
      <c r="AJ223" s="168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>
        <f>'Alim -Surf'!Q67</f>
        <v>0</v>
      </c>
      <c r="S224" s="168">
        <f>'Alim -Surf'!R67</f>
        <v>0</v>
      </c>
      <c r="T224" s="168">
        <f>VLOOKUP(R224,[1]MEP!$A$4:$M$300,13)</f>
        <v>0</v>
      </c>
      <c r="U224" s="168">
        <f t="shared" si="72"/>
        <v>0</v>
      </c>
      <c r="V224" s="168">
        <f t="shared" si="73"/>
        <v>0</v>
      </c>
      <c r="W224" s="168">
        <f t="shared" si="74"/>
        <v>0</v>
      </c>
      <c r="X224" s="168">
        <f>VLOOKUP(R224,[1]MEP!$A$4:$Q$300,14)</f>
        <v>0</v>
      </c>
      <c r="Y224" s="168">
        <f>VLOOKUP(R224,[1]MEP!$A$4:$R$300,15)</f>
        <v>0</v>
      </c>
      <c r="Z224" s="168">
        <f>VLOOKUP(R224,[1]MEP!$A$4:$R$300,16)</f>
        <v>0</v>
      </c>
      <c r="AA224" s="168">
        <f t="shared" si="70"/>
        <v>0</v>
      </c>
      <c r="AB224" s="168">
        <f t="shared" si="71"/>
        <v>0</v>
      </c>
      <c r="AC224" s="168">
        <f t="shared" si="75"/>
        <v>0</v>
      </c>
      <c r="AD224" s="168">
        <f t="shared" si="76"/>
        <v>0</v>
      </c>
      <c r="AE224" s="168">
        <f t="shared" si="77"/>
        <v>0</v>
      </c>
      <c r="AF224" s="168">
        <f t="shared" si="78"/>
        <v>0</v>
      </c>
      <c r="AG224" s="168">
        <f t="shared" si="79"/>
        <v>0</v>
      </c>
      <c r="AH224" s="168">
        <f t="shared" si="80"/>
        <v>0</v>
      </c>
      <c r="AI224" s="168">
        <f t="shared" si="81"/>
        <v>0</v>
      </c>
      <c r="AJ224" s="168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>
        <f>'Alim -Surf'!Q68</f>
        <v>0</v>
      </c>
      <c r="S225" s="168">
        <f>'Alim -Surf'!R68</f>
        <v>0</v>
      </c>
      <c r="T225" s="168">
        <f>VLOOKUP(R225,[1]MEP!$A$4:$M$300,13)</f>
        <v>0</v>
      </c>
      <c r="U225" s="168">
        <f t="shared" si="72"/>
        <v>0</v>
      </c>
      <c r="V225" s="168">
        <f t="shared" si="73"/>
        <v>0</v>
      </c>
      <c r="W225" s="168">
        <f t="shared" si="74"/>
        <v>0</v>
      </c>
      <c r="X225" s="168">
        <f>VLOOKUP(R225,[1]MEP!$A$4:$Q$300,14)</f>
        <v>0</v>
      </c>
      <c r="Y225" s="168">
        <f>VLOOKUP(R225,[1]MEP!$A$4:$R$300,15)</f>
        <v>0</v>
      </c>
      <c r="Z225" s="168">
        <f>VLOOKUP(R225,[1]MEP!$A$4:$R$300,16)</f>
        <v>0</v>
      </c>
      <c r="AA225" s="168">
        <f t="shared" si="70"/>
        <v>0</v>
      </c>
      <c r="AB225" s="168">
        <f t="shared" si="71"/>
        <v>0</v>
      </c>
      <c r="AC225" s="168">
        <f t="shared" si="75"/>
        <v>0</v>
      </c>
      <c r="AD225" s="168">
        <f t="shared" si="76"/>
        <v>0</v>
      </c>
      <c r="AE225" s="168">
        <f t="shared" si="77"/>
        <v>0</v>
      </c>
      <c r="AF225" s="168">
        <f t="shared" si="78"/>
        <v>0</v>
      </c>
      <c r="AG225" s="168">
        <f t="shared" si="79"/>
        <v>0</v>
      </c>
      <c r="AH225" s="168">
        <f t="shared" si="80"/>
        <v>0</v>
      </c>
      <c r="AI225" s="168">
        <f t="shared" si="81"/>
        <v>0</v>
      </c>
      <c r="AJ225" s="168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>
        <f>'Alim -Surf'!Q69</f>
        <v>0</v>
      </c>
      <c r="S226" s="168">
        <f>'Alim -Surf'!R69</f>
        <v>0</v>
      </c>
      <c r="T226" s="168">
        <f>VLOOKUP(R226,[1]MEP!$A$4:$M$300,13)</f>
        <v>0</v>
      </c>
      <c r="U226" s="168">
        <f t="shared" si="72"/>
        <v>0</v>
      </c>
      <c r="V226" s="168">
        <f t="shared" si="73"/>
        <v>0</v>
      </c>
      <c r="W226" s="168">
        <f t="shared" si="74"/>
        <v>0</v>
      </c>
      <c r="X226" s="168">
        <f>VLOOKUP(R226,[1]MEP!$A$4:$Q$300,14)</f>
        <v>0</v>
      </c>
      <c r="Y226" s="168">
        <f>VLOOKUP(R226,[1]MEP!$A$4:$R$300,15)</f>
        <v>0</v>
      </c>
      <c r="Z226" s="168">
        <f>VLOOKUP(R226,[1]MEP!$A$4:$R$300,16)</f>
        <v>0</v>
      </c>
      <c r="AA226" s="168">
        <f t="shared" si="70"/>
        <v>0</v>
      </c>
      <c r="AB226" s="168">
        <f t="shared" si="71"/>
        <v>0</v>
      </c>
      <c r="AC226" s="168">
        <f t="shared" si="75"/>
        <v>0</v>
      </c>
      <c r="AD226" s="168">
        <f t="shared" si="76"/>
        <v>0</v>
      </c>
      <c r="AE226" s="168">
        <f t="shared" si="77"/>
        <v>0</v>
      </c>
      <c r="AF226" s="168">
        <f t="shared" si="78"/>
        <v>0</v>
      </c>
      <c r="AG226" s="168">
        <f t="shared" si="79"/>
        <v>0</v>
      </c>
      <c r="AH226" s="168">
        <f t="shared" si="80"/>
        <v>0</v>
      </c>
      <c r="AI226" s="168">
        <f t="shared" si="81"/>
        <v>0</v>
      </c>
      <c r="AJ226" s="168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>
        <f>'Alim -Surf'!Q70</f>
        <v>0</v>
      </c>
      <c r="S227" s="168">
        <f>'Alim -Surf'!R70</f>
        <v>0</v>
      </c>
      <c r="T227" s="168">
        <f>VLOOKUP(R227,[1]MEP!$A$4:$M$300,13)</f>
        <v>0</v>
      </c>
      <c r="U227" s="168">
        <f t="shared" si="72"/>
        <v>0</v>
      </c>
      <c r="V227" s="168">
        <f t="shared" si="73"/>
        <v>0</v>
      </c>
      <c r="W227" s="168">
        <f t="shared" si="74"/>
        <v>0</v>
      </c>
      <c r="X227" s="168">
        <f>VLOOKUP(R227,[1]MEP!$A$4:$Q$300,14)</f>
        <v>0</v>
      </c>
      <c r="Y227" s="168">
        <f>VLOOKUP(R227,[1]MEP!$A$4:$R$300,15)</f>
        <v>0</v>
      </c>
      <c r="Z227" s="168">
        <f>VLOOKUP(R227,[1]MEP!$A$4:$R$300,16)</f>
        <v>0</v>
      </c>
      <c r="AA227" s="168">
        <f t="shared" si="70"/>
        <v>0</v>
      </c>
      <c r="AB227" s="168">
        <f t="shared" si="71"/>
        <v>0</v>
      </c>
      <c r="AC227" s="168">
        <f t="shared" si="75"/>
        <v>0</v>
      </c>
      <c r="AD227" s="168">
        <f t="shared" si="76"/>
        <v>0</v>
      </c>
      <c r="AE227" s="168">
        <f t="shared" si="77"/>
        <v>0</v>
      </c>
      <c r="AF227" s="168">
        <f t="shared" si="78"/>
        <v>0</v>
      </c>
      <c r="AG227" s="168">
        <f t="shared" si="79"/>
        <v>0</v>
      </c>
      <c r="AH227" s="168">
        <f t="shared" si="80"/>
        <v>0</v>
      </c>
      <c r="AI227" s="168">
        <f t="shared" si="81"/>
        <v>0</v>
      </c>
      <c r="AJ227" s="168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658</v>
      </c>
      <c r="R228" s="2"/>
      <c r="S228" s="62">
        <f t="shared" ref="S228" si="83">SUM(S164:S227)</f>
        <v>28.4</v>
      </c>
      <c r="U228" s="62">
        <f>SUM(U164:U227)</f>
        <v>12.9</v>
      </c>
      <c r="V228" s="62">
        <f t="shared" ref="V228:W228" si="84">SUM(V164:V227)</f>
        <v>10.400000000000002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1.3</v>
      </c>
      <c r="AD228" s="62">
        <f>SUM(AD164:AD227)</f>
        <v>27.099999999999998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1.3</v>
      </c>
      <c r="AH228" s="62">
        <f t="shared" si="86"/>
        <v>15.5</v>
      </c>
      <c r="AI228" s="62">
        <f t="shared" si="86"/>
        <v>2.5</v>
      </c>
      <c r="AJ228" s="62">
        <f t="shared" si="86"/>
        <v>9.1000000000000014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1123</v>
      </c>
      <c r="V232" t="s">
        <v>1124</v>
      </c>
      <c r="W232" t="s">
        <v>1125</v>
      </c>
      <c r="X232" t="s">
        <v>1126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336</v>
      </c>
      <c r="T233" s="30">
        <f>Protection!AD14</f>
        <v>0</v>
      </c>
      <c r="U233" t="s">
        <v>1127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1128</v>
      </c>
      <c r="T234" s="30">
        <f>Protection!AK25</f>
        <v>4437</v>
      </c>
      <c r="U234" t="s">
        <v>1129</v>
      </c>
      <c r="V234" s="168"/>
      <c r="W234" s="168">
        <f>[1]Protect!$B$4</f>
        <v>6</v>
      </c>
      <c r="X234" s="168">
        <f>T234*W234</f>
        <v>26622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1130</v>
      </c>
      <c r="T235" s="30">
        <f>IF(AND(Troupeau!B3="OL",OR(Scénario!K87=1,Scénario!K87=2)),(Protection!AD28+Protection!AD30)/Scénario!K56,0)</f>
        <v>0</v>
      </c>
      <c r="W235" s="168">
        <f>[1]Protect!$B$83</f>
        <v>2000</v>
      </c>
      <c r="X235" s="16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1131</v>
      </c>
      <c r="T236" s="30">
        <f>IF(AND(Troupeau!B3="OL",OR(Scénario!K87=1,Scénario!K87=2)),(Protection!AD29+Protection!AD31)/Scénario!K56,0)</f>
        <v>0</v>
      </c>
      <c r="W236" s="168">
        <f>[1]Protect!$B$84</f>
        <v>5000</v>
      </c>
      <c r="X236" s="168">
        <f t="shared" si="87"/>
        <v>0</v>
      </c>
      <c r="Z236" t="s">
        <v>1132</v>
      </c>
      <c r="AA236" t="s">
        <v>1133</v>
      </c>
      <c r="AB236" t="s">
        <v>1134</v>
      </c>
      <c r="AC236" t="s">
        <v>1135</v>
      </c>
      <c r="AD236" t="s">
        <v>1136</v>
      </c>
      <c r="AE236" t="s">
        <v>1137</v>
      </c>
      <c r="AF236" t="s">
        <v>1138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1139</v>
      </c>
      <c r="X237" s="46">
        <f>SUM(X233:X236)</f>
        <v>26622</v>
      </c>
      <c r="Z237" s="30">
        <f>IF(Scénario!K84=1,MIN(0.8*'Calcul éco'!X237,[1]Protect!$B$68),IF(Scénario!K84=2,MIN(0.8*'Calcul éco'!X237,[1]Protect!$B$67),0))</f>
        <v>21297.600000000002</v>
      </c>
      <c r="AA237" s="30">
        <f>X237-Z237</f>
        <v>5324.3999999999978</v>
      </c>
      <c r="AB237" s="30">
        <f>(Scénario!K127/100)*AA237</f>
        <v>0</v>
      </c>
      <c r="AC237" s="30">
        <f>AA237-AB237</f>
        <v>5324.3999999999978</v>
      </c>
      <c r="AD237" s="242">
        <f>[1]Protect!$B$19</f>
        <v>0.04</v>
      </c>
      <c r="AE237" s="213">
        <f>[1]Protect!$B$20</f>
        <v>10</v>
      </c>
      <c r="AF237" s="239">
        <f>PPMT(AD237,1,AE237,-AC237)+IPMT(AD237,1,AE237,-AC237)</f>
        <v>656.45030399137863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1140</v>
      </c>
      <c r="T240" s="30">
        <f>IF(Scénario!K87=3,Protection!AE33,0)</f>
        <v>0</v>
      </c>
      <c r="U240" t="s">
        <v>1129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2">
        <f>[1]Protect!$B$19</f>
        <v>0.04</v>
      </c>
      <c r="AE240" s="213">
        <f>[1]Protect!$B$20</f>
        <v>10</v>
      </c>
      <c r="AF240" s="239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1141</v>
      </c>
      <c r="W244" t="s">
        <v>1072</v>
      </c>
      <c r="X244" t="s">
        <v>953</v>
      </c>
    </row>
    <row r="245" spans="17:31" x14ac:dyDescent="0.25">
      <c r="Q245" s="15"/>
      <c r="S245" s="14" t="s">
        <v>1142</v>
      </c>
      <c r="T245" s="30">
        <f>IF(Scénario!K87=0,0,Protection!AJ8)</f>
        <v>4</v>
      </c>
      <c r="X245" s="168">
        <f>ROUND((([1]Protect!$B$5/[1]Protect!$B$11)+[1]Protect!$B$8)*T245,0)</f>
        <v>3617</v>
      </c>
    </row>
    <row r="246" spans="17:31" x14ac:dyDescent="0.25">
      <c r="Q246" s="15"/>
      <c r="S246" s="14" t="s">
        <v>1143</v>
      </c>
      <c r="T246" s="30">
        <f>IF(Scénario!K94=0,0,Scénario!K94/Scénario!K56*Scénario!K54)</f>
        <v>0</v>
      </c>
      <c r="W246" s="168">
        <f>[1]Eco!$B$106*[1]Eco!$B$108*[1]Eco!$B$109</f>
        <v>2551.2000000000003</v>
      </c>
      <c r="X246" s="168">
        <f>T246*W246</f>
        <v>0</v>
      </c>
    </row>
    <row r="247" spans="17:31" x14ac:dyDescent="0.25">
      <c r="S247" s="14" t="s">
        <v>1144</v>
      </c>
      <c r="T247" s="30">
        <f>Travail!F16/8</f>
        <v>0</v>
      </c>
      <c r="W247" s="168">
        <f>[1]Eco!$B$111</f>
        <v>28.3</v>
      </c>
      <c r="X247" s="168">
        <f>T247*W247</f>
        <v>0</v>
      </c>
    </row>
    <row r="248" spans="17:31" x14ac:dyDescent="0.25">
      <c r="W248" s="14" t="s">
        <v>1145</v>
      </c>
      <c r="X248" s="168">
        <f>SUM(X245:X247)</f>
        <v>3617</v>
      </c>
    </row>
    <row r="249" spans="17:31" x14ac:dyDescent="0.25">
      <c r="AB249" t="s">
        <v>1146</v>
      </c>
    </row>
    <row r="250" spans="17:31" x14ac:dyDescent="0.25">
      <c r="AB250" t="s">
        <v>1147</v>
      </c>
    </row>
    <row r="254" spans="17:31" x14ac:dyDescent="0.25">
      <c r="S254" s="40" t="s">
        <v>1148</v>
      </c>
      <c r="T254" s="4">
        <f>IF(Scénario!K53="OL",Scénario!K55*(1/0.15)*Scénario!K56,0)</f>
        <v>0</v>
      </c>
      <c r="Y254" s="40" t="s">
        <v>1149</v>
      </c>
      <c r="Z254">
        <f>IF(Troupeau!B3="OL",Troupeau!B17,0)</f>
        <v>268</v>
      </c>
    </row>
    <row r="255" spans="17:31" x14ac:dyDescent="0.25">
      <c r="U255" t="s">
        <v>1150</v>
      </c>
      <c r="AA255" t="s">
        <v>1150</v>
      </c>
    </row>
    <row r="256" spans="17:31" x14ac:dyDescent="0.25">
      <c r="S256" s="14" t="s">
        <v>1151</v>
      </c>
      <c r="T256" s="30">
        <f>IF(T254&lt;151,1,0)</f>
        <v>1</v>
      </c>
      <c r="U256" s="168">
        <f>IF(T256=0,0,[1]Protect!$B76)</f>
        <v>7500</v>
      </c>
      <c r="Y256" s="14" t="s">
        <v>1152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1153</v>
      </c>
      <c r="T257" s="30">
        <f>IF(AND(150 &lt;T$254,T$254&lt;451),1,0)</f>
        <v>0</v>
      </c>
      <c r="U257" s="168">
        <f>IF(T257=0,0,[1]Protect!$B77)</f>
        <v>0</v>
      </c>
      <c r="Y257" s="14" t="s">
        <v>1154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1155</v>
      </c>
      <c r="T258" s="30">
        <f>IF(AND(540 &lt;T$254,T$254&lt;1201),1,0)</f>
        <v>0</v>
      </c>
      <c r="U258" s="168">
        <f>IF(T258=0,0,[1]Protect!$B78)</f>
        <v>0</v>
      </c>
      <c r="Y258" s="14" t="s">
        <v>1156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1157</v>
      </c>
      <c r="T259" s="30">
        <f>IF(AND(1200&lt;T$254,T$254&lt;1501),1,0)</f>
        <v>0</v>
      </c>
      <c r="U259" s="168">
        <f>IF(T259=0,0,[1]Protect!$B79)</f>
        <v>0</v>
      </c>
      <c r="Y259" s="14" t="s">
        <v>1158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1159</v>
      </c>
      <c r="T260" s="30">
        <f>IF(1500&lt;T$254,1,0)</f>
        <v>0</v>
      </c>
      <c r="U260" s="168">
        <f>IF(T260=0,0,[1]Protect!$B80)</f>
        <v>0</v>
      </c>
      <c r="Y260" s="14" t="s">
        <v>1160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1161</v>
      </c>
      <c r="V263" s="168">
        <f>IF(Scénario!K84=2,'Calcul éco'!V264,IF(Scénario!K84=1,'Calcul éco'!V265,0))</f>
        <v>3617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1162</v>
      </c>
      <c r="V264" s="168">
        <f>IF(X$248&lt;SUM(U256:U260),X$248,SUM(U256:U260))</f>
        <v>3617</v>
      </c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5"/>
    </row>
    <row r="265" spans="16:37" x14ac:dyDescent="0.25">
      <c r="P265" s="5"/>
      <c r="U265" s="14" t="s">
        <v>1163</v>
      </c>
      <c r="V265" s="168">
        <f>IF(X$248&lt;SUM(AA256:AA260),X$248,SUM(AA256:AA260))</f>
        <v>3617</v>
      </c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5"/>
    </row>
    <row r="266" spans="16:37" x14ac:dyDescent="0.25">
      <c r="P266" s="5"/>
      <c r="Z266" s="243"/>
      <c r="AA266" s="244"/>
      <c r="AB266" s="244"/>
      <c r="AC266" s="244"/>
      <c r="AD266" s="244"/>
      <c r="AE266" s="244"/>
      <c r="AF266" s="244"/>
      <c r="AG266" s="243"/>
      <c r="AH266" s="243"/>
      <c r="AI266" s="243"/>
      <c r="AJ266" s="243"/>
      <c r="AK266" s="5"/>
    </row>
    <row r="267" spans="16:37" x14ac:dyDescent="0.25">
      <c r="P267" s="5"/>
      <c r="Z267" s="243"/>
      <c r="AA267" s="244"/>
      <c r="AB267" s="244"/>
      <c r="AC267" s="244"/>
      <c r="AD267" s="244"/>
      <c r="AE267" s="244"/>
      <c r="AF267" s="244"/>
      <c r="AG267" s="243"/>
      <c r="AH267" s="243"/>
      <c r="AI267" s="243"/>
      <c r="AJ267" s="243"/>
      <c r="AK267" s="5"/>
    </row>
    <row r="268" spans="16:37" x14ac:dyDescent="0.25">
      <c r="P268" s="5"/>
      <c r="Q268" s="245"/>
      <c r="R268" s="246"/>
      <c r="S268" s="246"/>
      <c r="T268" s="247"/>
      <c r="U268" s="247"/>
      <c r="V268" s="247"/>
      <c r="W268" s="248"/>
      <c r="X268" s="248"/>
      <c r="Y268" s="243"/>
      <c r="Z268" s="244"/>
      <c r="AA268" s="243"/>
      <c r="AB268" s="243"/>
      <c r="AC268" s="243"/>
      <c r="AD268" s="243"/>
      <c r="AE268" s="249"/>
      <c r="AF268" s="249"/>
      <c r="AG268" s="243"/>
      <c r="AH268" s="243"/>
      <c r="AI268" s="243"/>
      <c r="AJ268" s="243"/>
      <c r="AK268" s="5"/>
    </row>
    <row r="269" spans="16:37" x14ac:dyDescent="0.25">
      <c r="P269" s="5"/>
      <c r="Q269" s="2" t="s">
        <v>1164</v>
      </c>
      <c r="Z269" s="244"/>
      <c r="AA269" s="243"/>
      <c r="AB269" s="243"/>
      <c r="AC269" s="243"/>
      <c r="AD269" s="243"/>
      <c r="AE269" s="249"/>
      <c r="AF269" s="249"/>
      <c r="AG269" s="243"/>
      <c r="AH269" s="243"/>
      <c r="AI269" s="243"/>
      <c r="AJ269" s="243"/>
      <c r="AK269" s="5"/>
    </row>
    <row r="270" spans="16:37" x14ac:dyDescent="0.25">
      <c r="P270" s="5"/>
      <c r="T270" s="33" t="s">
        <v>1165</v>
      </c>
      <c r="U270" s="33"/>
      <c r="V270" s="33"/>
      <c r="W270" s="33" t="s">
        <v>1166</v>
      </c>
      <c r="X270" s="33" t="s">
        <v>987</v>
      </c>
      <c r="Z270" s="244"/>
      <c r="AA270" s="243"/>
      <c r="AB270" s="243"/>
      <c r="AC270" s="243"/>
      <c r="AD270" s="243"/>
      <c r="AE270" s="250"/>
      <c r="AF270" s="249"/>
      <c r="AG270" s="243"/>
      <c r="AH270" s="243"/>
      <c r="AI270" s="243"/>
      <c r="AJ270" s="243"/>
      <c r="AK270" s="5"/>
    </row>
    <row r="271" spans="16:37" x14ac:dyDescent="0.25">
      <c r="P271" s="5"/>
      <c r="S271" s="14" t="s">
        <v>1167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43"/>
      <c r="AA271" s="243"/>
      <c r="AB271" s="243"/>
      <c r="AC271" s="243"/>
      <c r="AD271" s="244"/>
      <c r="AE271" s="251"/>
      <c r="AF271" s="251"/>
      <c r="AG271" s="243"/>
      <c r="AH271" s="243"/>
      <c r="AI271" s="243"/>
      <c r="AJ271" s="243"/>
      <c r="AK271" s="5"/>
    </row>
    <row r="272" spans="16:37" x14ac:dyDescent="0.25">
      <c r="P272" s="5"/>
      <c r="S272" s="14" t="s">
        <v>1168</v>
      </c>
      <c r="T272" s="168">
        <f>T234*[1]Protect!$B$17/100</f>
        <v>66.555000000000007</v>
      </c>
      <c r="U272" s="168"/>
      <c r="V272" s="168"/>
      <c r="W272" s="168">
        <f>W234</f>
        <v>6</v>
      </c>
      <c r="X272" s="168">
        <f>T272*W272</f>
        <v>399.33000000000004</v>
      </c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  <c r="AJ272" s="243"/>
      <c r="AK272" s="5"/>
    </row>
    <row r="273" spans="16:37" x14ac:dyDescent="0.25">
      <c r="P273" s="5"/>
      <c r="S273" s="14" t="s">
        <v>1169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  <c r="AJ273" s="243"/>
      <c r="AK273" s="5"/>
    </row>
    <row r="274" spans="16:37" x14ac:dyDescent="0.25">
      <c r="P274" s="5"/>
      <c r="Q274" s="252"/>
      <c r="S274" s="14" t="s">
        <v>1130</v>
      </c>
      <c r="T274" s="168">
        <f>IF(T235&gt;0,[1]Protect!$B$85*T235,0)</f>
        <v>0</v>
      </c>
      <c r="U274" s="168"/>
      <c r="V274" s="168"/>
      <c r="W274" s="168">
        <f>W271</f>
        <v>100</v>
      </c>
      <c r="X274" s="168">
        <f>T274*W274</f>
        <v>0</v>
      </c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  <c r="AJ274" s="243"/>
      <c r="AK274" s="5"/>
    </row>
    <row r="275" spans="16:37" x14ac:dyDescent="0.25">
      <c r="P275" s="5"/>
      <c r="Q275" s="245"/>
      <c r="S275" s="14" t="s">
        <v>1131</v>
      </c>
      <c r="T275" s="168">
        <f>T236</f>
        <v>0</v>
      </c>
      <c r="U275" s="168"/>
      <c r="V275" s="168"/>
      <c r="W275" s="168">
        <f>[1]Protect!$B$42</f>
        <v>200</v>
      </c>
      <c r="X275" s="168">
        <f>T275*W275</f>
        <v>0</v>
      </c>
      <c r="Y275" s="243"/>
      <c r="Z275" s="32"/>
      <c r="AA275" s="243"/>
      <c r="AB275" s="253"/>
      <c r="AC275" s="243"/>
      <c r="AD275" s="243"/>
      <c r="AE275" s="243"/>
      <c r="AF275" s="243"/>
      <c r="AG275" s="243"/>
      <c r="AH275" s="243"/>
      <c r="AI275" s="243"/>
      <c r="AJ275" s="243"/>
      <c r="AK275" s="5"/>
    </row>
    <row r="276" spans="16:37" x14ac:dyDescent="0.25">
      <c r="P276" s="5"/>
      <c r="Q276" s="245"/>
      <c r="R276" s="246"/>
      <c r="S276" s="254"/>
      <c r="T276" s="247"/>
      <c r="U276" s="247"/>
      <c r="V276" s="247"/>
      <c r="W276" s="247"/>
      <c r="X276" s="243"/>
      <c r="Y276" s="243"/>
      <c r="Z276" s="32"/>
      <c r="AA276" s="243"/>
      <c r="AB276" s="243"/>
      <c r="AC276" s="243"/>
      <c r="AD276" s="243"/>
      <c r="AE276" s="243"/>
      <c r="AF276" s="243"/>
      <c r="AG276" s="243"/>
      <c r="AH276" s="243"/>
      <c r="AI276" s="243"/>
      <c r="AJ276" s="243"/>
      <c r="AK276" s="5"/>
    </row>
    <row r="277" spans="16:37" x14ac:dyDescent="0.25">
      <c r="P277" s="5"/>
      <c r="Q277" s="245"/>
      <c r="R277" s="246"/>
      <c r="S277" s="254"/>
      <c r="T277" s="247"/>
      <c r="U277" s="247"/>
      <c r="V277" s="247"/>
      <c r="W277" s="247"/>
      <c r="X277" s="247"/>
      <c r="Y277" s="243"/>
      <c r="Z277" s="32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5"/>
    </row>
    <row r="278" spans="16:37" x14ac:dyDescent="0.25">
      <c r="P278" s="5"/>
      <c r="Q278" s="215"/>
      <c r="R278" s="243"/>
      <c r="S278" s="243"/>
      <c r="T278" s="243"/>
      <c r="U278" s="243"/>
      <c r="V278" s="243"/>
      <c r="W278" s="243"/>
      <c r="X278" s="243"/>
      <c r="Y278" s="243"/>
      <c r="Z278" s="32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5"/>
    </row>
    <row r="279" spans="16:37" x14ac:dyDescent="0.25">
      <c r="P279" s="5"/>
      <c r="Q279" s="252"/>
      <c r="R279" s="244"/>
      <c r="S279" s="244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5"/>
    </row>
    <row r="280" spans="16:37" x14ac:dyDescent="0.25">
      <c r="P280" s="5"/>
      <c r="Q280" s="215"/>
      <c r="R280" s="255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  <c r="AJ280" s="243"/>
      <c r="AK280" s="5"/>
    </row>
    <row r="281" spans="16:37" x14ac:dyDescent="0.25">
      <c r="P281" s="5"/>
      <c r="Q281" s="215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  <c r="AJ281" s="243"/>
      <c r="AK281" s="5"/>
    </row>
    <row r="282" spans="16:37" x14ac:dyDescent="0.25">
      <c r="P282" s="5"/>
      <c r="Q282" s="215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5"/>
    </row>
    <row r="283" spans="16:37" x14ac:dyDescent="0.25">
      <c r="P283" s="5"/>
      <c r="Q283" s="215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5"/>
    </row>
    <row r="284" spans="16:37" x14ac:dyDescent="0.25">
      <c r="P284" s="5"/>
      <c r="Q284" s="215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5"/>
    </row>
    <row r="285" spans="16:37" x14ac:dyDescent="0.25">
      <c r="P285" s="5"/>
      <c r="Q285" s="215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5"/>
    </row>
    <row r="286" spans="16:37" x14ac:dyDescent="0.25">
      <c r="P286" s="5"/>
      <c r="Q286" s="215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  <c r="AJ286" s="243"/>
      <c r="AK286" s="5"/>
    </row>
    <row r="287" spans="16:37" x14ac:dyDescent="0.25">
      <c r="P287" s="5"/>
      <c r="Q287" s="215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  <c r="AJ287" s="243"/>
      <c r="AK287" s="5"/>
    </row>
    <row r="288" spans="16:37" x14ac:dyDescent="0.25">
      <c r="P288" s="5"/>
      <c r="Q288" s="215"/>
      <c r="R288" s="243"/>
      <c r="S288" s="243"/>
      <c r="T288" s="243"/>
      <c r="U288" s="243"/>
      <c r="V288" s="243"/>
      <c r="W288" s="5"/>
      <c r="X288" s="5"/>
      <c r="Y288" s="5"/>
      <c r="Z288" s="5"/>
      <c r="AA288" s="5"/>
      <c r="AB288" s="5"/>
      <c r="AC288" s="5"/>
      <c r="AD288" s="5"/>
      <c r="AE288" s="243"/>
      <c r="AF288" s="243"/>
      <c r="AG288" s="243"/>
      <c r="AH288" s="243"/>
      <c r="AI288" s="243"/>
      <c r="AJ288" s="243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B290" sqref="B290:C31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466</v>
      </c>
      <c r="C1" s="256" t="str">
        <f>Scénario!K1</f>
        <v>Z1_OL_B_s2</v>
      </c>
      <c r="D1" s="256" t="str">
        <f>CONCATENATE(C1,"_corr")</f>
        <v>Z1_OL_B_s2_corr</v>
      </c>
    </row>
    <row r="2" spans="2:4" x14ac:dyDescent="0.25">
      <c r="B2" s="14" t="s">
        <v>467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470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473</v>
      </c>
      <c r="C4" s="172">
        <f>Scénario!K4</f>
        <v>1</v>
      </c>
      <c r="D4" s="172">
        <f t="shared" si="0"/>
        <v>1</v>
      </c>
    </row>
    <row r="5" spans="2:4" x14ac:dyDescent="0.25">
      <c r="B5" s="14" t="s">
        <v>475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478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485</v>
      </c>
      <c r="C7" s="172">
        <f>Scénario!K8</f>
        <v>1</v>
      </c>
      <c r="D7" s="172">
        <f t="shared" si="0"/>
        <v>1</v>
      </c>
    </row>
    <row r="8" spans="2:4" x14ac:dyDescent="0.25">
      <c r="B8" s="14" t="s">
        <v>489</v>
      </c>
      <c r="C8" s="172" t="str">
        <f>Scénario!K9</f>
        <v>M1</v>
      </c>
      <c r="D8" s="172" t="str">
        <f t="shared" si="0"/>
        <v>M1</v>
      </c>
    </row>
    <row r="9" spans="2:4" x14ac:dyDescent="0.25">
      <c r="B9" s="14" t="s">
        <v>493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497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500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477</v>
      </c>
      <c r="C12" s="172" t="str">
        <f>Scénario!K13</f>
        <v>B</v>
      </c>
      <c r="D12" s="172" t="str">
        <f t="shared" si="0"/>
        <v>B</v>
      </c>
    </row>
    <row r="13" spans="2:4" x14ac:dyDescent="0.25">
      <c r="B13" s="32" t="s">
        <v>510</v>
      </c>
      <c r="C13" s="172">
        <f>Scénario!K16</f>
        <v>0</v>
      </c>
      <c r="D13" s="172">
        <f t="shared" si="0"/>
        <v>0</v>
      </c>
    </row>
    <row r="14" spans="2:4" x14ac:dyDescent="0.25">
      <c r="B14" s="14" t="s">
        <v>513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516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518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519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532</v>
      </c>
      <c r="C18" s="172">
        <f>Scénario!K28</f>
        <v>11.900000000000002</v>
      </c>
      <c r="D18" s="172">
        <f t="shared" si="0"/>
        <v>11.900000000000002</v>
      </c>
    </row>
    <row r="19" spans="2:5" x14ac:dyDescent="0.25">
      <c r="B19" s="14" t="s">
        <v>533</v>
      </c>
      <c r="C19" s="172">
        <f>Scénario!K29</f>
        <v>9.4</v>
      </c>
      <c r="D19" s="172">
        <f t="shared" si="0"/>
        <v>9.4</v>
      </c>
    </row>
    <row r="20" spans="2:5" x14ac:dyDescent="0.25">
      <c r="B20" s="14" t="s">
        <v>534</v>
      </c>
      <c r="C20" s="172">
        <f>Scénario!K30</f>
        <v>0</v>
      </c>
      <c r="D20" s="172">
        <f t="shared" si="0"/>
        <v>0</v>
      </c>
    </row>
    <row r="21" spans="2:5" x14ac:dyDescent="0.25">
      <c r="B21" s="14" t="s">
        <v>535</v>
      </c>
      <c r="C21" s="172">
        <f>Scénario!K31</f>
        <v>10</v>
      </c>
      <c r="D21" s="172">
        <f t="shared" si="0"/>
        <v>10</v>
      </c>
    </row>
    <row r="22" spans="2:5" x14ac:dyDescent="0.25">
      <c r="B22" s="14" t="s">
        <v>1170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555</v>
      </c>
      <c r="C23" s="172">
        <f>Scénario!K54</f>
        <v>0</v>
      </c>
      <c r="D23" s="172">
        <f t="shared" si="0"/>
        <v>0</v>
      </c>
    </row>
    <row r="24" spans="2:5" x14ac:dyDescent="0.25">
      <c r="B24" s="14" t="s">
        <v>556</v>
      </c>
      <c r="C24" s="172">
        <f>Scénario!K55</f>
        <v>0</v>
      </c>
      <c r="D24" s="172">
        <f t="shared" si="0"/>
        <v>0</v>
      </c>
    </row>
    <row r="25" spans="2:5" x14ac:dyDescent="0.25">
      <c r="B25" s="14" t="s">
        <v>557</v>
      </c>
      <c r="C25" s="172">
        <f>Scénario!K56</f>
        <v>1</v>
      </c>
      <c r="D25" s="172">
        <f t="shared" si="0"/>
        <v>1</v>
      </c>
    </row>
    <row r="26" spans="2:5" x14ac:dyDescent="0.25">
      <c r="B26" s="14" t="s">
        <v>560</v>
      </c>
      <c r="C26" s="172" t="str">
        <f>Scénario!K57</f>
        <v>1. 1 visite par semaine</v>
      </c>
      <c r="D26" s="172" t="str">
        <f t="shared" si="0"/>
        <v>1. 1 visite par semaine</v>
      </c>
    </row>
    <row r="27" spans="2:5" x14ac:dyDescent="0.25">
      <c r="B27" s="14" t="s">
        <v>563</v>
      </c>
      <c r="C27" s="172">
        <f>Scénario!K58</f>
        <v>0</v>
      </c>
      <c r="D27" s="172">
        <f t="shared" si="0"/>
        <v>0</v>
      </c>
    </row>
    <row r="28" spans="2:5" x14ac:dyDescent="0.25">
      <c r="B28" s="14" t="s">
        <v>565</v>
      </c>
      <c r="C28" s="172">
        <f>Scénario!K59</f>
        <v>1</v>
      </c>
      <c r="D28" s="172">
        <f t="shared" si="0"/>
        <v>1</v>
      </c>
    </row>
    <row r="29" spans="2:5" x14ac:dyDescent="0.25">
      <c r="B29" s="14" t="s">
        <v>551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567</v>
      </c>
      <c r="C30" s="172">
        <f>Scénario!K60</f>
        <v>0</v>
      </c>
      <c r="D30" s="172">
        <f t="shared" si="0"/>
        <v>0</v>
      </c>
    </row>
    <row r="31" spans="2:5" x14ac:dyDescent="0.25">
      <c r="B31" s="14" t="s">
        <v>570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572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573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1171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576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577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578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579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580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581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582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1172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587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589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1173</v>
      </c>
      <c r="C45" s="172">
        <f>Scénario!K78</f>
        <v>0</v>
      </c>
      <c r="D45" s="172">
        <f t="shared" si="0"/>
        <v>0</v>
      </c>
      <c r="E45" s="14"/>
    </row>
    <row r="46" spans="2:5" x14ac:dyDescent="0.25">
      <c r="B46" s="14" t="s">
        <v>592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593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1174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596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599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609</v>
      </c>
      <c r="C51" s="172">
        <f>Scénario!K87</f>
        <v>2</v>
      </c>
      <c r="D51" s="172">
        <f t="shared" si="0"/>
        <v>2</v>
      </c>
      <c r="E51" s="14"/>
    </row>
    <row r="52" spans="1:132" x14ac:dyDescent="0.25">
      <c r="B52" s="19" t="s">
        <v>586</v>
      </c>
      <c r="C52" s="172">
        <f>Scénario!K84</f>
        <v>1</v>
      </c>
      <c r="D52" s="172">
        <f t="shared" si="0"/>
        <v>1</v>
      </c>
      <c r="E52" s="14"/>
    </row>
    <row r="53" spans="1:132" x14ac:dyDescent="0.25">
      <c r="B53" s="14" t="s">
        <v>597</v>
      </c>
      <c r="C53" s="172">
        <f>Scénario!K88</f>
        <v>1</v>
      </c>
      <c r="D53" s="172">
        <f t="shared" si="0"/>
        <v>1</v>
      </c>
      <c r="E53" s="14"/>
    </row>
    <row r="54" spans="1:132" x14ac:dyDescent="0.25">
      <c r="B54" s="14" t="s">
        <v>614</v>
      </c>
      <c r="C54" s="172">
        <f>Scénario!K89</f>
        <v>0</v>
      </c>
      <c r="D54" s="172">
        <f t="shared" si="0"/>
        <v>0</v>
      </c>
      <c r="E54" s="14"/>
    </row>
    <row r="55" spans="1:132" x14ac:dyDescent="0.25">
      <c r="B55" s="14" t="s">
        <v>614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595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1175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616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617</v>
      </c>
      <c r="C59" s="172">
        <f>Scénario!K94</f>
        <v>0</v>
      </c>
      <c r="D59" s="172">
        <f t="shared" si="0"/>
        <v>0</v>
      </c>
      <c r="E59" s="14"/>
    </row>
    <row r="60" spans="1:132" x14ac:dyDescent="0.25">
      <c r="B60" s="14" t="s">
        <v>627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629</v>
      </c>
      <c r="C61" s="172">
        <f>Scénario!K129</f>
        <v>1</v>
      </c>
      <c r="D61" s="172">
        <f t="shared" si="0"/>
        <v>1</v>
      </c>
      <c r="E61" s="14"/>
    </row>
    <row r="62" spans="1:132" x14ac:dyDescent="0.25">
      <c r="A62" s="2" t="s">
        <v>1176</v>
      </c>
      <c r="B62" s="14" t="s">
        <v>1177</v>
      </c>
      <c r="C62" s="168" t="str">
        <f>Scénario!K12</f>
        <v>OL</v>
      </c>
      <c r="D62" s="168" t="str">
        <f>C62</f>
        <v>OL</v>
      </c>
      <c r="AS62" s="40" t="s">
        <v>553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567</v>
      </c>
      <c r="BZ62" s="168">
        <f>Troupeau!C3</f>
        <v>0</v>
      </c>
      <c r="CA62" s="168">
        <f>IF(BZ62="OL",1,IF(BZ62="BV",2,IF(BZ62="BL",3,IF(BZ62="EQ",4,0))))</f>
        <v>0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574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1178</v>
      </c>
      <c r="C63" s="168">
        <f>IF(Troupeau!B3="OL",Troupeau!B17,0)</f>
        <v>268</v>
      </c>
      <c r="D63" s="257">
        <f>ROUND(C63*$D$82/$C$82,3)</f>
        <v>0</v>
      </c>
      <c r="F63" s="258" t="s">
        <v>1179</v>
      </c>
      <c r="G63">
        <f>D82/C82</f>
        <v>0</v>
      </c>
      <c r="AT63" s="2" t="s">
        <v>761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761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761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1180</v>
      </c>
      <c r="C64" s="168">
        <f>IF(Troupeau!B3="BL",Troupeau!B17,0)</f>
        <v>0</v>
      </c>
      <c r="D64" s="257">
        <f t="shared" ref="D64:D66" si="1">ROUND(C64*$D$82/$C$82,3)</f>
        <v>0</v>
      </c>
      <c r="F64" s="182" t="s">
        <v>1181</v>
      </c>
      <c r="AT64" s="182" t="str">
        <f>AT87</f>
        <v>laitiéres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1182</v>
      </c>
      <c r="C65" s="168">
        <f>IF(Troupeau!B3="BV",Troupeau!B17,0)+IF(Troupeau!C3="BV",Troupeau!C17,0)</f>
        <v>0</v>
      </c>
      <c r="D65" s="257">
        <f t="shared" si="1"/>
        <v>0</v>
      </c>
      <c r="F65" s="259" t="s">
        <v>1183</v>
      </c>
      <c r="AT65" s="182" t="str">
        <f t="shared" ref="AT65:AT73" si="2">AT88</f>
        <v>agnelles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1184</v>
      </c>
      <c r="C66" s="168">
        <f>IF(Troupeau!D3="EQ",Troupeau!D17,0)+IF(Troupeau!C3="EQ",Troupeau!C17,0)</f>
        <v>0</v>
      </c>
      <c r="D66" s="257">
        <f t="shared" si="1"/>
        <v>0</v>
      </c>
      <c r="AT66" s="182" t="str">
        <f t="shared" si="2"/>
        <v>vides + mammites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1185</v>
      </c>
      <c r="C67" s="168">
        <f>CdTrp1!AA49</f>
        <v>38.101559999999999</v>
      </c>
      <c r="D67" s="257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1186</v>
      </c>
      <c r="C68" s="168">
        <f>CdTrp2!AA49</f>
        <v>0</v>
      </c>
      <c r="D68" s="257">
        <f>ROUND(C68*$D$82/$C$82,3)</f>
        <v>0</v>
      </c>
      <c r="AT68" s="182">
        <f t="shared" si="2"/>
        <v>0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1187</v>
      </c>
      <c r="C69" s="168">
        <f>CdTrp3!AA49</f>
        <v>0</v>
      </c>
      <c r="D69" s="257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1188</v>
      </c>
      <c r="C70" s="168">
        <f>SUM(C67:C69)</f>
        <v>38.101559999999999</v>
      </c>
      <c r="D70" s="257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1189</v>
      </c>
      <c r="C71" s="168">
        <f>Scénario!K33</f>
        <v>0</v>
      </c>
      <c r="D71" s="257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1190</v>
      </c>
      <c r="C72" s="168">
        <f>'Calcul éco'!$AA$228</f>
        <v>0</v>
      </c>
      <c r="D72" s="257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1191</v>
      </c>
      <c r="C73" s="168">
        <f>'Calcul éco'!$AC$228</f>
        <v>1.3</v>
      </c>
      <c r="D73" s="257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1192</v>
      </c>
      <c r="C74" s="168">
        <f>C71+C73</f>
        <v>1.3</v>
      </c>
      <c r="D74" s="257">
        <f t="shared" si="3"/>
        <v>0</v>
      </c>
      <c r="AT74" s="2" t="s">
        <v>765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765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765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1193</v>
      </c>
      <c r="C75" s="168">
        <f>'Alim -Surf'!$O$7+'Alim -Surf'!$O$29-C72-C73</f>
        <v>17.099999999999998</v>
      </c>
      <c r="D75" s="257">
        <f t="shared" si="3"/>
        <v>0</v>
      </c>
      <c r="AT75" s="182" t="str">
        <f t="shared" ref="AT75:AT82" si="4">AT87</f>
        <v>laitiéres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1194</v>
      </c>
      <c r="C76" s="168">
        <f>'Calcul éco'!AO166</f>
        <v>0</v>
      </c>
      <c r="D76" s="257">
        <f t="shared" si="3"/>
        <v>0</v>
      </c>
      <c r="AT76" s="182" t="str">
        <f t="shared" si="4"/>
        <v>agnelles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1195</v>
      </c>
      <c r="C77" s="168">
        <f>'Calcul éco'!AO169</f>
        <v>1.3</v>
      </c>
      <c r="D77" s="257">
        <f t="shared" si="3"/>
        <v>0</v>
      </c>
      <c r="AT77" s="182" t="str">
        <f t="shared" si="4"/>
        <v>vides + mammites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1196</v>
      </c>
      <c r="C78" s="168">
        <f>'Calcul éco'!AO165</f>
        <v>12.9</v>
      </c>
      <c r="D78" s="257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1197</v>
      </c>
      <c r="C79" s="168">
        <f>'Calcul éco'!AO168</f>
        <v>4.2</v>
      </c>
      <c r="D79" s="257">
        <f t="shared" si="3"/>
        <v>0</v>
      </c>
      <c r="AT79" s="182">
        <f t="shared" si="4"/>
        <v>0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1198</v>
      </c>
      <c r="C80" s="168">
        <f>'Calcul éco'!AO171</f>
        <v>10</v>
      </c>
      <c r="D80" s="257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1199</v>
      </c>
      <c r="C81" s="168">
        <f>C74+C75</f>
        <v>18.399999999999999</v>
      </c>
      <c r="D81" s="257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1200</v>
      </c>
      <c r="C82" s="168">
        <f>C81+C80</f>
        <v>28.4</v>
      </c>
      <c r="D82" s="80"/>
      <c r="E82" s="85" t="s">
        <v>1201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1202</v>
      </c>
      <c r="C83" s="168">
        <f>Scénario!K4+Scénario!K6</f>
        <v>1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1203</v>
      </c>
      <c r="C84" s="168">
        <f>ROUND(C70/C82,3)</f>
        <v>1.3420000000000001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1204</v>
      </c>
      <c r="B85" s="14" t="s">
        <v>1205</v>
      </c>
      <c r="C85" s="168">
        <f>'Calcul éco'!$U$228</f>
        <v>12.9</v>
      </c>
      <c r="D85" s="260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1206</v>
      </c>
      <c r="C86" s="168">
        <f>'Calcul éco'!$V$228</f>
        <v>10.400000000000002</v>
      </c>
      <c r="D86" s="260">
        <f t="shared" ref="D86:D97" si="14">ROUND(C86*$D$82/$C$82,3)</f>
        <v>0</v>
      </c>
      <c r="AT86" s="184" t="s">
        <v>774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774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774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1207</v>
      </c>
      <c r="C87" s="168">
        <f>'Calcul éco'!$W$228</f>
        <v>0</v>
      </c>
      <c r="D87" s="260">
        <f t="shared" si="14"/>
        <v>0</v>
      </c>
      <c r="AT87" s="182" t="str">
        <f>CdTrp1!A15</f>
        <v>laitiéres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775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548</v>
      </c>
      <c r="C88" s="168">
        <f>Scénario!K43</f>
        <v>1.29</v>
      </c>
      <c r="D88" s="260">
        <f t="shared" si="14"/>
        <v>0</v>
      </c>
      <c r="AT88" s="182" t="str">
        <f>CdTrp1!A16</f>
        <v>agnelles</v>
      </c>
      <c r="AU88" s="185" t="str">
        <f>Scénario!K97</f>
        <v>fort</v>
      </c>
      <c r="AV88" s="168">
        <f t="shared" si="15"/>
        <v>2</v>
      </c>
      <c r="AW88" s="168">
        <f t="shared" si="15"/>
        <v>2</v>
      </c>
      <c r="AX88" s="168">
        <f t="shared" si="15"/>
        <v>2</v>
      </c>
      <c r="AY88" s="168">
        <f t="shared" si="15"/>
        <v>2</v>
      </c>
      <c r="AZ88" s="168">
        <f t="shared" si="15"/>
        <v>2</v>
      </c>
      <c r="BA88" s="168">
        <f t="shared" si="15"/>
        <v>2</v>
      </c>
      <c r="BB88" s="168">
        <f t="shared" si="15"/>
        <v>2</v>
      </c>
      <c r="BC88" s="168">
        <f t="shared" si="15"/>
        <v>2</v>
      </c>
      <c r="BD88" s="168">
        <f t="shared" si="15"/>
        <v>2</v>
      </c>
      <c r="BE88" s="168">
        <f t="shared" si="15"/>
        <v>2</v>
      </c>
      <c r="BF88" s="168">
        <f t="shared" si="15"/>
        <v>2</v>
      </c>
      <c r="BG88" s="168">
        <f t="shared" si="15"/>
        <v>2</v>
      </c>
      <c r="BH88" s="168">
        <f t="shared" si="15"/>
        <v>2</v>
      </c>
      <c r="BI88" s="168">
        <f t="shared" si="15"/>
        <v>2</v>
      </c>
      <c r="BJ88" s="168">
        <f t="shared" si="15"/>
        <v>2</v>
      </c>
      <c r="BK88" s="168">
        <f t="shared" si="15"/>
        <v>2</v>
      </c>
      <c r="BL88" s="168">
        <f t="shared" si="16"/>
        <v>2</v>
      </c>
      <c r="BM88" s="168">
        <f t="shared" si="16"/>
        <v>2</v>
      </c>
      <c r="BN88" s="168">
        <f t="shared" si="16"/>
        <v>2</v>
      </c>
      <c r="BO88" s="168">
        <f t="shared" si="16"/>
        <v>2</v>
      </c>
      <c r="BP88" s="168">
        <f t="shared" si="16"/>
        <v>2</v>
      </c>
      <c r="BQ88" s="168">
        <f t="shared" si="16"/>
        <v>2</v>
      </c>
      <c r="BR88" s="168">
        <f t="shared" si="16"/>
        <v>2</v>
      </c>
      <c r="BS88" s="168">
        <f t="shared" si="16"/>
        <v>2</v>
      </c>
      <c r="BU88">
        <v>2</v>
      </c>
      <c r="BV88" t="s">
        <v>623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0</v>
      </c>
      <c r="CC88" s="168">
        <f t="shared" si="18"/>
        <v>0</v>
      </c>
      <c r="CD88" s="168">
        <f t="shared" si="18"/>
        <v>0</v>
      </c>
      <c r="CE88" s="168">
        <f t="shared" si="18"/>
        <v>0</v>
      </c>
      <c r="CF88" s="168">
        <f t="shared" si="18"/>
        <v>0</v>
      </c>
      <c r="CG88" s="168">
        <f t="shared" si="18"/>
        <v>0</v>
      </c>
      <c r="CH88" s="168">
        <f t="shared" si="18"/>
        <v>0</v>
      </c>
      <c r="CI88" s="168">
        <f t="shared" si="18"/>
        <v>0</v>
      </c>
      <c r="CJ88" s="168">
        <f t="shared" si="18"/>
        <v>0</v>
      </c>
      <c r="CK88" s="168">
        <f t="shared" si="18"/>
        <v>0</v>
      </c>
      <c r="CL88" s="168">
        <f t="shared" si="18"/>
        <v>0</v>
      </c>
      <c r="CM88" s="168">
        <f t="shared" si="18"/>
        <v>0</v>
      </c>
      <c r="CN88" s="168">
        <f t="shared" si="18"/>
        <v>0</v>
      </c>
      <c r="CO88" s="168">
        <f t="shared" si="18"/>
        <v>0</v>
      </c>
      <c r="CP88" s="168">
        <f t="shared" si="18"/>
        <v>0</v>
      </c>
      <c r="CQ88" s="168">
        <f t="shared" si="18"/>
        <v>0</v>
      </c>
      <c r="CR88" s="168">
        <f t="shared" si="18"/>
        <v>0</v>
      </c>
      <c r="CS88" s="168">
        <f t="shared" si="18"/>
        <v>0</v>
      </c>
      <c r="CT88" s="168">
        <f t="shared" si="18"/>
        <v>0</v>
      </c>
      <c r="CU88" s="168">
        <f t="shared" si="18"/>
        <v>0</v>
      </c>
      <c r="CV88" s="168">
        <f t="shared" si="18"/>
        <v>0</v>
      </c>
      <c r="CW88" s="168">
        <f t="shared" si="18"/>
        <v>0</v>
      </c>
      <c r="CX88" s="168">
        <f t="shared" si="18"/>
        <v>0</v>
      </c>
      <c r="CY88" s="168">
        <f t="shared" si="18"/>
        <v>0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537</v>
      </c>
      <c r="C89" s="168">
        <f>Scénario!K32</f>
        <v>10</v>
      </c>
      <c r="D89" s="260">
        <f t="shared" si="14"/>
        <v>0</v>
      </c>
      <c r="AT89" s="182" t="str">
        <f>CdTrp1!A17</f>
        <v>vides + mammites</v>
      </c>
      <c r="AU89" s="185" t="str">
        <f>Scénario!K98</f>
        <v>fort</v>
      </c>
      <c r="AV89" s="168">
        <f t="shared" si="15"/>
        <v>2</v>
      </c>
      <c r="AW89" s="168">
        <f t="shared" si="15"/>
        <v>2</v>
      </c>
      <c r="AX89" s="168">
        <f t="shared" si="15"/>
        <v>2</v>
      </c>
      <c r="AY89" s="168">
        <f t="shared" si="15"/>
        <v>2</v>
      </c>
      <c r="AZ89" s="168">
        <f t="shared" si="15"/>
        <v>2</v>
      </c>
      <c r="BA89" s="168">
        <f t="shared" si="15"/>
        <v>2</v>
      </c>
      <c r="BB89" s="168">
        <f t="shared" si="15"/>
        <v>2</v>
      </c>
      <c r="BC89" s="168">
        <f t="shared" si="15"/>
        <v>2</v>
      </c>
      <c r="BD89" s="168">
        <f t="shared" si="15"/>
        <v>2</v>
      </c>
      <c r="BE89" s="168">
        <f t="shared" si="15"/>
        <v>2</v>
      </c>
      <c r="BF89" s="168">
        <f t="shared" si="15"/>
        <v>2</v>
      </c>
      <c r="BG89" s="168">
        <f t="shared" si="15"/>
        <v>2</v>
      </c>
      <c r="BH89" s="168">
        <f t="shared" si="15"/>
        <v>2</v>
      </c>
      <c r="BI89" s="168">
        <f t="shared" si="15"/>
        <v>2</v>
      </c>
      <c r="BJ89" s="168">
        <f t="shared" si="15"/>
        <v>2</v>
      </c>
      <c r="BK89" s="168">
        <f t="shared" si="15"/>
        <v>2</v>
      </c>
      <c r="BL89" s="168">
        <f t="shared" si="16"/>
        <v>2</v>
      </c>
      <c r="BM89" s="168">
        <f t="shared" si="16"/>
        <v>2</v>
      </c>
      <c r="BN89" s="168">
        <f t="shared" si="16"/>
        <v>2</v>
      </c>
      <c r="BO89" s="168">
        <f t="shared" si="16"/>
        <v>2</v>
      </c>
      <c r="BP89" s="168">
        <f t="shared" si="16"/>
        <v>2</v>
      </c>
      <c r="BQ89" s="168">
        <f t="shared" si="16"/>
        <v>2</v>
      </c>
      <c r="BR89" s="168">
        <f t="shared" si="16"/>
        <v>2</v>
      </c>
      <c r="BS89" s="168">
        <f t="shared" si="16"/>
        <v>2</v>
      </c>
      <c r="BU89">
        <v>1</v>
      </c>
      <c r="BV89" t="s">
        <v>624</v>
      </c>
      <c r="BZ89" s="182" t="str">
        <f t="shared" si="17"/>
        <v>lot3</v>
      </c>
      <c r="CA89" s="185">
        <f>Scénario!K108</f>
        <v>0</v>
      </c>
      <c r="CB89" s="168">
        <f t="shared" si="21"/>
        <v>0</v>
      </c>
      <c r="CC89" s="168">
        <f t="shared" si="18"/>
        <v>0</v>
      </c>
      <c r="CD89" s="168">
        <f t="shared" si="18"/>
        <v>0</v>
      </c>
      <c r="CE89" s="168">
        <f t="shared" si="18"/>
        <v>0</v>
      </c>
      <c r="CF89" s="168">
        <f t="shared" si="18"/>
        <v>0</v>
      </c>
      <c r="CG89" s="168">
        <f t="shared" si="18"/>
        <v>0</v>
      </c>
      <c r="CH89" s="168">
        <f t="shared" si="18"/>
        <v>0</v>
      </c>
      <c r="CI89" s="168">
        <f t="shared" si="18"/>
        <v>0</v>
      </c>
      <c r="CJ89" s="168">
        <f t="shared" si="18"/>
        <v>0</v>
      </c>
      <c r="CK89" s="168">
        <f t="shared" si="18"/>
        <v>0</v>
      </c>
      <c r="CL89" s="168">
        <f t="shared" si="18"/>
        <v>0</v>
      </c>
      <c r="CM89" s="168">
        <f t="shared" si="18"/>
        <v>0</v>
      </c>
      <c r="CN89" s="168">
        <f t="shared" si="18"/>
        <v>0</v>
      </c>
      <c r="CO89" s="168">
        <f t="shared" si="18"/>
        <v>0</v>
      </c>
      <c r="CP89" s="168">
        <f t="shared" si="18"/>
        <v>0</v>
      </c>
      <c r="CQ89" s="168">
        <f t="shared" si="18"/>
        <v>0</v>
      </c>
      <c r="CR89" s="168">
        <f t="shared" si="18"/>
        <v>0</v>
      </c>
      <c r="CS89" s="168">
        <f t="shared" si="18"/>
        <v>0</v>
      </c>
      <c r="CT89" s="168">
        <f t="shared" si="18"/>
        <v>0</v>
      </c>
      <c r="CU89" s="168">
        <f t="shared" si="18"/>
        <v>0</v>
      </c>
      <c r="CV89" s="168">
        <f t="shared" si="18"/>
        <v>0</v>
      </c>
      <c r="CW89" s="168">
        <f t="shared" si="18"/>
        <v>0</v>
      </c>
      <c r="CX89" s="168">
        <f t="shared" si="18"/>
        <v>0</v>
      </c>
      <c r="CY89" s="168">
        <f t="shared" si="18"/>
        <v>0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1208</v>
      </c>
      <c r="B90" s="14" t="s">
        <v>308</v>
      </c>
      <c r="C90" s="168">
        <f>Scénario!K34</f>
        <v>0</v>
      </c>
      <c r="D90" s="260">
        <f t="shared" si="14"/>
        <v>0</v>
      </c>
      <c r="G90" s="85" t="s">
        <v>1209</v>
      </c>
      <c r="AT90" s="182" t="str">
        <f>CdTrp1!A18</f>
        <v>béliers</v>
      </c>
      <c r="AU90" s="185" t="str">
        <f>Scénario!K99</f>
        <v>fort</v>
      </c>
      <c r="AV90" s="168">
        <f t="shared" si="15"/>
        <v>2</v>
      </c>
      <c r="AW90" s="168">
        <f t="shared" si="15"/>
        <v>2</v>
      </c>
      <c r="AX90" s="168">
        <f t="shared" si="15"/>
        <v>2</v>
      </c>
      <c r="AY90" s="168">
        <f t="shared" si="15"/>
        <v>2</v>
      </c>
      <c r="AZ90" s="168">
        <f t="shared" si="15"/>
        <v>2</v>
      </c>
      <c r="BA90" s="168">
        <f t="shared" si="15"/>
        <v>2</v>
      </c>
      <c r="BB90" s="168">
        <f t="shared" si="15"/>
        <v>2</v>
      </c>
      <c r="BC90" s="168">
        <f t="shared" si="15"/>
        <v>2</v>
      </c>
      <c r="BD90" s="168">
        <f t="shared" si="15"/>
        <v>2</v>
      </c>
      <c r="BE90" s="168">
        <f t="shared" si="15"/>
        <v>2</v>
      </c>
      <c r="BF90" s="168">
        <f t="shared" si="15"/>
        <v>2</v>
      </c>
      <c r="BG90" s="168">
        <f t="shared" si="15"/>
        <v>2</v>
      </c>
      <c r="BH90" s="168">
        <f t="shared" si="15"/>
        <v>2</v>
      </c>
      <c r="BI90" s="168">
        <f t="shared" si="15"/>
        <v>2</v>
      </c>
      <c r="BJ90" s="168">
        <f t="shared" si="15"/>
        <v>2</v>
      </c>
      <c r="BK90" s="168">
        <f t="shared" si="15"/>
        <v>2</v>
      </c>
      <c r="BL90" s="168">
        <f t="shared" si="16"/>
        <v>2</v>
      </c>
      <c r="BM90" s="168">
        <f t="shared" si="16"/>
        <v>2</v>
      </c>
      <c r="BN90" s="168">
        <f t="shared" si="16"/>
        <v>2</v>
      </c>
      <c r="BO90" s="168">
        <f t="shared" si="16"/>
        <v>2</v>
      </c>
      <c r="BP90" s="168">
        <f t="shared" si="16"/>
        <v>2</v>
      </c>
      <c r="BQ90" s="168">
        <f t="shared" si="16"/>
        <v>2</v>
      </c>
      <c r="BR90" s="168">
        <f t="shared" si="16"/>
        <v>2</v>
      </c>
      <c r="BS90" s="168">
        <f t="shared" si="16"/>
        <v>2</v>
      </c>
      <c r="BZ90" s="182" t="str">
        <f t="shared" si="17"/>
        <v>lot4</v>
      </c>
      <c r="CA90" s="185">
        <f>Scénario!K109</f>
        <v>0</v>
      </c>
      <c r="CB90" s="168">
        <f t="shared" si="21"/>
        <v>0</v>
      </c>
      <c r="CC90" s="168">
        <f t="shared" si="18"/>
        <v>0</v>
      </c>
      <c r="CD90" s="168">
        <f t="shared" si="18"/>
        <v>0</v>
      </c>
      <c r="CE90" s="168">
        <f t="shared" si="18"/>
        <v>0</v>
      </c>
      <c r="CF90" s="168">
        <f t="shared" si="18"/>
        <v>0</v>
      </c>
      <c r="CG90" s="168">
        <f t="shared" si="18"/>
        <v>0</v>
      </c>
      <c r="CH90" s="168">
        <f t="shared" si="18"/>
        <v>0</v>
      </c>
      <c r="CI90" s="168">
        <f t="shared" si="18"/>
        <v>0</v>
      </c>
      <c r="CJ90" s="168">
        <f t="shared" si="18"/>
        <v>0</v>
      </c>
      <c r="CK90" s="168">
        <f t="shared" si="18"/>
        <v>0</v>
      </c>
      <c r="CL90" s="168">
        <f t="shared" si="18"/>
        <v>0</v>
      </c>
      <c r="CM90" s="168">
        <f t="shared" si="18"/>
        <v>0</v>
      </c>
      <c r="CN90" s="168">
        <f t="shared" si="18"/>
        <v>0</v>
      </c>
      <c r="CO90" s="168">
        <f t="shared" si="18"/>
        <v>0</v>
      </c>
      <c r="CP90" s="168">
        <f t="shared" si="18"/>
        <v>0</v>
      </c>
      <c r="CQ90" s="168">
        <f t="shared" si="18"/>
        <v>0</v>
      </c>
      <c r="CR90" s="168">
        <f t="shared" si="18"/>
        <v>0</v>
      </c>
      <c r="CS90" s="168">
        <f t="shared" si="18"/>
        <v>0</v>
      </c>
      <c r="CT90" s="168">
        <f t="shared" si="18"/>
        <v>0</v>
      </c>
      <c r="CU90" s="168">
        <f t="shared" si="18"/>
        <v>0</v>
      </c>
      <c r="CV90" s="168">
        <f t="shared" si="18"/>
        <v>0</v>
      </c>
      <c r="CW90" s="168">
        <f t="shared" si="18"/>
        <v>0</v>
      </c>
      <c r="CX90" s="168">
        <f t="shared" si="18"/>
        <v>0</v>
      </c>
      <c r="CY90" s="168">
        <f t="shared" si="18"/>
        <v>0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540</v>
      </c>
      <c r="C91" s="168">
        <f>Scénario!K35</f>
        <v>0</v>
      </c>
      <c r="D91" s="260">
        <f t="shared" si="14"/>
        <v>0</v>
      </c>
      <c r="AT91" s="182">
        <f>CdTrp1!A19</f>
        <v>0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541</v>
      </c>
      <c r="C92" s="168">
        <f>Scénario!K36</f>
        <v>0</v>
      </c>
      <c r="D92" s="260">
        <f t="shared" si="14"/>
        <v>0</v>
      </c>
      <c r="G92" s="2" t="s">
        <v>1210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542</v>
      </c>
      <c r="C93" s="168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543</v>
      </c>
      <c r="C94" s="168">
        <f>Scénario!K38</f>
        <v>0</v>
      </c>
      <c r="D94" s="260">
        <f t="shared" si="14"/>
        <v>0</v>
      </c>
      <c r="F94" s="14" t="s">
        <v>901</v>
      </c>
      <c r="G94" s="30" t="str">
        <f>CdTrp1!A88</f>
        <v>laitiéres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1211</v>
      </c>
      <c r="C95" s="168">
        <f>'Calcul éco'!B39</f>
        <v>0</v>
      </c>
      <c r="D95" s="260">
        <f>ROUND(C95*$D$82/$C$82,3)</f>
        <v>0</v>
      </c>
      <c r="F95" s="14"/>
      <c r="G95" s="261" t="str">
        <f>CdTrp1!A89</f>
        <v>agnelles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544</v>
      </c>
      <c r="C96" s="168">
        <f>Scénario!K39</f>
        <v>0</v>
      </c>
      <c r="D96" s="260">
        <f t="shared" si="14"/>
        <v>0</v>
      </c>
      <c r="F96" s="14"/>
      <c r="G96" s="261" t="str">
        <f>CdTrp1!A90</f>
        <v>vides + mammites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2</v>
      </c>
      <c r="O96" s="30">
        <f>CdTrp1!I78</f>
        <v>2</v>
      </c>
      <c r="P96" s="30">
        <f>CdTrp1!J78</f>
        <v>2</v>
      </c>
      <c r="Q96" s="30">
        <f>CdTrp1!K78</f>
        <v>2</v>
      </c>
      <c r="R96" s="30">
        <f>CdTrp1!L78</f>
        <v>2</v>
      </c>
      <c r="S96" s="30">
        <f>CdTrp1!M78</f>
        <v>2</v>
      </c>
      <c r="T96" s="30">
        <f>CdTrp1!N78</f>
        <v>2</v>
      </c>
      <c r="U96" s="30">
        <f>CdTrp1!O78</f>
        <v>2</v>
      </c>
      <c r="V96" s="30">
        <f>CdTrp1!P78</f>
        <v>2</v>
      </c>
      <c r="W96" s="30">
        <f>CdTrp1!Q78</f>
        <v>2</v>
      </c>
      <c r="X96" s="30">
        <f>CdTrp1!R78</f>
        <v>2</v>
      </c>
      <c r="Y96" s="30">
        <f>CdTrp1!S78</f>
        <v>2</v>
      </c>
      <c r="Z96" s="30">
        <f>CdTrp1!T78</f>
        <v>2</v>
      </c>
      <c r="AA96" s="30">
        <f>CdTrp1!U78</f>
        <v>2</v>
      </c>
      <c r="AB96" s="30">
        <f>CdTrp1!V78</f>
        <v>2</v>
      </c>
      <c r="AC96" s="30">
        <f>CdTrp1!W78</f>
        <v>2</v>
      </c>
      <c r="AD96" s="30">
        <f>CdTrp1!X78</f>
        <v>2</v>
      </c>
      <c r="AE96" s="30">
        <f>CdTrp1!Y78</f>
        <v>2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1212</v>
      </c>
      <c r="B97" s="14" t="s">
        <v>1213</v>
      </c>
      <c r="C97" s="168">
        <f>C90+C75+C73</f>
        <v>18.399999999999999</v>
      </c>
      <c r="D97" s="260">
        <f t="shared" si="1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736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736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736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1214</v>
      </c>
      <c r="B98" s="14" t="s">
        <v>1215</v>
      </c>
      <c r="C98" s="168">
        <f>MAX(H129:AE129)</f>
        <v>2</v>
      </c>
      <c r="D98" s="168">
        <f>C98</f>
        <v>2</v>
      </c>
      <c r="F98" s="14"/>
      <c r="G98" s="261">
        <f>CdTrp1!A92</f>
        <v>0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laitiéres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2</v>
      </c>
      <c r="AZ98" s="168">
        <f>IF(CdTrp1!F52=1,3,IF(CdTrp1!F52=0.5,2,IF(CdTrp1!F52=0,1,0)))</f>
        <v>2</v>
      </c>
      <c r="BA98" s="168">
        <f>IF(CdTrp1!G52=1,3,IF(CdTrp1!G52=0.5,2,IF(CdTrp1!G52=0,1,0)))</f>
        <v>2</v>
      </c>
      <c r="BB98" s="168">
        <f>IF(CdTrp1!H52=1,3,IF(CdTrp1!H52=0.5,2,IF(CdTrp1!H52=0,1,0)))</f>
        <v>2</v>
      </c>
      <c r="BC98" s="168">
        <f>IF(CdTrp1!I52=1,3,IF(CdTrp1!I52=0.5,2,IF(CdTrp1!I52=0,1,0)))</f>
        <v>2</v>
      </c>
      <c r="BD98" s="168">
        <f>IF(CdTrp1!J52=1,3,IF(CdTrp1!J52=0.5,2,IF(CdTrp1!J52=0,1,0)))</f>
        <v>2</v>
      </c>
      <c r="BE98" s="168">
        <f>IF(CdTrp1!K52=1,3,IF(CdTrp1!K52=0.5,2,IF(CdTrp1!K52=0,1,0)))</f>
        <v>2</v>
      </c>
      <c r="BF98" s="168">
        <f>IF(CdTrp1!L52=1,3,IF(CdTrp1!L52=0.5,2,IF(CdTrp1!L52=0,1,0)))</f>
        <v>2</v>
      </c>
      <c r="BG98" s="168">
        <f>IF(CdTrp1!M52=1,3,IF(CdTrp1!M52=0.5,2,IF(CdTrp1!M52=0,1,0)))</f>
        <v>2</v>
      </c>
      <c r="BH98" s="168">
        <f>IF(CdTrp1!N52=1,3,IF(CdTrp1!N52=0.5,2,IF(CdTrp1!N52=0,1,0)))</f>
        <v>2</v>
      </c>
      <c r="BI98" s="168">
        <f>IF(CdTrp1!O52=1,3,IF(CdTrp1!O52=0.5,2,IF(CdTrp1!O52=0,1,0)))</f>
        <v>2</v>
      </c>
      <c r="BJ98" s="168">
        <f>IF(CdTrp1!P52=1,3,IF(CdTrp1!P52=0.5,2,IF(CdTrp1!P52=0,1,0)))</f>
        <v>2</v>
      </c>
      <c r="BK98" s="168">
        <f>IF(CdTrp1!Q52=1,3,IF(CdTrp1!Q52=0.5,2,IF(CdTrp1!Q52=0,1,0)))</f>
        <v>2</v>
      </c>
      <c r="BL98" s="168">
        <f>IF(CdTrp1!R52=1,3,IF(CdTrp1!R52=0.5,2,IF(CdTrp1!R52=0,1,0)))</f>
        <v>2</v>
      </c>
      <c r="BM98" s="168">
        <f>IF(CdTrp1!S52=1,3,IF(CdTrp1!S52=0.5,2,IF(CdTrp1!S52=0,1,0)))</f>
        <v>2</v>
      </c>
      <c r="BN98" s="168">
        <f>IF(CdTrp1!T52=1,3,IF(CdTrp1!T52=0.5,2,IF(CdTrp1!T52=0,1,0)))</f>
        <v>2</v>
      </c>
      <c r="BO98" s="168">
        <f>IF(CdTrp1!U52=1,3,IF(CdTrp1!U52=0.5,2,IF(CdTrp1!U52=0,1,0)))</f>
        <v>2</v>
      </c>
      <c r="BP98" s="168">
        <f>IF(CdTrp1!V52=1,3,IF(CdTrp1!V52=0.5,2,IF(CdTrp1!V52=0,1,0)))</f>
        <v>2</v>
      </c>
      <c r="BQ98" s="168">
        <f>IF(CdTrp1!W52=1,3,IF(CdTrp1!W52=0.5,2,IF(CdTrp1!W52=0,1,0)))</f>
        <v>2</v>
      </c>
      <c r="BR98" s="168">
        <f>IF(CdTrp1!X52=1,3,IF(CdTrp1!X52=0.5,2,IF(CdTrp1!X52=0,1,0)))</f>
        <v>2</v>
      </c>
      <c r="BS98" s="168">
        <f>IF(CdTrp1!Y52=1,3,IF(CdTrp1!Y52=0.5,2,IF(CdTrp1!Y52=0,1,0)))</f>
        <v>3</v>
      </c>
      <c r="BU98">
        <v>3</v>
      </c>
      <c r="BV98" t="s">
        <v>783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1216</v>
      </c>
      <c r="B99" s="14" t="s">
        <v>1217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2" t="str">
        <f>CdTrp1!$A53</f>
        <v>agnelles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3</v>
      </c>
      <c r="AY99" s="168">
        <f>IF(CdTrp1!E53=1,3,IF(CdTrp1!E53=0.5,2,IF(CdTrp1!E53=0,1,0)))</f>
        <v>3</v>
      </c>
      <c r="AZ99" s="168">
        <f>IF(CdTrp1!F53=1,3,IF(CdTrp1!F53=0.5,2,IF(CdTrp1!F53=0,1,0)))</f>
        <v>3</v>
      </c>
      <c r="BA99" s="168">
        <f>IF(CdTrp1!G53=1,3,IF(CdTrp1!G53=0.5,2,IF(CdTrp1!G53=0,1,0)))</f>
        <v>3</v>
      </c>
      <c r="BB99" s="168">
        <f>IF(CdTrp1!H53=1,3,IF(CdTrp1!H53=0.5,2,IF(CdTrp1!H53=0,1,0)))</f>
        <v>3</v>
      </c>
      <c r="BC99" s="168">
        <f>IF(CdTrp1!I53=1,3,IF(CdTrp1!I53=0.5,2,IF(CdTrp1!I53=0,1,0)))</f>
        <v>3</v>
      </c>
      <c r="BD99" s="168">
        <f>IF(CdTrp1!J53=1,3,IF(CdTrp1!J53=0.5,2,IF(CdTrp1!J53=0,1,0)))</f>
        <v>3</v>
      </c>
      <c r="BE99" s="168">
        <f>IF(CdTrp1!K53=1,3,IF(CdTrp1!K53=0.5,2,IF(CdTrp1!K53=0,1,0)))</f>
        <v>3</v>
      </c>
      <c r="BF99" s="168">
        <f>IF(CdTrp1!L53=1,3,IF(CdTrp1!L53=0.5,2,IF(CdTrp1!L53=0,1,0)))</f>
        <v>3</v>
      </c>
      <c r="BG99" s="168">
        <f>IF(CdTrp1!M53=1,3,IF(CdTrp1!M53=0.5,2,IF(CdTrp1!M53=0,1,0)))</f>
        <v>3</v>
      </c>
      <c r="BH99" s="168">
        <f>IF(CdTrp1!N53=1,3,IF(CdTrp1!N53=0.5,2,IF(CdTrp1!N53=0,1,0)))</f>
        <v>3</v>
      </c>
      <c r="BI99" s="168">
        <f>IF(CdTrp1!O53=1,3,IF(CdTrp1!O53=0.5,2,IF(CdTrp1!O53=0,1,0)))</f>
        <v>3</v>
      </c>
      <c r="BJ99" s="168">
        <f>IF(CdTrp1!P53=1,3,IF(CdTrp1!P53=0.5,2,IF(CdTrp1!P53=0,1,0)))</f>
        <v>3</v>
      </c>
      <c r="BK99" s="168">
        <f>IF(CdTrp1!Q53=1,3,IF(CdTrp1!Q53=0.5,2,IF(CdTrp1!Q53=0,1,0)))</f>
        <v>3</v>
      </c>
      <c r="BL99" s="168">
        <f>IF(CdTrp1!R53=1,3,IF(CdTrp1!R53=0.5,2,IF(CdTrp1!R53=0,1,0)))</f>
        <v>3</v>
      </c>
      <c r="BM99" s="168">
        <f>IF(CdTrp1!S53=1,3,IF(CdTrp1!S53=0.5,2,IF(CdTrp1!S53=0,1,0)))</f>
        <v>3</v>
      </c>
      <c r="BN99" s="168">
        <f>IF(CdTrp1!T53=1,3,IF(CdTrp1!T53=0.5,2,IF(CdTrp1!T53=0,1,0)))</f>
        <v>3</v>
      </c>
      <c r="BO99" s="168">
        <f>IF(CdTrp1!U53=1,3,IF(CdTrp1!U53=0.5,2,IF(CdTrp1!U53=0,1,0)))</f>
        <v>3</v>
      </c>
      <c r="BP99" s="168">
        <f>IF(CdTrp1!V53=1,3,IF(CdTrp1!V53=0.5,2,IF(CdTrp1!V53=0,1,0)))</f>
        <v>3</v>
      </c>
      <c r="BQ99" s="168">
        <f>IF(CdTrp1!W53=1,3,IF(CdTrp1!W53=0.5,2,IF(CdTrp1!W53=0,1,0)))</f>
        <v>3</v>
      </c>
      <c r="BR99" s="168">
        <f>IF(CdTrp1!X53=1,3,IF(CdTrp1!X53=0.5,2,IF(CdTrp1!X53=0,1,0)))</f>
        <v>3</v>
      </c>
      <c r="BS99" s="168">
        <f>IF(CdTrp1!Y53=1,3,IF(CdTrp1!Y53=0.5,2,IF(CdTrp1!Y53=0,1,0)))</f>
        <v>3</v>
      </c>
      <c r="BU99">
        <v>2</v>
      </c>
      <c r="BV99" t="s">
        <v>787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1218</v>
      </c>
      <c r="B100" s="14" t="s">
        <v>1219</v>
      </c>
      <c r="C100" s="168">
        <f>MAX(H131:AE131)</f>
        <v>0</v>
      </c>
      <c r="D100" s="168">
        <f t="shared" si="25"/>
        <v>0</v>
      </c>
      <c r="F100" s="14"/>
      <c r="G100" s="261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2" t="str">
        <f>CdTrp1!$A54</f>
        <v>vides + mammites</v>
      </c>
      <c r="AU100" s="32"/>
      <c r="AV100" s="168">
        <f>IF(CdTrp1!B54=1,3,IF(CdTrp1!B54=0.5,2,IF(CdTrp1!B54=0,1,0)))</f>
        <v>2</v>
      </c>
      <c r="AW100" s="168">
        <f>IF(CdTrp1!C54=1,3,IF(CdTrp1!C54=0.5,2,IF(CdTrp1!C54=0,1,0)))</f>
        <v>2</v>
      </c>
      <c r="AX100" s="168">
        <f>IF(CdTrp1!D54=1,3,IF(CdTrp1!D54=0.5,2,IF(CdTrp1!D54=0,1,0)))</f>
        <v>2</v>
      </c>
      <c r="AY100" s="168">
        <f>IF(CdTrp1!E54=1,3,IF(CdTrp1!E54=0.5,2,IF(CdTrp1!E54=0,1,0)))</f>
        <v>2</v>
      </c>
      <c r="AZ100" s="168">
        <f>IF(CdTrp1!F54=1,3,IF(CdTrp1!F54=0.5,2,IF(CdTrp1!F54=0,1,0)))</f>
        <v>2</v>
      </c>
      <c r="BA100" s="168">
        <f>IF(CdTrp1!G54=1,3,IF(CdTrp1!G54=0.5,2,IF(CdTrp1!G54=0,1,0)))</f>
        <v>2</v>
      </c>
      <c r="BB100" s="168">
        <f>IF(CdTrp1!H54=1,3,IF(CdTrp1!H54=0.5,2,IF(CdTrp1!H54=0,1,0)))</f>
        <v>2</v>
      </c>
      <c r="BC100" s="168">
        <f>IF(CdTrp1!I54=1,3,IF(CdTrp1!I54=0.5,2,IF(CdTrp1!I54=0,1,0)))</f>
        <v>2</v>
      </c>
      <c r="BD100" s="168">
        <f>IF(CdTrp1!J54=1,3,IF(CdTrp1!J54=0.5,2,IF(CdTrp1!J54=0,1,0)))</f>
        <v>2</v>
      </c>
      <c r="BE100" s="168">
        <f>IF(CdTrp1!K54=1,3,IF(CdTrp1!K54=0.5,2,IF(CdTrp1!K54=0,1,0)))</f>
        <v>2</v>
      </c>
      <c r="BF100" s="168">
        <f>IF(CdTrp1!L54=1,3,IF(CdTrp1!L54=0.5,2,IF(CdTrp1!L54=0,1,0)))</f>
        <v>2</v>
      </c>
      <c r="BG100" s="168">
        <f>IF(CdTrp1!M54=1,3,IF(CdTrp1!M54=0.5,2,IF(CdTrp1!M54=0,1,0)))</f>
        <v>2</v>
      </c>
      <c r="BH100" s="168">
        <f>IF(CdTrp1!N54=1,3,IF(CdTrp1!N54=0.5,2,IF(CdTrp1!N54=0,1,0)))</f>
        <v>2</v>
      </c>
      <c r="BI100" s="168">
        <f>IF(CdTrp1!O54=1,3,IF(CdTrp1!O54=0.5,2,IF(CdTrp1!O54=0,1,0)))</f>
        <v>2</v>
      </c>
      <c r="BJ100" s="168">
        <f>IF(CdTrp1!P54=1,3,IF(CdTrp1!P54=0.5,2,IF(CdTrp1!P54=0,1,0)))</f>
        <v>2</v>
      </c>
      <c r="BK100" s="168">
        <f>IF(CdTrp1!Q54=1,3,IF(CdTrp1!Q54=0.5,2,IF(CdTrp1!Q54=0,1,0)))</f>
        <v>2</v>
      </c>
      <c r="BL100" s="168">
        <f>IF(CdTrp1!R54=1,3,IF(CdTrp1!R54=0.5,2,IF(CdTrp1!R54=0,1,0)))</f>
        <v>2</v>
      </c>
      <c r="BM100" s="168">
        <f>IF(CdTrp1!S54=1,3,IF(CdTrp1!S54=0.5,2,IF(CdTrp1!S54=0,1,0)))</f>
        <v>2</v>
      </c>
      <c r="BN100" s="168">
        <f>IF(CdTrp1!T54=1,3,IF(CdTrp1!T54=0.5,2,IF(CdTrp1!T54=0,1,0)))</f>
        <v>2</v>
      </c>
      <c r="BO100" s="168">
        <f>IF(CdTrp1!U54=1,3,IF(CdTrp1!U54=0.5,2,IF(CdTrp1!U54=0,1,0)))</f>
        <v>2</v>
      </c>
      <c r="BP100" s="168">
        <f>IF(CdTrp1!V54=1,3,IF(CdTrp1!V54=0.5,2,IF(CdTrp1!V54=0,1,0)))</f>
        <v>2</v>
      </c>
      <c r="BQ100" s="168">
        <f>IF(CdTrp1!W54=1,3,IF(CdTrp1!W54=0.5,2,IF(CdTrp1!W54=0,1,0)))</f>
        <v>2</v>
      </c>
      <c r="BR100" s="168">
        <f>IF(CdTrp1!X54=1,3,IF(CdTrp1!X54=0.5,2,IF(CdTrp1!X54=0,1,0)))</f>
        <v>2</v>
      </c>
      <c r="BS100" s="168">
        <f>IF(CdTrp1!Y54=1,3,IF(CdTrp1!Y54=0.5,2,IF(CdTrp1!Y54=0,1,0)))</f>
        <v>2</v>
      </c>
      <c r="BU100">
        <v>1</v>
      </c>
      <c r="BV100" t="s">
        <v>788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1220</v>
      </c>
      <c r="C101" s="168">
        <f>MAX(H132:AE132)</f>
        <v>2</v>
      </c>
      <c r="D101" s="168">
        <f t="shared" si="25"/>
        <v>2</v>
      </c>
      <c r="F101" s="14"/>
      <c r="G101" s="261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3</v>
      </c>
      <c r="AW101" s="168">
        <f>IF(CdTrp1!C55=1,3,IF(CdTrp1!C55=0.5,2,IF(CdTrp1!C55=0,1,0)))</f>
        <v>3</v>
      </c>
      <c r="AX101" s="168">
        <f>IF(CdTrp1!D55=1,3,IF(CdTrp1!D55=0.5,2,IF(CdTrp1!D55=0,1,0)))</f>
        <v>3</v>
      </c>
      <c r="AY101" s="168">
        <f>IF(CdTrp1!E55=1,3,IF(CdTrp1!E55=0.5,2,IF(CdTrp1!E55=0,1,0)))</f>
        <v>3</v>
      </c>
      <c r="AZ101" s="168">
        <f>IF(CdTrp1!F55=1,3,IF(CdTrp1!F55=0.5,2,IF(CdTrp1!F55=0,1,0)))</f>
        <v>3</v>
      </c>
      <c r="BA101" s="168">
        <f>IF(CdTrp1!G55=1,3,IF(CdTrp1!G55=0.5,2,IF(CdTrp1!G55=0,1,0)))</f>
        <v>3</v>
      </c>
      <c r="BB101" s="168">
        <f>IF(CdTrp1!H55=1,3,IF(CdTrp1!H55=0.5,2,IF(CdTrp1!H55=0,1,0)))</f>
        <v>3</v>
      </c>
      <c r="BC101" s="168">
        <f>IF(CdTrp1!I55=1,3,IF(CdTrp1!I55=0.5,2,IF(CdTrp1!I55=0,1,0)))</f>
        <v>3</v>
      </c>
      <c r="BD101" s="168">
        <f>IF(CdTrp1!J55=1,3,IF(CdTrp1!J55=0.5,2,IF(CdTrp1!J55=0,1,0)))</f>
        <v>3</v>
      </c>
      <c r="BE101" s="168">
        <f>IF(CdTrp1!K55=1,3,IF(CdTrp1!K55=0.5,2,IF(CdTrp1!K55=0,1,0)))</f>
        <v>3</v>
      </c>
      <c r="BF101" s="168">
        <f>IF(CdTrp1!L55=1,3,IF(CdTrp1!L55=0.5,2,IF(CdTrp1!L55=0,1,0)))</f>
        <v>3</v>
      </c>
      <c r="BG101" s="168">
        <f>IF(CdTrp1!M55=1,3,IF(CdTrp1!M55=0.5,2,IF(CdTrp1!M55=0,1,0)))</f>
        <v>3</v>
      </c>
      <c r="BH101" s="168">
        <f>IF(CdTrp1!N55=1,3,IF(CdTrp1!N55=0.5,2,IF(CdTrp1!N55=0,1,0)))</f>
        <v>3</v>
      </c>
      <c r="BI101" s="168">
        <f>IF(CdTrp1!O55=1,3,IF(CdTrp1!O55=0.5,2,IF(CdTrp1!O55=0,1,0)))</f>
        <v>3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0</v>
      </c>
      <c r="BQ101" s="168">
        <f>IF(CdTrp1!W55=1,3,IF(CdTrp1!W55=0.5,2,IF(CdTrp1!W55=0,1,0)))</f>
        <v>3</v>
      </c>
      <c r="BR101" s="168">
        <f>IF(CdTrp1!X55=1,3,IF(CdTrp1!X55=0.5,2,IF(CdTrp1!X55=0,1,0)))</f>
        <v>3</v>
      </c>
      <c r="BS101" s="168">
        <f>IF(CdTrp1!Y55=1,3,IF(CdTrp1!Y55=0.5,2,IF(CdTrp1!Y55=0,1,0)))</f>
        <v>3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1221</v>
      </c>
      <c r="C102" s="168">
        <f>(24-COUNTIF(H129:AE129,0))/2</f>
        <v>12</v>
      </c>
      <c r="D102" s="168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2">
        <f>CdTrp1!$A56</f>
        <v>0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1222</v>
      </c>
      <c r="C103" s="168">
        <f>(24-COUNTIF(H130:AE130,0))/2</f>
        <v>0</v>
      </c>
      <c r="D103" s="168">
        <f t="shared" si="25"/>
        <v>0</v>
      </c>
      <c r="F103" s="14"/>
      <c r="G103" s="261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1223</v>
      </c>
      <c r="C104" s="168">
        <f>(24-COUNTIF(H131:AE131,0))/2</f>
        <v>0</v>
      </c>
      <c r="D104" s="168">
        <f t="shared" si="25"/>
        <v>0</v>
      </c>
      <c r="F104" s="14" t="s">
        <v>917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2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1224</v>
      </c>
      <c r="C105" s="168">
        <f>(24-COUNTIF(H132:AE132,0))/2</f>
        <v>12</v>
      </c>
      <c r="D105" s="168">
        <f t="shared" si="25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2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1225</v>
      </c>
      <c r="C106" s="168">
        <f>SUM(H129:AE129)/2</f>
        <v>22</v>
      </c>
      <c r="D106" s="168">
        <f t="shared" si="25"/>
        <v>22</v>
      </c>
      <c r="F106" s="14"/>
      <c r="G106" s="261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1226</v>
      </c>
      <c r="C107" s="168">
        <f>SUM(H130:AE130)/2</f>
        <v>0</v>
      </c>
      <c r="D107" s="168">
        <f t="shared" si="25"/>
        <v>0</v>
      </c>
      <c r="F107" s="14"/>
      <c r="G107" s="261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2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1227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790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790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790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1228</v>
      </c>
      <c r="C109" s="168">
        <f>SUM(H132:AE132)/2</f>
        <v>22</v>
      </c>
      <c r="D109" s="168">
        <f t="shared" si="25"/>
        <v>22</v>
      </c>
      <c r="F109" s="14"/>
      <c r="G109" s="261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laitiéres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1</v>
      </c>
      <c r="AZ109" s="168">
        <f>IF(CdTrp1!F76=1,1,IF(CdTrp1!F76=2,2,IF(CdTrp1!F76=3,2,IF(CdTrp1!F76=4,4,0))))</f>
        <v>1</v>
      </c>
      <c r="BA109" s="168">
        <f>IF(CdTrp1!G76=1,1,IF(CdTrp1!G76=2,2,IF(CdTrp1!G76=3,2,IF(CdTrp1!G76=4,4,0))))</f>
        <v>1</v>
      </c>
      <c r="BB109" s="168">
        <f>IF(CdTrp1!H76=1,1,IF(CdTrp1!H76=2,2,IF(CdTrp1!H76=3,2,IF(CdTrp1!H76=4,4,0))))</f>
        <v>1</v>
      </c>
      <c r="BC109" s="168">
        <f>IF(CdTrp1!I76=1,1,IF(CdTrp1!I76=2,2,IF(CdTrp1!I76=3,2,IF(CdTrp1!I76=4,4,0))))</f>
        <v>1</v>
      </c>
      <c r="BD109" s="168">
        <f>IF(CdTrp1!J76=1,1,IF(CdTrp1!J76=2,2,IF(CdTrp1!J76=3,2,IF(CdTrp1!J76=4,4,0))))</f>
        <v>1</v>
      </c>
      <c r="BE109" s="168">
        <f>IF(CdTrp1!K76=1,1,IF(CdTrp1!K76=2,2,IF(CdTrp1!K76=3,2,IF(CdTrp1!K76=4,4,0))))</f>
        <v>1</v>
      </c>
      <c r="BF109" s="168">
        <f>IF(CdTrp1!L76=1,1,IF(CdTrp1!L76=2,2,IF(CdTrp1!L76=3,2,IF(CdTrp1!L76=4,4,0))))</f>
        <v>1</v>
      </c>
      <c r="BG109" s="168">
        <f>IF(CdTrp1!M76=1,1,IF(CdTrp1!M76=2,2,IF(CdTrp1!M76=3,2,IF(CdTrp1!M76=4,4,0))))</f>
        <v>1</v>
      </c>
      <c r="BH109" s="168">
        <v>2</v>
      </c>
      <c r="BI109" s="168">
        <f>IF(CdTrp1!O76=1,1,IF(CdTrp1!O76=2,2,IF(CdTrp1!O76=3,2,IF(CdTrp1!O76=4,4,0))))</f>
        <v>1</v>
      </c>
      <c r="BJ109" s="168">
        <f>IF(CdTrp1!P76=1,1,IF(CdTrp1!P76=2,2,IF(CdTrp1!P76=3,2,IF(CdTrp1!P76=4,4,0))))</f>
        <v>1</v>
      </c>
      <c r="BK109" s="168">
        <f>IF(CdTrp1!Q76=1,1,IF(CdTrp1!Q76=2,2,IF(CdTrp1!Q76=3,2,IF(CdTrp1!Q76=4,4,0))))</f>
        <v>1</v>
      </c>
      <c r="BL109" s="168">
        <f>IF(CdTrp1!R76=1,1,IF(CdTrp1!R76=2,2,IF(CdTrp1!R76=3,2,IF(CdTrp1!R76=4,4,0))))</f>
        <v>1</v>
      </c>
      <c r="BM109" s="168">
        <f>IF(CdTrp1!S76=1,1,IF(CdTrp1!S76=2,2,IF(CdTrp1!S76=3,2,IF(CdTrp1!S76=4,4,0))))</f>
        <v>1</v>
      </c>
      <c r="BN109" s="168">
        <f>IF(CdTrp1!T76=1,1,IF(CdTrp1!T76=2,2,IF(CdTrp1!T76=3,2,IF(CdTrp1!T76=4,4,0))))</f>
        <v>1</v>
      </c>
      <c r="BO109" s="168">
        <f>IF(CdTrp1!U76=1,1,IF(CdTrp1!U76=2,2,IF(CdTrp1!U76=3,2,IF(CdTrp1!U76=4,4,0))))</f>
        <v>1</v>
      </c>
      <c r="BP109" s="168">
        <f>IF(CdTrp1!V76=1,1,IF(CdTrp1!V76=2,2,IF(CdTrp1!V76=3,2,IF(CdTrp1!V76=4,4,0))))</f>
        <v>1</v>
      </c>
      <c r="BQ109" s="168">
        <f>IF(CdTrp1!W76=1,1,IF(CdTrp1!W76=2,2,IF(CdTrp1!W76=3,2,IF(CdTrp1!W76=4,4,0))))</f>
        <v>1</v>
      </c>
      <c r="BR109" s="168">
        <f>IF(CdTrp1!X76=1,1,IF(CdTrp1!X76=2,2,IF(CdTrp1!X76=3,2,IF(CdTrp1!X76=4,4,0))))</f>
        <v>1</v>
      </c>
      <c r="BS109" s="168">
        <f>IF(CdTrp1!Y76=1,1,IF(CdTrp1!Y76=2,2,IF(CdTrp1!Y76=3,2,IF(CdTrp1!Y76=4,4,0))))</f>
        <v>0</v>
      </c>
      <c r="BU109">
        <v>1</v>
      </c>
      <c r="BV109" t="s">
        <v>219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1229</v>
      </c>
      <c r="C110" s="168">
        <f>COUNTIF($H$94:$AE$103,1)/2</f>
        <v>10</v>
      </c>
      <c r="D110" s="168">
        <f t="shared" si="25"/>
        <v>10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agnelles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0</v>
      </c>
      <c r="AY110" s="168">
        <f>IF(CdTrp1!E77=1,1,IF(CdTrp1!E77=2,2,IF(CdTrp1!E77=3,2,IF(CdTrp1!E77=4,4,0))))</f>
        <v>0</v>
      </c>
      <c r="AZ110" s="168">
        <f>IF(CdTrp1!F77=1,1,IF(CdTrp1!F77=2,2,IF(CdTrp1!F77=3,2,IF(CdTrp1!F77=4,4,0))))</f>
        <v>0</v>
      </c>
      <c r="BA110" s="168">
        <f>IF(CdTrp1!G77=1,1,IF(CdTrp1!G77=2,2,IF(CdTrp1!G77=3,2,IF(CdTrp1!G77=4,4,0))))</f>
        <v>0</v>
      </c>
      <c r="BB110" s="168">
        <f>IF(CdTrp1!H77=1,1,IF(CdTrp1!H77=2,2,IF(CdTrp1!H77=3,2,IF(CdTrp1!H77=4,4,0))))</f>
        <v>0</v>
      </c>
      <c r="BC110" s="168">
        <f>IF(CdTrp1!I77=1,1,IF(CdTrp1!I77=2,2,IF(CdTrp1!I77=3,2,IF(CdTrp1!I77=4,4,0))))</f>
        <v>0</v>
      </c>
      <c r="BD110" s="168">
        <f>IF(CdTrp1!J77=1,1,IF(CdTrp1!J77=2,2,IF(CdTrp1!J77=3,2,IF(CdTrp1!J77=4,4,0))))</f>
        <v>0</v>
      </c>
      <c r="BE110" s="168">
        <f>IF(CdTrp1!K77=1,1,IF(CdTrp1!K77=2,2,IF(CdTrp1!K77=3,2,IF(CdTrp1!K77=4,4,0))))</f>
        <v>0</v>
      </c>
      <c r="BF110" s="168">
        <f>IF(CdTrp1!L77=1,1,IF(CdTrp1!L77=2,2,IF(CdTrp1!L77=3,2,IF(CdTrp1!L77=4,4,0))))</f>
        <v>0</v>
      </c>
      <c r="BG110" s="168">
        <f>IF(CdTrp1!M77=1,1,IF(CdTrp1!M77=2,2,IF(CdTrp1!M77=3,2,IF(CdTrp1!M77=4,4,0))))</f>
        <v>0</v>
      </c>
      <c r="BH110" s="168">
        <f>IF(CdTrp1!N77=1,1,IF(CdTrp1!N77=2,2,IF(CdTrp1!N77=3,2,IF(CdTrp1!N77=4,4,0))))</f>
        <v>0</v>
      </c>
      <c r="BI110" s="168">
        <f>IF(CdTrp1!O77=1,1,IF(CdTrp1!O77=2,2,IF(CdTrp1!O77=3,2,IF(CdTrp1!O77=4,4,0))))</f>
        <v>0</v>
      </c>
      <c r="BJ110" s="168">
        <f>IF(CdTrp1!P77=1,1,IF(CdTrp1!P77=2,2,IF(CdTrp1!P77=3,2,IF(CdTrp1!P77=4,4,0))))</f>
        <v>0</v>
      </c>
      <c r="BK110" s="168">
        <f>IF(CdTrp1!Q77=1,1,IF(CdTrp1!Q77=2,2,IF(CdTrp1!Q77=3,2,IF(CdTrp1!Q77=4,4,0))))</f>
        <v>0</v>
      </c>
      <c r="BL110" s="168">
        <f>IF(CdTrp1!R77=1,1,IF(CdTrp1!R77=2,2,IF(CdTrp1!R77=3,2,IF(CdTrp1!R77=4,4,0))))</f>
        <v>0</v>
      </c>
      <c r="BM110" s="168">
        <f>IF(CdTrp1!S77=1,1,IF(CdTrp1!S77=2,2,IF(CdTrp1!S77=3,2,IF(CdTrp1!S77=4,4,0))))</f>
        <v>0</v>
      </c>
      <c r="BN110" s="168">
        <f>IF(CdTrp1!T77=1,1,IF(CdTrp1!T77=2,2,IF(CdTrp1!T77=3,2,IF(CdTrp1!T77=4,4,0))))</f>
        <v>0</v>
      </c>
      <c r="BO110" s="168">
        <f>IF(CdTrp1!U77=1,1,IF(CdTrp1!U77=2,2,IF(CdTrp1!U77=3,2,IF(CdTrp1!U77=4,4,0))))</f>
        <v>0</v>
      </c>
      <c r="BP110" s="168">
        <f>IF(CdTrp1!V77=1,1,IF(CdTrp1!V77=2,2,IF(CdTrp1!V77=3,2,IF(CdTrp1!V77=4,4,0))))</f>
        <v>0</v>
      </c>
      <c r="BQ110" s="168">
        <f>IF(CdTrp1!W77=1,1,IF(CdTrp1!W77=2,2,IF(CdTrp1!W77=3,2,IF(CdTrp1!W77=4,4,0))))</f>
        <v>0</v>
      </c>
      <c r="BR110" s="168">
        <f>IF(CdTrp1!X77=1,1,IF(CdTrp1!X77=2,2,IF(CdTrp1!X77=3,2,IF(CdTrp1!X77=4,4,0))))</f>
        <v>0</v>
      </c>
      <c r="BS110" s="168">
        <f>IF(CdTrp1!Y77=1,1,IF(CdTrp1!Y77=2,2,IF(CdTrp1!Y77=3,2,IF(CdTrp1!Y77=4,4,0))))</f>
        <v>0</v>
      </c>
      <c r="BU110">
        <v>2</v>
      </c>
      <c r="BV110" t="s">
        <v>794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1230</v>
      </c>
      <c r="C111" s="168">
        <f>COUNTIF($H$105:$AE$114,1)/2</f>
        <v>0</v>
      </c>
      <c r="D111" s="168">
        <f t="shared" si="25"/>
        <v>0</v>
      </c>
      <c r="F111" s="14"/>
      <c r="G111" s="261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vides + mammites</v>
      </c>
      <c r="AU111" s="32"/>
      <c r="AV111" s="168">
        <f>IF(CdTrp1!B78=1,1,IF(CdTrp1!B78=2,2,IF(CdTrp1!B78=3,2,IF(CdTrp1!B78=4,4,0))))</f>
        <v>2</v>
      </c>
      <c r="AW111" s="168">
        <f>IF(CdTrp1!C78=1,1,IF(CdTrp1!C78=2,2,IF(CdTrp1!C78=3,2,IF(CdTrp1!C78=4,4,0))))</f>
        <v>2</v>
      </c>
      <c r="AX111" s="168">
        <f>IF(CdTrp1!D78=1,1,IF(CdTrp1!D78=2,2,IF(CdTrp1!D78=3,2,IF(CdTrp1!D78=4,4,0))))</f>
        <v>2</v>
      </c>
      <c r="AY111" s="168">
        <f>IF(CdTrp1!E78=1,1,IF(CdTrp1!E78=2,2,IF(CdTrp1!E78=3,2,IF(CdTrp1!E78=4,4,0))))</f>
        <v>2</v>
      </c>
      <c r="AZ111" s="168">
        <f>IF(CdTrp1!F78=1,1,IF(CdTrp1!F78=2,2,IF(CdTrp1!F78=3,2,IF(CdTrp1!F78=4,4,0))))</f>
        <v>2</v>
      </c>
      <c r="BA111" s="168">
        <f>IF(CdTrp1!G78=1,1,IF(CdTrp1!G78=2,2,IF(CdTrp1!G78=3,2,IF(CdTrp1!G78=4,4,0))))</f>
        <v>2</v>
      </c>
      <c r="BB111" s="168">
        <f>IF(CdTrp1!H78=1,1,IF(CdTrp1!H78=2,2,IF(CdTrp1!H78=3,2,IF(CdTrp1!H78=4,4,0))))</f>
        <v>2</v>
      </c>
      <c r="BC111" s="168">
        <f>IF(CdTrp1!I78=1,1,IF(CdTrp1!I78=2,2,IF(CdTrp1!I78=3,2,IF(CdTrp1!I78=4,4,0))))</f>
        <v>2</v>
      </c>
      <c r="BD111" s="168">
        <f>IF(CdTrp1!J78=1,1,IF(CdTrp1!J78=2,2,IF(CdTrp1!J78=3,2,IF(CdTrp1!J78=4,4,0))))</f>
        <v>2</v>
      </c>
      <c r="BE111" s="168">
        <f>IF(CdTrp1!K78=1,1,IF(CdTrp1!K78=2,2,IF(CdTrp1!K78=3,2,IF(CdTrp1!K78=4,4,0))))</f>
        <v>2</v>
      </c>
      <c r="BF111" s="168">
        <f>IF(CdTrp1!L78=1,1,IF(CdTrp1!L78=2,2,IF(CdTrp1!L78=3,2,IF(CdTrp1!L78=4,4,0))))</f>
        <v>2</v>
      </c>
      <c r="BG111" s="168">
        <f>IF(CdTrp1!M78=1,1,IF(CdTrp1!M78=2,2,IF(CdTrp1!M78=3,2,IF(CdTrp1!M78=4,4,0))))</f>
        <v>2</v>
      </c>
      <c r="BH111" s="168">
        <f>IF(CdTrp1!N78=1,1,IF(CdTrp1!N78=2,2,IF(CdTrp1!N78=3,2,IF(CdTrp1!N78=4,4,0))))</f>
        <v>2</v>
      </c>
      <c r="BI111" s="168">
        <f>IF(CdTrp1!O78=1,1,IF(CdTrp1!O78=2,2,IF(CdTrp1!O78=3,2,IF(CdTrp1!O78=4,4,0))))</f>
        <v>2</v>
      </c>
      <c r="BJ111" s="168">
        <f>IF(CdTrp1!P78=1,1,IF(CdTrp1!P78=2,2,IF(CdTrp1!P78=3,2,IF(CdTrp1!P78=4,4,0))))</f>
        <v>2</v>
      </c>
      <c r="BK111" s="168">
        <f>IF(CdTrp1!Q78=1,1,IF(CdTrp1!Q78=2,2,IF(CdTrp1!Q78=3,2,IF(CdTrp1!Q78=4,4,0))))</f>
        <v>2</v>
      </c>
      <c r="BL111" s="168">
        <f>IF(CdTrp1!R78=1,1,IF(CdTrp1!R78=2,2,IF(CdTrp1!R78=3,2,IF(CdTrp1!R78=4,4,0))))</f>
        <v>2</v>
      </c>
      <c r="BM111" s="168">
        <f>IF(CdTrp1!S78=1,1,IF(CdTrp1!S78=2,2,IF(CdTrp1!S78=3,2,IF(CdTrp1!S78=4,4,0))))</f>
        <v>2</v>
      </c>
      <c r="BN111" s="168">
        <f>IF(CdTrp1!T78=1,1,IF(CdTrp1!T78=2,2,IF(CdTrp1!T78=3,2,IF(CdTrp1!T78=4,4,0))))</f>
        <v>2</v>
      </c>
      <c r="BO111" s="168">
        <f>IF(CdTrp1!U78=1,1,IF(CdTrp1!U78=2,2,IF(CdTrp1!U78=3,2,IF(CdTrp1!U78=4,4,0))))</f>
        <v>2</v>
      </c>
      <c r="BP111" s="168">
        <f>IF(CdTrp1!V78=1,1,IF(CdTrp1!V78=2,2,IF(CdTrp1!V78=3,2,IF(CdTrp1!V78=4,4,0))))</f>
        <v>2</v>
      </c>
      <c r="BQ111" s="168">
        <f>IF(CdTrp1!W78=1,1,IF(CdTrp1!W78=2,2,IF(CdTrp1!W78=3,2,IF(CdTrp1!W78=4,4,0))))</f>
        <v>2</v>
      </c>
      <c r="BR111" s="168">
        <f>IF(CdTrp1!X78=1,1,IF(CdTrp1!X78=2,2,IF(CdTrp1!X78=3,2,IF(CdTrp1!X78=4,4,0))))</f>
        <v>2</v>
      </c>
      <c r="BS111" s="168">
        <f>IF(CdTrp1!Y78=1,1,IF(CdTrp1!Y78=2,2,IF(CdTrp1!Y78=3,2,IF(CdTrp1!Y78=4,4,0))))</f>
        <v>2</v>
      </c>
      <c r="BU111" s="189">
        <v>4</v>
      </c>
      <c r="BV111" t="s">
        <v>796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1231</v>
      </c>
      <c r="C112" s="168">
        <f>COUNTIF($H$116:$AE$125,1)/2</f>
        <v>0</v>
      </c>
      <c r="D112" s="168">
        <f t="shared" si="25"/>
        <v>0</v>
      </c>
      <c r="F112" s="14"/>
      <c r="G112" s="261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0</v>
      </c>
      <c r="AW112" s="168">
        <f>IF(CdTrp1!C79=1,1,IF(CdTrp1!C79=2,2,IF(CdTrp1!C79=3,2,IF(CdTrp1!C79=4,4,0))))</f>
        <v>0</v>
      </c>
      <c r="AX112" s="168">
        <f>IF(CdTrp1!D79=1,1,IF(CdTrp1!D79=2,2,IF(CdTrp1!D79=3,2,IF(CdTrp1!D79=4,4,0))))</f>
        <v>0</v>
      </c>
      <c r="AY112" s="168">
        <f>IF(CdTrp1!E79=1,1,IF(CdTrp1!E79=2,2,IF(CdTrp1!E79=3,2,IF(CdTrp1!E79=4,4,0))))</f>
        <v>0</v>
      </c>
      <c r="AZ112" s="168">
        <f>IF(CdTrp1!F79=1,1,IF(CdTrp1!F79=2,2,IF(CdTrp1!F79=3,2,IF(CdTrp1!F79=4,4,0))))</f>
        <v>0</v>
      </c>
      <c r="BA112" s="168">
        <f>IF(CdTrp1!G79=1,1,IF(CdTrp1!G79=2,2,IF(CdTrp1!G79=3,2,IF(CdTrp1!G79=4,4,0))))</f>
        <v>0</v>
      </c>
      <c r="BB112" s="168">
        <f>IF(CdTrp1!H79=1,1,IF(CdTrp1!H79=2,2,IF(CdTrp1!H79=3,2,IF(CdTrp1!H79=4,4,0))))</f>
        <v>0</v>
      </c>
      <c r="BC112" s="168">
        <f>IF(CdTrp1!I79=1,1,IF(CdTrp1!I79=2,2,IF(CdTrp1!I79=3,2,IF(CdTrp1!I79=4,4,0))))</f>
        <v>0</v>
      </c>
      <c r="BD112" s="168">
        <f>IF(CdTrp1!J79=1,1,IF(CdTrp1!J79=2,2,IF(CdTrp1!J79=3,2,IF(CdTrp1!J79=4,4,0))))</f>
        <v>0</v>
      </c>
      <c r="BE112" s="168">
        <f>IF(CdTrp1!K79=1,1,IF(CdTrp1!K79=2,2,IF(CdTrp1!K79=3,2,IF(CdTrp1!K79=4,4,0))))</f>
        <v>0</v>
      </c>
      <c r="BF112" s="168">
        <f>IF(CdTrp1!L79=1,1,IF(CdTrp1!L79=2,2,IF(CdTrp1!L79=3,2,IF(CdTrp1!L79=4,4,0))))</f>
        <v>0</v>
      </c>
      <c r="BG112" s="168">
        <f>IF(CdTrp1!M79=1,1,IF(CdTrp1!M79=2,2,IF(CdTrp1!M79=3,2,IF(CdTrp1!M79=4,4,0))))</f>
        <v>0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0</v>
      </c>
      <c r="BS112" s="168">
        <f>IF(CdTrp1!Y79=1,1,IF(CdTrp1!Y79=2,2,IF(CdTrp1!Y79=3,2,IF(CdTrp1!Y79=4,4,0))))</f>
        <v>0</v>
      </c>
      <c r="BU112">
        <v>0</v>
      </c>
      <c r="BV112" t="s">
        <v>798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1232</v>
      </c>
      <c r="C113" s="168">
        <f>COUNTIF($H$94:$AE$103,2)/2</f>
        <v>12</v>
      </c>
      <c r="D113" s="168">
        <f t="shared" si="25"/>
        <v>12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>
        <f t="shared" si="28"/>
        <v>0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1233</v>
      </c>
      <c r="C114" s="168">
        <f>COUNTIF($H$105:$AE$114,2)/2</f>
        <v>0</v>
      </c>
      <c r="D114" s="168">
        <f t="shared" si="25"/>
        <v>0</v>
      </c>
      <c r="F114" s="14"/>
      <c r="G114" s="261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1234</v>
      </c>
      <c r="C115" s="168">
        <f>COUNTIF($H$116:$AE$125,2)/2</f>
        <v>0</v>
      </c>
      <c r="D115" s="168">
        <f t="shared" si="25"/>
        <v>0</v>
      </c>
      <c r="F115" s="14" t="s">
        <v>918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1235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1236</v>
      </c>
      <c r="C117" s="168">
        <f>COUNTIF($H$105:$AE$114,3)/2</f>
        <v>0</v>
      </c>
      <c r="D117" s="168">
        <f t="shared" si="25"/>
        <v>0</v>
      </c>
      <c r="G117" s="261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1237</v>
      </c>
      <c r="C118" s="168">
        <f>COUNTIF($H$116:$AE$125,3)/2</f>
        <v>0</v>
      </c>
      <c r="D118" s="168">
        <f t="shared" si="25"/>
        <v>0</v>
      </c>
      <c r="G118" s="261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1238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806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806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806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1239</v>
      </c>
      <c r="C120" s="168">
        <f>COUNTIF($H$105:$AE$114,4)/2</f>
        <v>0</v>
      </c>
      <c r="D120" s="168">
        <f t="shared" si="25"/>
        <v>0</v>
      </c>
      <c r="G120" s="261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808</v>
      </c>
      <c r="AU120" s="30">
        <f>VALUE(CONCATENATE(Scénario!K8,Travail!AU2))</f>
        <v>11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808</v>
      </c>
      <c r="CA120" s="30">
        <f>VALUE(CONCATENATE(Scénario!K8,Travail!CA2))</f>
        <v>10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808</v>
      </c>
      <c r="DD120" s="30">
        <f>VALUE(CONCATENATE(Scénario!K8,Travail!DD2))</f>
        <v>10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1240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laitiéres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810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1241</v>
      </c>
      <c r="C122" s="168">
        <f>COUNTIF($H$94:$AE$103,5)/2</f>
        <v>0</v>
      </c>
      <c r="D122" s="168">
        <f t="shared" si="25"/>
        <v>0</v>
      </c>
      <c r="G122" s="261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agnelles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1242</v>
      </c>
      <c r="C123" s="168">
        <f>COUNTIF($H$105:$AE$114,5)/2</f>
        <v>0</v>
      </c>
      <c r="D123" s="168">
        <f t="shared" si="25"/>
        <v>0</v>
      </c>
      <c r="G123" s="261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vides + mammites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1243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1244</v>
      </c>
      <c r="C125" s="168">
        <f t="shared" ref="C125:C132" si="34">SUM(H134:AE134)/2</f>
        <v>0</v>
      </c>
      <c r="D125" s="168">
        <f t="shared" si="25"/>
        <v>0</v>
      </c>
      <c r="G125" s="261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>
        <f t="shared" si="33"/>
        <v>0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1245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1246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1247</v>
      </c>
      <c r="C128" s="168">
        <f t="shared" si="34"/>
        <v>0</v>
      </c>
      <c r="D128" s="168">
        <f t="shared" si="25"/>
        <v>0</v>
      </c>
      <c r="F128" s="14" t="s">
        <v>1248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1249</v>
      </c>
      <c r="C129" s="168">
        <f t="shared" si="34"/>
        <v>0</v>
      </c>
      <c r="D129" s="168">
        <f t="shared" si="25"/>
        <v>0</v>
      </c>
      <c r="F129" s="14" t="s">
        <v>901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1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1250</v>
      </c>
      <c r="C130" s="168">
        <f t="shared" si="34"/>
        <v>0</v>
      </c>
      <c r="D130" s="168">
        <f t="shared" si="25"/>
        <v>0</v>
      </c>
      <c r="F130" s="14" t="s">
        <v>917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1251</v>
      </c>
      <c r="C131" s="168">
        <f t="shared" si="34"/>
        <v>0</v>
      </c>
      <c r="D131" s="168">
        <f t="shared" si="25"/>
        <v>0</v>
      </c>
      <c r="F131" s="14" t="s">
        <v>918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819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819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819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1252</v>
      </c>
      <c r="C132" s="168">
        <f t="shared" si="34"/>
        <v>0</v>
      </c>
      <c r="D132" s="168">
        <f t="shared" si="25"/>
        <v>0</v>
      </c>
      <c r="F132" s="14" t="s">
        <v>1253</v>
      </c>
      <c r="H132">
        <f t="shared" ref="H132:AE132" si="38">SUM(H129:H131)</f>
        <v>1</v>
      </c>
      <c r="I132">
        <f t="shared" si="38"/>
        <v>1</v>
      </c>
      <c r="J132">
        <f t="shared" si="38"/>
        <v>1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2</v>
      </c>
      <c r="P132">
        <f t="shared" si="38"/>
        <v>2</v>
      </c>
      <c r="Q132">
        <f t="shared" si="38"/>
        <v>2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2</v>
      </c>
      <c r="AE132">
        <f t="shared" si="38"/>
        <v>1</v>
      </c>
      <c r="AT132" s="182" t="str">
        <f>AT121</f>
        <v>laitiéres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1254</v>
      </c>
      <c r="C133" s="263">
        <f>IF(C110&gt;0,C110/(C110+C113+C116),0)</f>
        <v>0.45454545454545453</v>
      </c>
      <c r="D133" s="263">
        <f t="shared" si="25"/>
        <v>0.45454545454545453</v>
      </c>
      <c r="AT133" s="182" t="str">
        <f t="shared" ref="AT133:AT141" si="42">AT122</f>
        <v>agnelles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1255</v>
      </c>
      <c r="C134" s="263">
        <f t="shared" ref="C134:C135" si="45">IF(C111&gt;0,C111/(C111+C114+C117),0)</f>
        <v>0</v>
      </c>
      <c r="D134" s="263">
        <f t="shared" si="25"/>
        <v>0</v>
      </c>
      <c r="F134" s="14" t="s">
        <v>1256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vides + mammites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1257</v>
      </c>
      <c r="C135" s="263">
        <f t="shared" si="45"/>
        <v>0</v>
      </c>
      <c r="D135" s="263">
        <f t="shared" si="25"/>
        <v>0</v>
      </c>
      <c r="F135" s="14" t="s">
        <v>1258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1259</v>
      </c>
      <c r="C136" s="263">
        <f>SUM(C110:C112)/SUM(C110:C118)</f>
        <v>0.45454545454545453</v>
      </c>
      <c r="D136" s="263">
        <f t="shared" si="25"/>
        <v>0.45454545454545453</v>
      </c>
      <c r="F136" s="14" t="s">
        <v>1260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>
        <f t="shared" si="42"/>
        <v>0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1261</v>
      </c>
      <c r="B137" s="32" t="s">
        <v>1262</v>
      </c>
      <c r="C137" s="168">
        <f>IF(Troupeau!B$3="OL",('Calcul éco'!B9+'Calcul éco'!B10),0)</f>
        <v>272</v>
      </c>
      <c r="D137" s="264">
        <f>C137*$D$82/$C$82</f>
        <v>0</v>
      </c>
      <c r="F137" s="14" t="s">
        <v>1263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1264</v>
      </c>
      <c r="C138" s="168">
        <f>IF(Troupeau!B$3="OL",('Calcul éco'!B13+'Calcul éco'!B14),0)</f>
        <v>51</v>
      </c>
      <c r="D138" s="264">
        <f t="shared" ref="D138:D174" si="50">C138*$D$82/$C$82</f>
        <v>0</v>
      </c>
      <c r="F138" s="14" t="s">
        <v>1265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1266</v>
      </c>
      <c r="C139" s="168">
        <f>IF(Troupeau!B$3="VL",('Calcul éco'!B9+'Calcul éco'!B10),0)</f>
        <v>0</v>
      </c>
      <c r="D139" s="264">
        <f t="shared" si="50"/>
        <v>0</v>
      </c>
      <c r="F139" s="14" t="s">
        <v>1267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1268</v>
      </c>
      <c r="C140" s="168">
        <f>IF(Troupeau!B$3="VL",('Calcul éco'!B13),0)</f>
        <v>0</v>
      </c>
      <c r="D140" s="264">
        <f t="shared" si="50"/>
        <v>0</v>
      </c>
      <c r="F140" s="14" t="s">
        <v>1269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1270</v>
      </c>
      <c r="C141" s="168">
        <f>IF(Troupeau!B$3="VL",('Calcul éco'!B14),0)</f>
        <v>0</v>
      </c>
      <c r="D141" s="264">
        <f t="shared" si="50"/>
        <v>0</v>
      </c>
      <c r="F141" s="14" t="s">
        <v>1271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1272</v>
      </c>
      <c r="C142" s="168">
        <f>SUM(G147:G150)</f>
        <v>0</v>
      </c>
      <c r="D142" s="264">
        <f t="shared" si="50"/>
        <v>0</v>
      </c>
      <c r="AT142" s="19" t="s">
        <v>831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831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831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1273</v>
      </c>
      <c r="C143" s="168">
        <f>G151+G153</f>
        <v>0</v>
      </c>
      <c r="D143" s="264">
        <f t="shared" si="50"/>
        <v>0</v>
      </c>
      <c r="AT143" s="19" t="s">
        <v>834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834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834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1274</v>
      </c>
      <c r="C144" s="168">
        <f>G152+G154</f>
        <v>0</v>
      </c>
      <c r="D144" s="264">
        <f t="shared" si="50"/>
        <v>0</v>
      </c>
      <c r="AT144" s="19" t="s">
        <v>836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836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836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1275</v>
      </c>
      <c r="C145" s="168">
        <f>G155+G156</f>
        <v>0</v>
      </c>
      <c r="D145" s="264">
        <f t="shared" si="50"/>
        <v>0</v>
      </c>
      <c r="AT145" s="19" t="s">
        <v>838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838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838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1276</v>
      </c>
      <c r="C146" s="168">
        <f>IF(Troupeau!D3="EQ",'Calcul éco'!D9+'Calcul éco'!D10,0)+IF(Troupeau!C3="EQ",'Calcul éco'!C9+'Calcul éco'!C10,0)</f>
        <v>0</v>
      </c>
      <c r="D146" s="264">
        <f t="shared" si="50"/>
        <v>0</v>
      </c>
      <c r="F146" s="2" t="s">
        <v>1277</v>
      </c>
      <c r="AT146" s="40" t="s">
        <v>840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840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840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1278</v>
      </c>
      <c r="C147" s="168">
        <f>IF(Troupeau!D3="EQ",'Calcul éco'!D13+'Calcul éco'!D14,0)+IF(Troupeau!C3="EQ",'Calcul éco'!C13+'Calcul éco'!C14,0)</f>
        <v>0</v>
      </c>
      <c r="D147" s="264">
        <f t="shared" si="50"/>
        <v>0</v>
      </c>
      <c r="F147" s="14" t="s">
        <v>1279</v>
      </c>
      <c r="G147">
        <f>IF(Troupeau!B$3="BV",'Calcul éco'!B9,0)</f>
        <v>0</v>
      </c>
      <c r="AT147" s="40" t="s">
        <v>842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842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842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1280</v>
      </c>
      <c r="B148" s="14" t="s">
        <v>1281</v>
      </c>
      <c r="C148" s="168">
        <f>IF(Troupeau!B3="OL",'Calcul éco'!B5,0)</f>
        <v>50128</v>
      </c>
      <c r="D148" s="264">
        <f t="shared" si="50"/>
        <v>0</v>
      </c>
      <c r="F148" s="14" t="s">
        <v>1282</v>
      </c>
      <c r="G148">
        <f>IF(Troupeau!B$3="BV",'Calcul éco'!B10,0)</f>
        <v>0</v>
      </c>
      <c r="AT148" s="40" t="s">
        <v>844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844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844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1283</v>
      </c>
      <c r="C149" s="168">
        <f>IF(Troupeau!B3="OL",'Calcul éco'!B6,0)</f>
        <v>0</v>
      </c>
      <c r="D149" s="264">
        <f t="shared" si="50"/>
        <v>0</v>
      </c>
      <c r="F149" s="14" t="s">
        <v>1284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845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1285</v>
      </c>
      <c r="C150" s="168">
        <f>IF(Troupeau!B3="BL",'Calcul éco'!B5,0)</f>
        <v>0</v>
      </c>
      <c r="D150" s="264">
        <f t="shared" si="50"/>
        <v>0</v>
      </c>
      <c r="F150" s="14" t="s">
        <v>1286</v>
      </c>
      <c r="G150">
        <f>IF(Troupeau!C$3="BV",'Calcul éco'!C10,0)</f>
        <v>0</v>
      </c>
      <c r="AT150" s="40" t="s">
        <v>845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845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1287</v>
      </c>
      <c r="B151" s="14" t="s">
        <v>1288</v>
      </c>
      <c r="C151" s="168">
        <f>'Calcul éco'!C19</f>
        <v>0</v>
      </c>
      <c r="D151" s="264">
        <f t="shared" si="50"/>
        <v>0</v>
      </c>
      <c r="F151" s="14" t="s">
        <v>1289</v>
      </c>
      <c r="G151">
        <f>IF(Troupeau!B$3="BV",'Calcul éco'!B13,0)</f>
        <v>0</v>
      </c>
      <c r="AT151" s="182" t="str">
        <f t="shared" ref="AT151:AT154" si="73">AT87</f>
        <v>laitiéres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1290</v>
      </c>
      <c r="C152" s="168">
        <f>'Calcul éco'!C20</f>
        <v>0</v>
      </c>
      <c r="D152" s="264">
        <f t="shared" si="50"/>
        <v>0</v>
      </c>
      <c r="F152" s="14" t="s">
        <v>1291</v>
      </c>
      <c r="G152">
        <f>IF(Troupeau!B$3="BV",'Calcul éco'!B14,0)</f>
        <v>0</v>
      </c>
      <c r="AT152" s="182" t="str">
        <f t="shared" si="73"/>
        <v>agnelles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1292</v>
      </c>
      <c r="C153" s="168">
        <f>'Calcul éco'!C21</f>
        <v>0</v>
      </c>
      <c r="D153" s="264">
        <f t="shared" si="50"/>
        <v>0</v>
      </c>
      <c r="F153" s="14" t="s">
        <v>1293</v>
      </c>
      <c r="G153">
        <f>IF(Troupeau!C$3="BV",'Calcul éco'!C13,0)</f>
        <v>0</v>
      </c>
      <c r="AT153" s="182" t="str">
        <f t="shared" si="73"/>
        <v>vides + mammites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1294</v>
      </c>
      <c r="C154" s="168">
        <f>'Calcul éco'!D19</f>
        <v>0</v>
      </c>
      <c r="D154" s="264">
        <f t="shared" si="50"/>
        <v>0</v>
      </c>
      <c r="F154" s="14" t="s">
        <v>1295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1296</v>
      </c>
      <c r="C155" s="168">
        <f>'Calcul éco'!D20</f>
        <v>0</v>
      </c>
      <c r="D155" s="264">
        <f t="shared" si="50"/>
        <v>0</v>
      </c>
      <c r="F155" s="14" t="s">
        <v>1297</v>
      </c>
      <c r="G155">
        <f>IF(Troupeau!B$3="BV",('Calcul éco'!B$11+'Calcul éco'!B$12),0)</f>
        <v>0</v>
      </c>
      <c r="AT155" s="182">
        <f>AT91</f>
        <v>0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1298</v>
      </c>
      <c r="C156" s="168">
        <f>'Calcul éco'!D21</f>
        <v>0</v>
      </c>
      <c r="D156" s="264">
        <f t="shared" si="50"/>
        <v>0</v>
      </c>
      <c r="F156" s="14" t="s">
        <v>1299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1300</v>
      </c>
      <c r="C157" s="168">
        <f>C151+C154</f>
        <v>0</v>
      </c>
      <c r="D157" s="264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1301</v>
      </c>
      <c r="C158" s="168">
        <f t="shared" ref="C158:C159" si="82">C152+C155</f>
        <v>0</v>
      </c>
      <c r="D158" s="264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1302</v>
      </c>
      <c r="C159" s="168">
        <f t="shared" si="82"/>
        <v>0</v>
      </c>
      <c r="D159" s="264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1303</v>
      </c>
      <c r="C160" s="168">
        <f>'Calcul éco'!C30</f>
        <v>0</v>
      </c>
      <c r="D160" s="264">
        <f t="shared" si="50"/>
        <v>0</v>
      </c>
      <c r="AT160" s="197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1304</v>
      </c>
      <c r="B161" s="14" t="s">
        <v>1305</v>
      </c>
      <c r="C161" s="263">
        <f>IF(Troupeau!$B$3="OL",CdTrp1!$AA$159,0)</f>
        <v>75.916365145599968</v>
      </c>
      <c r="D161" s="264">
        <f t="shared" si="50"/>
        <v>0</v>
      </c>
      <c r="AT161" s="182" t="s">
        <v>859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859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859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1306</v>
      </c>
      <c r="B162" s="14" t="s">
        <v>1307</v>
      </c>
      <c r="C162" s="263">
        <f>IF(Troupeau!$B$3="OL",CdTrp1!$AA$147,0)</f>
        <v>126.91094833423999</v>
      </c>
      <c r="D162" s="264">
        <f t="shared" si="50"/>
        <v>0</v>
      </c>
      <c r="AT162" s="182" t="s">
        <v>861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861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861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1308</v>
      </c>
      <c r="C163" s="263">
        <f>IF(Troupeau!$B$3="BL",CdTrp1!$AA$159,0)</f>
        <v>0</v>
      </c>
      <c r="D163" s="264">
        <f t="shared" si="50"/>
        <v>0</v>
      </c>
      <c r="AT163" s="40" t="s">
        <v>863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863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863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1309</v>
      </c>
      <c r="C164" s="263">
        <f>IF(Troupeau!$B$3="BL",ROUND(CdTrp1!$AA$147,0),0)</f>
        <v>0</v>
      </c>
      <c r="D164" s="264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1310</v>
      </c>
      <c r="C165" s="263">
        <f>IF(Troupeau!$B$3="BV",CdTrp1!$AA$159,0)+IF(Troupeau!$C$3="BV",CdTrp2!$AA$159,0)</f>
        <v>0</v>
      </c>
      <c r="D165" s="264">
        <f t="shared" si="50"/>
        <v>0</v>
      </c>
      <c r="AT165" s="40" t="s">
        <v>866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1311</v>
      </c>
      <c r="C166" s="263">
        <f>IF(Troupeau!$B$3="BV",CdTrp1!$AA$147,0)+IF(Troupeau!$C$3="BV",CdTrp2!$AA$147,0)</f>
        <v>0</v>
      </c>
      <c r="D166" s="264">
        <f t="shared" si="50"/>
        <v>0</v>
      </c>
      <c r="AT166" s="147" t="s">
        <v>868</v>
      </c>
      <c r="AU166" s="17">
        <f>VLOOKUP(AU120,[1]Trav!$B$12:$C$31,2)</f>
        <v>2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7" t="s">
        <v>868</v>
      </c>
      <c r="CA166" s="17" t="e">
        <f>VLOOKUP(CA120,[1]Trav!$B$12:$C$31,2)</f>
        <v>#N/A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7" t="s">
        <v>868</v>
      </c>
      <c r="DD166" s="17" t="e">
        <f>VLOOKUP(DD120,[1]Trav!$B$12:$C$31,2)</f>
        <v>#N/A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1312</v>
      </c>
      <c r="C167" s="263">
        <f>IF(Troupeau!$D$3="EQ",CdTrp3!$AA$159,0)+IF(Troupeau!$C$3="EQ",CdTrp2!$AA$159,0)</f>
        <v>0</v>
      </c>
      <c r="D167" s="264">
        <f t="shared" si="50"/>
        <v>0</v>
      </c>
      <c r="AT167" s="182" t="str">
        <f t="shared" ref="AT167:AT176" si="95">AT121</f>
        <v>laitiéres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1313</v>
      </c>
      <c r="C168" s="263">
        <f>IF(Troupeau!$D$3="EQ",CdTrp3!$AA$147,0)+IF(Troupeau!$C$3="EQ",CdTrp2!$AA$147,0)</f>
        <v>0</v>
      </c>
      <c r="D168" s="264">
        <f t="shared" si="50"/>
        <v>0</v>
      </c>
      <c r="AT168" s="182" t="str">
        <f t="shared" si="95"/>
        <v>agnelles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1314</v>
      </c>
      <c r="C169" s="168">
        <f>SUM('Alim -Surf'!D24:H24)</f>
        <v>99.754999999999995</v>
      </c>
      <c r="D169" s="264">
        <f t="shared" si="50"/>
        <v>0</v>
      </c>
      <c r="AT169" s="182" t="str">
        <f t="shared" si="95"/>
        <v>vides + mammites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1315</v>
      </c>
      <c r="C170" s="168">
        <f>SUM('Alim -Surf'!D25:H25)</f>
        <v>75.916365145600025</v>
      </c>
      <c r="D170" s="264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1316</v>
      </c>
      <c r="C171" s="168">
        <f>'Alim -Surf'!K24</f>
        <v>77.64500000000001</v>
      </c>
      <c r="D171" s="264">
        <f t="shared" si="50"/>
        <v>0</v>
      </c>
      <c r="AT171" s="182">
        <f t="shared" si="95"/>
        <v>0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1317</v>
      </c>
      <c r="C172" s="168">
        <f>'Alim -Surf'!K25</f>
        <v>127</v>
      </c>
      <c r="D172" s="264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1318</v>
      </c>
      <c r="C173" s="168">
        <f>C169-C170</f>
        <v>23.83863485439997</v>
      </c>
      <c r="D173" s="264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1319</v>
      </c>
      <c r="C174" s="191">
        <f>ROUND((1 -(C173/C169))*100,1)</f>
        <v>76.099999999999994</v>
      </c>
      <c r="D174" s="264">
        <f t="shared" si="50"/>
        <v>0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1320</v>
      </c>
      <c r="C175" s="168">
        <f>C171-C172</f>
        <v>-49.35499999999999</v>
      </c>
      <c r="D175" s="264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1321</v>
      </c>
      <c r="C176" s="168">
        <f>'Calcul éco'!B118</f>
        <v>49.35499999999999</v>
      </c>
      <c r="D176" s="264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1322</v>
      </c>
      <c r="C177" s="168">
        <f>'Calcul éco'!C30</f>
        <v>0</v>
      </c>
      <c r="D177" s="264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1323</v>
      </c>
      <c r="C178" s="168">
        <f>ROUND((C170+C171)/(C170+C172),2)*100</f>
        <v>76</v>
      </c>
      <c r="D178" s="168" t="e">
        <f>ROUND((D170+D171)/(D170+D172),2)*100</f>
        <v>#DIV/0!</v>
      </c>
      <c r="AT178" s="40" t="s">
        <v>880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880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880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1324</v>
      </c>
      <c r="C179" s="168">
        <f>SUM('Calcul éco'!D82:F106)</f>
        <v>63.800000000000004</v>
      </c>
      <c r="D179" s="264">
        <f>C179*$D$82/$C$82</f>
        <v>0</v>
      </c>
    </row>
    <row r="180" spans="1:132" x14ac:dyDescent="0.25">
      <c r="B180" s="14" t="s">
        <v>1325</v>
      </c>
      <c r="C180" s="168">
        <f>SUM('Calcul éco'!D19:D21)</f>
        <v>0</v>
      </c>
      <c r="D180" s="264">
        <f>C180*$D$82/$C$82</f>
        <v>0</v>
      </c>
    </row>
    <row r="181" spans="1:132" x14ac:dyDescent="0.25">
      <c r="B181" s="14" t="s">
        <v>1326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1327</v>
      </c>
      <c r="B182" s="14" t="s">
        <v>1328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1329</v>
      </c>
      <c r="C183" s="168">
        <f>Protection!AK25</f>
        <v>4437</v>
      </c>
      <c r="D183" s="265">
        <f>ROUND(D184*D185,0)</f>
        <v>0</v>
      </c>
      <c r="E183" s="17" t="s">
        <v>1330</v>
      </c>
    </row>
    <row r="184" spans="1:132" x14ac:dyDescent="0.25">
      <c r="B184" s="14" t="s">
        <v>1331</v>
      </c>
      <c r="C184" s="168">
        <f>Protection!AK26</f>
        <v>18.399999999999999</v>
      </c>
      <c r="D184" s="266">
        <f>C184*D82/C82</f>
        <v>0</v>
      </c>
    </row>
    <row r="185" spans="1:132" x14ac:dyDescent="0.25">
      <c r="B185" s="14" t="s">
        <v>1332</v>
      </c>
      <c r="C185" s="168">
        <f>IF(C183=0,0,ROUND(C183/C184,0))</f>
        <v>241</v>
      </c>
      <c r="D185" s="168">
        <f>C185</f>
        <v>241</v>
      </c>
    </row>
    <row r="186" spans="1:132" x14ac:dyDescent="0.25">
      <c r="B186" s="14" t="s">
        <v>1333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1334</v>
      </c>
      <c r="C187" s="168">
        <f>'Calcul éco'!T235</f>
        <v>0</v>
      </c>
      <c r="D187" s="168">
        <f>C187</f>
        <v>0</v>
      </c>
    </row>
    <row r="188" spans="1:132" x14ac:dyDescent="0.25">
      <c r="B188" s="14" t="s">
        <v>1335</v>
      </c>
      <c r="C188" s="168">
        <f>'Calcul éco'!T236</f>
        <v>0</v>
      </c>
      <c r="D188" s="168">
        <f t="shared" ref="D188:D189" si="101">C188</f>
        <v>0</v>
      </c>
      <c r="AK188" s="40" t="s">
        <v>1141</v>
      </c>
    </row>
    <row r="189" spans="1:132" x14ac:dyDescent="0.25">
      <c r="B189" s="14" t="s">
        <v>1336</v>
      </c>
      <c r="C189" s="168">
        <f>'Calcul éco'!T245</f>
        <v>4</v>
      </c>
      <c r="D189" s="168">
        <f t="shared" si="101"/>
        <v>4</v>
      </c>
      <c r="AH189" s="15"/>
      <c r="AJ189" s="14" t="s">
        <v>1142</v>
      </c>
      <c r="AK189" s="30">
        <f>D189</f>
        <v>4</v>
      </c>
      <c r="AO189" s="168">
        <f>ROUND((([1]Protect!$B$5/[1]Protect!$B$11)+[1]Protect!$B$8)*AK189,0)</f>
        <v>3617</v>
      </c>
    </row>
    <row r="190" spans="1:132" x14ac:dyDescent="0.25">
      <c r="B190" s="14" t="s">
        <v>1337</v>
      </c>
      <c r="C190" s="168">
        <f>'Calcul éco'!T246*(30)</f>
        <v>0</v>
      </c>
      <c r="D190" s="168">
        <f>C190</f>
        <v>0</v>
      </c>
      <c r="AH190" s="15"/>
      <c r="AJ190" s="14" t="s">
        <v>1143</v>
      </c>
      <c r="AK190" s="30">
        <f>D190/30</f>
        <v>0</v>
      </c>
      <c r="AN190" s="168">
        <f>[1]Eco!$B$106*[1]Eco!$B$108*[1]Eco!$B$109</f>
        <v>2551.2000000000003</v>
      </c>
      <c r="AO190" s="168">
        <f>AK190*AN190</f>
        <v>0</v>
      </c>
    </row>
    <row r="191" spans="1:132" x14ac:dyDescent="0.25">
      <c r="B191" s="14" t="s">
        <v>1338</v>
      </c>
      <c r="C191" s="191">
        <f>ROUND(SUM(Travail!F69:F74)/8,1)</f>
        <v>27.5</v>
      </c>
      <c r="D191" s="168">
        <f>C191</f>
        <v>27.5</v>
      </c>
      <c r="E191" s="17" t="s">
        <v>1339</v>
      </c>
      <c r="G191" t="s">
        <v>1340</v>
      </c>
      <c r="N191" t="s">
        <v>1341</v>
      </c>
      <c r="U191" t="s">
        <v>945</v>
      </c>
      <c r="AJ191" s="14" t="s">
        <v>1144</v>
      </c>
      <c r="AK191" s="30">
        <f>Travail!F16/8</f>
        <v>0</v>
      </c>
      <c r="AN191" s="168">
        <f>[1]Eco!$B$111</f>
        <v>28.3</v>
      </c>
      <c r="AO191" s="168">
        <f>AK191*AN191</f>
        <v>0</v>
      </c>
    </row>
    <row r="192" spans="1:132" x14ac:dyDescent="0.25">
      <c r="B192" s="14" t="s">
        <v>1342</v>
      </c>
      <c r="C192" s="168">
        <f>(Travail!F83+Travail!F84)/8</f>
        <v>0.625</v>
      </c>
      <c r="D192" s="267">
        <f>ROUND((D183/1000)*([1]Protect!$B$25*8/10+[1]Protect!$B$26),2)/8</f>
        <v>0</v>
      </c>
      <c r="E192" s="17" t="s">
        <v>1343</v>
      </c>
      <c r="I192" s="5"/>
      <c r="AN192" s="14" t="s">
        <v>1145</v>
      </c>
      <c r="AO192" s="168">
        <f>SUM(AO189:AO191)</f>
        <v>3617</v>
      </c>
    </row>
    <row r="193" spans="1:43" x14ac:dyDescent="0.25">
      <c r="B193" s="14" t="s">
        <v>1344</v>
      </c>
      <c r="C193" s="168">
        <f>(Travail!F75+Travail!F76+Travail!F81)/8</f>
        <v>12.75</v>
      </c>
      <c r="D193" s="168">
        <f>C193</f>
        <v>12.75</v>
      </c>
      <c r="I193" s="32" t="s">
        <v>1345</v>
      </c>
      <c r="J193" s="5">
        <f>D65</f>
        <v>0</v>
      </c>
      <c r="P193" s="32" t="s">
        <v>1346</v>
      </c>
      <c r="Q193" s="5">
        <f>D64</f>
        <v>0</v>
      </c>
      <c r="V193" s="32" t="s">
        <v>1347</v>
      </c>
      <c r="W193" s="5">
        <f>D63</f>
        <v>0</v>
      </c>
    </row>
    <row r="194" spans="1:43" x14ac:dyDescent="0.25">
      <c r="A194" s="2" t="s">
        <v>1348</v>
      </c>
      <c r="B194" s="14" t="s">
        <v>1349</v>
      </c>
      <c r="C194" s="168">
        <f>ROUND(SUM('Calcul éco'!J5:J30),0)</f>
        <v>66713</v>
      </c>
      <c r="D194" s="260">
        <f>ROUND(C194*D$82/C$82,0)</f>
        <v>0</v>
      </c>
      <c r="I194" s="32" t="s">
        <v>1350</v>
      </c>
      <c r="J194" s="5">
        <f>J193/IF(Scénario!K2="Exploit. Ind.",1,Scénario!K3)</f>
        <v>0</v>
      </c>
      <c r="P194" s="32" t="s">
        <v>1351</v>
      </c>
      <c r="Q194" s="5">
        <f>Q193/IF(Scénario!K2="Exploit. Ind.",1,Scénario!K3)</f>
        <v>0</v>
      </c>
      <c r="V194" s="32" t="s">
        <v>1352</v>
      </c>
      <c r="W194" s="5">
        <f>W193/IF(Scénario!K2="Exploit. Ind.",1,Scénario!K3)</f>
        <v>0</v>
      </c>
    </row>
    <row r="195" spans="1:43" x14ac:dyDescent="0.25">
      <c r="A195" s="2"/>
      <c r="B195" s="14" t="s">
        <v>1353</v>
      </c>
      <c r="C195" s="168">
        <f>ROUND(IF(Troupeau!B3="OL",'Calcul éco'!J5+'Calcul éco'!J6,0),0)</f>
        <v>53336</v>
      </c>
      <c r="D195" s="260">
        <f t="shared" ref="D195:D200" si="102">ROUND(C195*D$82/C$82,0)</f>
        <v>0</v>
      </c>
    </row>
    <row r="196" spans="1:43" x14ac:dyDescent="0.25">
      <c r="A196" s="2"/>
      <c r="B196" s="14" t="s">
        <v>1354</v>
      </c>
      <c r="C196" s="168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1355</v>
      </c>
      <c r="C197" s="168">
        <f>IF(Troupeau!B3="OL",SUM('Calcul éco'!K9:K15)-'Calcul éco'!K16,0)</f>
        <v>10677</v>
      </c>
      <c r="D197" s="260">
        <f t="shared" si="102"/>
        <v>0</v>
      </c>
      <c r="H197" s="166" t="s">
        <v>953</v>
      </c>
      <c r="I197" s="166" t="s">
        <v>954</v>
      </c>
      <c r="J197" s="166" t="s">
        <v>704</v>
      </c>
      <c r="O197" s="166" t="s">
        <v>953</v>
      </c>
      <c r="P197" s="166" t="s">
        <v>957</v>
      </c>
      <c r="Q197" s="166" t="s">
        <v>704</v>
      </c>
      <c r="T197" s="5"/>
      <c r="U197" s="166" t="s">
        <v>953</v>
      </c>
      <c r="V197" s="166" t="s">
        <v>955</v>
      </c>
      <c r="W197" s="166" t="s">
        <v>704</v>
      </c>
    </row>
    <row r="198" spans="1:43" x14ac:dyDescent="0.25">
      <c r="A198" s="2"/>
      <c r="B198" s="14" t="s">
        <v>1356</v>
      </c>
      <c r="C198" s="168">
        <f>IF(Troupeau!B3="BL",SUM('Calcul éco'!K9:K15)-'Calcul éco'!K16,0)</f>
        <v>0</v>
      </c>
      <c r="D198" s="260">
        <f t="shared" si="102"/>
        <v>0</v>
      </c>
      <c r="G198" s="206" t="s">
        <v>959</v>
      </c>
      <c r="H198" s="183">
        <f>[1]Eco!$F$4</f>
        <v>166</v>
      </c>
      <c r="I198" s="207">
        <f>IF(J194&gt;50,50,J194)</f>
        <v>0</v>
      </c>
      <c r="J198" s="168">
        <f>H198*I198</f>
        <v>0</v>
      </c>
      <c r="N198" s="14" t="s">
        <v>961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960</v>
      </c>
      <c r="U198" s="183">
        <f>[1]Eco!$F$9</f>
        <v>24.3</v>
      </c>
      <c r="V198" s="207">
        <f>IF(W194&gt;500,500,W194)</f>
        <v>0</v>
      </c>
      <c r="W198" s="207">
        <f>U198*V198</f>
        <v>0</v>
      </c>
      <c r="AI198" s="40" t="s">
        <v>1148</v>
      </c>
      <c r="AJ198" s="4">
        <f>IF(Troupeau!B3="OL",L223,0)*Scénario!K56</f>
        <v>0</v>
      </c>
      <c r="AO198" s="40" t="s">
        <v>1149</v>
      </c>
      <c r="AP198">
        <f>IF(Troupeau!B3="OL",D63,0)</f>
        <v>0</v>
      </c>
    </row>
    <row r="199" spans="1:43" x14ac:dyDescent="0.25">
      <c r="A199" s="2"/>
      <c r="B199" s="14" t="s">
        <v>1357</v>
      </c>
      <c r="C199" s="168">
        <f>IF(Troupeau!B3="BV",SUM('Calcul éco'!K9:K15)-'Calcul éco'!K16,0)+IF(Troupeau!C3="BV",SUM('Calcul éco'!L9:L15)-'Calcul éco'!L16,0)</f>
        <v>0</v>
      </c>
      <c r="D199" s="260">
        <f t="shared" si="102"/>
        <v>0</v>
      </c>
      <c r="G199" s="14" t="s">
        <v>962</v>
      </c>
      <c r="H199" s="183">
        <f>[1]Eco!$F$5</f>
        <v>121</v>
      </c>
      <c r="I199" s="207">
        <f>IF(J194&lt;51,0,IF(J194&gt;99,49,J194-50))</f>
        <v>0</v>
      </c>
      <c r="J199" s="168">
        <f t="shared" ref="J199:J200" si="103">H199*I199</f>
        <v>0</v>
      </c>
      <c r="N199" s="14" t="s">
        <v>965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963</v>
      </c>
      <c r="U199" s="183">
        <f>[1]Eco!$F$10</f>
        <v>22.3</v>
      </c>
      <c r="V199" s="207">
        <f>IF(W194&gt;500,W194-500,0)</f>
        <v>0</v>
      </c>
      <c r="W199" s="207">
        <f>U199*V199</f>
        <v>0</v>
      </c>
      <c r="AK199" t="s">
        <v>1150</v>
      </c>
      <c r="AQ199" t="s">
        <v>1150</v>
      </c>
    </row>
    <row r="200" spans="1:43" x14ac:dyDescent="0.25">
      <c r="A200" s="2"/>
      <c r="B200" s="14" t="s">
        <v>1358</v>
      </c>
      <c r="C200" s="168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967</v>
      </c>
      <c r="H200" s="183">
        <f>[1]Eco!$F$6</f>
        <v>62</v>
      </c>
      <c r="I200" s="207">
        <f>IF(J194&gt;139,40,IF(J194&gt;99,J194-99,0))</f>
        <v>0</v>
      </c>
      <c r="J200" s="168">
        <f t="shared" si="103"/>
        <v>0</v>
      </c>
      <c r="P200" s="40" t="s">
        <v>964</v>
      </c>
      <c r="Q200" s="62">
        <f>IF(Scénario!K10=1,Q198,Q199)*IF(Scénario!K2="Exploit. Ind.",1,Scénario!K3)</f>
        <v>0</v>
      </c>
      <c r="V200" s="40" t="s">
        <v>964</v>
      </c>
      <c r="W200" s="62">
        <f>SUM(W198:W199)*IF(Scénario!K2="Exploit. Ind.",1,Scénario!K3)</f>
        <v>0</v>
      </c>
      <c r="AI200" s="14" t="s">
        <v>1151</v>
      </c>
      <c r="AJ200" s="30">
        <f>IF(AJ198&lt;151,1,0)</f>
        <v>1</v>
      </c>
      <c r="AK200" s="168">
        <f>IF(AJ200=0,0,[1]Protect!B76)</f>
        <v>7500</v>
      </c>
      <c r="AO200" s="14" t="s">
        <v>1152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978</v>
      </c>
      <c r="B201" s="14" t="s">
        <v>979</v>
      </c>
      <c r="C201" s="168">
        <f>'Calcul éco'!J34</f>
        <v>0</v>
      </c>
      <c r="D201" s="265">
        <f>J201</f>
        <v>0</v>
      </c>
      <c r="E201" s="17" t="s">
        <v>1359</v>
      </c>
      <c r="I201" s="40" t="s">
        <v>964</v>
      </c>
      <c r="J201" s="62">
        <f>SUM(J198:J200)*IF(Scénario!K2="Exploit. Ind.",1,Scénario!K3)</f>
        <v>0</v>
      </c>
      <c r="AI201" s="14" t="s">
        <v>1153</v>
      </c>
      <c r="AJ201" s="30">
        <f>IF(AND(150 &lt;AJ$198,AJ$198&lt;451),1,0)</f>
        <v>0</v>
      </c>
      <c r="AK201" s="168">
        <f>IF(AJ201=0,0,[1]Protect!B77)</f>
        <v>0</v>
      </c>
      <c r="AO201" s="14" t="s">
        <v>1154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981</v>
      </c>
      <c r="C202" s="168">
        <f>+'Calcul éco'!J35</f>
        <v>0</v>
      </c>
      <c r="D202" s="265">
        <f>ROUND(Q200,0)</f>
        <v>0</v>
      </c>
      <c r="E202" s="17" t="s">
        <v>1359</v>
      </c>
      <c r="AI202" s="14" t="s">
        <v>1155</v>
      </c>
      <c r="AJ202" s="30">
        <f>IF(AND(540 &lt;AJ$198,AJ$198&lt;1201),1,0)</f>
        <v>0</v>
      </c>
      <c r="AK202" s="168">
        <f>IF(AJ202=0,0,[1]Protect!B78)</f>
        <v>0</v>
      </c>
      <c r="AO202" s="14" t="s">
        <v>1156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988</v>
      </c>
      <c r="C203" s="168">
        <f>'Calcul éco'!J37</f>
        <v>6512.4000000000005</v>
      </c>
      <c r="D203" s="265">
        <f>ROUND(W200,0)</f>
        <v>0</v>
      </c>
      <c r="E203" s="17" t="s">
        <v>1359</v>
      </c>
      <c r="AI203" s="14" t="s">
        <v>1157</v>
      </c>
      <c r="AJ203" s="30">
        <f>IF(AND(1200&lt;AJ$198,AJ$198&lt;1501),1,0)</f>
        <v>0</v>
      </c>
      <c r="AK203" s="168">
        <f>IF(AJ203=0,0,[1]Protect!B79)</f>
        <v>0</v>
      </c>
      <c r="AO203" s="14" t="s">
        <v>1158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1001</v>
      </c>
      <c r="C204" s="168">
        <f>'Calcul éco'!J39</f>
        <v>0</v>
      </c>
      <c r="D204" s="260">
        <f>ROUND(C204*D$82/C$82,0)</f>
        <v>0</v>
      </c>
      <c r="I204" s="40" t="s">
        <v>989</v>
      </c>
      <c r="J204" t="s">
        <v>990</v>
      </c>
      <c r="K204" t="s">
        <v>991</v>
      </c>
      <c r="L204" t="s">
        <v>992</v>
      </c>
      <c r="T204" s="2" t="s">
        <v>982</v>
      </c>
      <c r="U204" s="14"/>
      <c r="V204" s="36"/>
      <c r="AI204" s="14" t="s">
        <v>1159</v>
      </c>
      <c r="AJ204" s="30">
        <f>IF(1500&lt;AJ$198,1,0)</f>
        <v>0</v>
      </c>
      <c r="AK204" s="168">
        <f>IF(AJ204=0,0,[1]Protect!B80)</f>
        <v>0</v>
      </c>
      <c r="AO204" s="14" t="s">
        <v>1160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543</v>
      </c>
      <c r="C205" s="168">
        <f>'Calcul éco'!J40</f>
        <v>0</v>
      </c>
      <c r="D205" s="260">
        <f>ROUND(C205*D$82/C$82,0)</f>
        <v>0</v>
      </c>
      <c r="I205" s="14" t="s">
        <v>1360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986</v>
      </c>
      <c r="Y205" s="183">
        <f>'Calcul éco'!AC36</f>
        <v>258</v>
      </c>
      <c r="Z205" s="5"/>
    </row>
    <row r="206" spans="1:43" x14ac:dyDescent="0.25">
      <c r="A206" s="2" t="s">
        <v>1007</v>
      </c>
      <c r="B206" s="19" t="s">
        <v>1008</v>
      </c>
      <c r="C206" s="168">
        <f>ROUND('Calcul éco'!J42,0)</f>
        <v>2367</v>
      </c>
      <c r="D206" s="260">
        <f>ROUND(C206*D$82/C$82,0)</f>
        <v>0</v>
      </c>
      <c r="I206" s="14" t="s">
        <v>272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993</v>
      </c>
      <c r="Y206" s="166" t="s">
        <v>953</v>
      </c>
      <c r="Z206" s="166" t="s">
        <v>704</v>
      </c>
    </row>
    <row r="207" spans="1:43" x14ac:dyDescent="0.25">
      <c r="B207" s="204" t="s">
        <v>1012</v>
      </c>
      <c r="C207" s="168">
        <f>ROUND('Calcul éco'!J43,0)</f>
        <v>1196</v>
      </c>
      <c r="D207" s="265">
        <f>IF(L212&gt;52,52,L212)*IF(Scénario!K2="Exploit. Ind.",1,Scénario!K3)*'Calcul éco'!C43</f>
        <v>0</v>
      </c>
      <c r="E207" s="17" t="s">
        <v>1361</v>
      </c>
      <c r="W207" s="14" t="s">
        <v>999</v>
      </c>
      <c r="X207" s="168">
        <f>IF(T208&gt;25, 25,T208)</f>
        <v>0</v>
      </c>
      <c r="Y207" s="168">
        <f>Y209+Y205</f>
        <v>328</v>
      </c>
      <c r="Z207" s="168">
        <f>X207*Y207</f>
        <v>0</v>
      </c>
      <c r="AF207" s="23" t="s">
        <v>1161</v>
      </c>
      <c r="AL207" s="168">
        <f>IF(Scénario!K84=2,AL209,IF(Scénario!K84=1,AL208,0))</f>
        <v>3617</v>
      </c>
      <c r="AQ207" s="5"/>
    </row>
    <row r="208" spans="1:43" x14ac:dyDescent="0.25">
      <c r="B208" s="204" t="s">
        <v>1013</v>
      </c>
      <c r="C208" s="168">
        <f>ROUND('Calcul éco'!J44,0)</f>
        <v>1635</v>
      </c>
      <c r="D208" s="260">
        <f>ROUND(C208*D$82/C$82,0)</f>
        <v>0</v>
      </c>
      <c r="S208" s="14" t="s">
        <v>1002</v>
      </c>
      <c r="T208" s="30">
        <f>L212</f>
        <v>0</v>
      </c>
      <c r="W208" s="14" t="s">
        <v>1003</v>
      </c>
      <c r="X208" s="168">
        <f>IF(T208&gt;50,25,IF(T208&gt;25,T208-25,0))</f>
        <v>0</v>
      </c>
      <c r="Y208" s="168">
        <f>Y209+0.66*Y205</f>
        <v>240.28</v>
      </c>
      <c r="Z208" s="168">
        <f t="shared" ref="Z208:Z209" si="105">X208*Y208</f>
        <v>0</v>
      </c>
      <c r="AF208" s="5"/>
      <c r="AK208" s="14" t="s">
        <v>1162</v>
      </c>
      <c r="AL208" s="168">
        <f>IF(AO192&lt;SUM(AK200:AK204),AO192,SUM(AK200:AK204))</f>
        <v>3617</v>
      </c>
      <c r="AQ208" s="243"/>
    </row>
    <row r="209" spans="1:43" x14ac:dyDescent="0.25">
      <c r="B209" s="19" t="s">
        <v>1015</v>
      </c>
      <c r="C209" s="168">
        <f>ROUND('Calcul éco'!J45,0)</f>
        <v>8003</v>
      </c>
      <c r="D209" s="265">
        <f>IF(Scénario!K9=0,0,ROUND(Z210,0))</f>
        <v>0</v>
      </c>
      <c r="E209" s="17" t="s">
        <v>1362</v>
      </c>
      <c r="K209" s="40" t="s">
        <v>1014</v>
      </c>
      <c r="L209" s="62">
        <f>SUM(L205:L206)</f>
        <v>0</v>
      </c>
      <c r="W209" s="14" t="s">
        <v>1005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1163</v>
      </c>
      <c r="AL209" s="168">
        <f>IF(AO192&lt;SUM(AQ200:AQ204),AO192,SUM(AQ200:AQ204))</f>
        <v>3617</v>
      </c>
      <c r="AP209" s="243"/>
      <c r="AQ209" s="243"/>
    </row>
    <row r="210" spans="1:43" x14ac:dyDescent="0.25">
      <c r="B210" s="19" t="s">
        <v>1363</v>
      </c>
      <c r="C210" s="168">
        <f>ROUND('Calcul éco'!J46,0)</f>
        <v>3617</v>
      </c>
      <c r="D210" s="265">
        <f>ROUND(AL207,0)</f>
        <v>3617</v>
      </c>
      <c r="E210" s="17" t="s">
        <v>1364</v>
      </c>
      <c r="K210" s="14" t="s">
        <v>1016</v>
      </c>
      <c r="L210" s="168">
        <f>J221</f>
        <v>0</v>
      </c>
      <c r="Y210" s="40" t="s">
        <v>964</v>
      </c>
      <c r="Z210" s="62">
        <f>SUM(Z207:Z209)*IF(Scénario!K2="Exploit. Ind.",1,Scénario!K3)</f>
        <v>0</v>
      </c>
      <c r="AF210" s="5"/>
      <c r="AP210" s="243"/>
      <c r="AQ210" s="244"/>
    </row>
    <row r="211" spans="1:43" x14ac:dyDescent="0.25">
      <c r="B211" s="14" t="s">
        <v>1365</v>
      </c>
      <c r="C211" s="168">
        <f>SUM(C201:C210)</f>
        <v>23330.400000000001</v>
      </c>
      <c r="D211" s="265">
        <f>ROUND(SUM(D201:D210),0)</f>
        <v>3617</v>
      </c>
      <c r="E211" s="17" t="s">
        <v>1366</v>
      </c>
      <c r="K211" s="40" t="s">
        <v>1021</v>
      </c>
      <c r="L211" s="62">
        <f>L209+L210</f>
        <v>0</v>
      </c>
      <c r="AF211" s="5"/>
      <c r="AP211" s="243"/>
      <c r="AQ211" s="244"/>
    </row>
    <row r="212" spans="1:43" x14ac:dyDescent="0.25">
      <c r="A212" s="2" t="s">
        <v>1367</v>
      </c>
      <c r="B212" s="14" t="s">
        <v>1368</v>
      </c>
      <c r="C212" s="168">
        <f>IF(Troupeau!B3="OL",'Calcul éco'!K116,0)</f>
        <v>26812.3</v>
      </c>
      <c r="D212" s="260">
        <f>ROUND(C212*D$82/C$82,0)</f>
        <v>0</v>
      </c>
      <c r="K212" s="40" t="s">
        <v>1369</v>
      </c>
      <c r="L212" s="62">
        <f>L211/IF(Scénario!K2="Exploit. Ind.",1,Scénario!K3)</f>
        <v>0</v>
      </c>
      <c r="AF212" s="5"/>
      <c r="AG212" s="245"/>
      <c r="AH212" s="246"/>
      <c r="AI212" s="246"/>
      <c r="AJ212" s="247"/>
      <c r="AK212" s="247"/>
      <c r="AL212" s="247"/>
      <c r="AM212" s="248"/>
      <c r="AN212" s="248"/>
      <c r="AO212" s="243"/>
      <c r="AP212" s="244"/>
      <c r="AQ212" s="243"/>
    </row>
    <row r="213" spans="1:43" x14ac:dyDescent="0.25">
      <c r="B213" s="14" t="s">
        <v>1370</v>
      </c>
      <c r="C213" s="168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1164</v>
      </c>
      <c r="AP213" s="244"/>
      <c r="AQ213" s="243"/>
    </row>
    <row r="214" spans="1:43" x14ac:dyDescent="0.25">
      <c r="B214" s="14" t="s">
        <v>1371</v>
      </c>
      <c r="C214" s="168">
        <f>IF(Troupeau!B3="BV",'Calcul éco'!K116,0)+IF(Troupeau!C3="BV",'Calcul éco'!L116,0)</f>
        <v>0</v>
      </c>
      <c r="D214" s="260">
        <f t="shared" si="106"/>
        <v>0</v>
      </c>
      <c r="H214" s="2" t="s">
        <v>1024</v>
      </c>
      <c r="AF214" s="5"/>
      <c r="AJ214" s="33" t="s">
        <v>1165</v>
      </c>
      <c r="AK214" s="33"/>
      <c r="AL214" s="33"/>
      <c r="AM214" s="33" t="s">
        <v>1166</v>
      </c>
      <c r="AN214" s="33" t="s">
        <v>987</v>
      </c>
      <c r="AP214" s="244"/>
      <c r="AQ214" s="243"/>
    </row>
    <row r="215" spans="1:43" x14ac:dyDescent="0.25">
      <c r="B215" s="14" t="s">
        <v>1372</v>
      </c>
      <c r="C215" s="168">
        <f>IF(Troupeau!D3="EQ",'Calcul éco'!M116,0)+IF(Troupeau!D3="EQ",'Calcul éco'!L116,0)</f>
        <v>0</v>
      </c>
      <c r="D215" s="260">
        <f t="shared" si="106"/>
        <v>0</v>
      </c>
      <c r="I215" t="s">
        <v>1373</v>
      </c>
      <c r="J215" t="s">
        <v>1374</v>
      </c>
      <c r="AF215" s="5"/>
      <c r="AI215" s="14" t="s">
        <v>1167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43"/>
      <c r="AQ215" s="243"/>
    </row>
    <row r="216" spans="1:43" x14ac:dyDescent="0.25">
      <c r="B216" s="14" t="s">
        <v>1375</v>
      </c>
      <c r="C216" s="168">
        <f>ROUND(SUM(C212:C215),0)</f>
        <v>26812</v>
      </c>
      <c r="D216" s="260">
        <f t="shared" si="106"/>
        <v>0</v>
      </c>
      <c r="G216" s="14" t="s">
        <v>553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2"/>
      <c r="L216" s="222"/>
      <c r="AF216" s="5"/>
      <c r="AI216" s="14" t="s">
        <v>1168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43"/>
      <c r="AQ216" s="243"/>
    </row>
    <row r="217" spans="1:43" x14ac:dyDescent="0.25">
      <c r="B217" s="14" t="s">
        <v>1376</v>
      </c>
      <c r="C217" s="168">
        <f>SUM('Calcul éco'!J122:J138)</f>
        <v>1516.9560000000001</v>
      </c>
      <c r="D217" s="260">
        <f t="shared" si="106"/>
        <v>0</v>
      </c>
      <c r="G217" s="19" t="s">
        <v>567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1169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43"/>
      <c r="AQ217" s="243"/>
    </row>
    <row r="218" spans="1:43" x14ac:dyDescent="0.25">
      <c r="B218" s="14" t="s">
        <v>1377</v>
      </c>
      <c r="C218" s="168">
        <f>SUM('Calcul éco'!J118:J119)</f>
        <v>11815.204999999998</v>
      </c>
      <c r="D218" s="260">
        <f t="shared" si="106"/>
        <v>0</v>
      </c>
      <c r="G218" s="14" t="s">
        <v>574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2"/>
      <c r="AI218" s="14" t="s">
        <v>1130</v>
      </c>
      <c r="AJ218" s="168">
        <f>IF(D187&gt;0,[1]Protect!$B$85*D187,0)</f>
        <v>0</v>
      </c>
      <c r="AK218" s="168"/>
      <c r="AL218" s="168"/>
      <c r="AM218" s="168">
        <f>'Calcul éco'!W274</f>
        <v>100</v>
      </c>
      <c r="AN218" s="168">
        <f>AJ218*AM218</f>
        <v>0</v>
      </c>
      <c r="AO218" s="243"/>
      <c r="AP218" s="243"/>
      <c r="AQ218" s="243"/>
    </row>
    <row r="219" spans="1:43" x14ac:dyDescent="0.25">
      <c r="B219" s="14" t="s">
        <v>1378</v>
      </c>
      <c r="C219" s="168">
        <f>'Calcul éco'!J141</f>
        <v>3617</v>
      </c>
      <c r="D219" s="260">
        <f t="shared" si="106"/>
        <v>0</v>
      </c>
      <c r="K219" s="4"/>
      <c r="AF219" s="5"/>
      <c r="AG219" s="245"/>
      <c r="AI219" s="14" t="s">
        <v>1131</v>
      </c>
      <c r="AJ219" s="168">
        <f>D188</f>
        <v>0</v>
      </c>
      <c r="AK219" s="168"/>
      <c r="AL219" s="168"/>
      <c r="AM219" s="168">
        <f>'Calcul éco'!W275</f>
        <v>200</v>
      </c>
      <c r="AN219" s="168">
        <f>AJ219*AM219</f>
        <v>0</v>
      </c>
      <c r="AO219" s="243"/>
      <c r="AP219" s="32"/>
      <c r="AQ219" s="243"/>
    </row>
    <row r="220" spans="1:43" x14ac:dyDescent="0.25">
      <c r="B220" s="14" t="s">
        <v>1379</v>
      </c>
      <c r="C220" s="168">
        <f>'Calcul éco'!J142</f>
        <v>399.33000000000004</v>
      </c>
      <c r="D220" s="265">
        <f>SUM(AN215:AN219)</f>
        <v>0</v>
      </c>
      <c r="E220" s="17" t="s">
        <v>1380</v>
      </c>
      <c r="H220" s="14" t="s">
        <v>1026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1381</v>
      </c>
      <c r="C221" s="168">
        <f>ROUND(SUM(C216:C220),0)</f>
        <v>44160</v>
      </c>
      <c r="D221" s="265">
        <f>ROUND(SUM(D216:D220),0)</f>
        <v>0</v>
      </c>
      <c r="E221" s="17" t="s">
        <v>1380</v>
      </c>
      <c r="H221" s="14" t="s">
        <v>1027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1093</v>
      </c>
      <c r="B222" s="14" t="s">
        <v>1382</v>
      </c>
      <c r="C222" s="168">
        <f>'Calcul éco'!J149</f>
        <v>919.99999999999989</v>
      </c>
      <c r="D222" s="260">
        <f>ROUND(C222*D$82/C$82,0)</f>
        <v>0</v>
      </c>
      <c r="K222" t="s">
        <v>1373</v>
      </c>
      <c r="L222" t="s">
        <v>1383</v>
      </c>
    </row>
    <row r="223" spans="1:43" x14ac:dyDescent="0.25">
      <c r="B223" s="14" t="s">
        <v>1095</v>
      </c>
      <c r="C223" s="168">
        <f>'Calcul éco'!J150</f>
        <v>1000</v>
      </c>
      <c r="D223" s="168">
        <f>C223</f>
        <v>1000</v>
      </c>
      <c r="J223" s="14" t="s">
        <v>1384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1123</v>
      </c>
      <c r="AM223" t="s">
        <v>1124</v>
      </c>
      <c r="AN223" t="s">
        <v>1125</v>
      </c>
      <c r="AO223" t="s">
        <v>1126</v>
      </c>
    </row>
    <row r="224" spans="1:43" x14ac:dyDescent="0.25">
      <c r="B224" s="14" t="s">
        <v>1096</v>
      </c>
      <c r="C224" s="168">
        <f>'Calcul éco'!J151</f>
        <v>5727</v>
      </c>
      <c r="D224" s="168">
        <f>C224</f>
        <v>5727</v>
      </c>
      <c r="G224" s="14"/>
      <c r="H224" s="14"/>
      <c r="J224" s="14" t="s">
        <v>1385</v>
      </c>
      <c r="K224" s="30">
        <f>Scénario!K62</f>
        <v>0</v>
      </c>
      <c r="L224" s="30">
        <f>K224*'Synthèse résultats'!D$82/'Synthèse résultats'!C$82</f>
        <v>0</v>
      </c>
      <c r="AJ224" s="14" t="s">
        <v>336</v>
      </c>
      <c r="AK224" s="30">
        <f>D182</f>
        <v>0</v>
      </c>
      <c r="AL224" t="s">
        <v>1127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1098</v>
      </c>
      <c r="C225" s="168">
        <f>'Calcul éco'!J152</f>
        <v>0</v>
      </c>
      <c r="D225" s="168">
        <f>C225</f>
        <v>0</v>
      </c>
      <c r="G225" s="19"/>
      <c r="H225" s="19"/>
      <c r="J225" s="14" t="s">
        <v>1386</v>
      </c>
      <c r="K225" s="30">
        <f>Scénario!K66</f>
        <v>0</v>
      </c>
      <c r="L225" s="30">
        <f>K225*'Synthèse résultats'!D$82/'Synthèse résultats'!C$82</f>
        <v>0</v>
      </c>
      <c r="AJ225" s="14" t="s">
        <v>1128</v>
      </c>
      <c r="AK225" s="30">
        <f>D183</f>
        <v>0</v>
      </c>
      <c r="AL225" t="s">
        <v>1129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1100</v>
      </c>
      <c r="C226" s="168">
        <f>'Calcul éco'!J153</f>
        <v>9587</v>
      </c>
      <c r="D226" s="260">
        <f>ROUND(C226*D$82/C$82,0)</f>
        <v>0</v>
      </c>
      <c r="G226" s="14"/>
      <c r="H226" s="14"/>
      <c r="AJ226" s="14" t="s">
        <v>1130</v>
      </c>
      <c r="AK226" s="30">
        <f>D187</f>
        <v>0</v>
      </c>
      <c r="AN226" s="168">
        <f>[1]Protect!$B$83</f>
        <v>2000</v>
      </c>
      <c r="AO226" s="168">
        <f t="shared" ref="AO226:AO227" si="108">AK226*AN226</f>
        <v>0</v>
      </c>
    </row>
    <row r="227" spans="1:49" x14ac:dyDescent="0.25">
      <c r="B227" s="14" t="s">
        <v>1102</v>
      </c>
      <c r="C227" s="168">
        <f>'Calcul éco'!J154</f>
        <v>6347.9999999999991</v>
      </c>
      <c r="D227" s="260">
        <f t="shared" ref="D227:D233" si="109">ROUND(C227*D$82/C$82,0)</f>
        <v>0</v>
      </c>
      <c r="AJ227" s="14" t="s">
        <v>1131</v>
      </c>
      <c r="AK227" s="30">
        <f>D188</f>
        <v>0</v>
      </c>
      <c r="AN227" s="168">
        <f>[1]Protect!$B$84</f>
        <v>5000</v>
      </c>
      <c r="AO227" s="168">
        <f t="shared" si="108"/>
        <v>0</v>
      </c>
      <c r="AQ227" t="s">
        <v>1132</v>
      </c>
      <c r="AR227" t="s">
        <v>1133</v>
      </c>
      <c r="AS227" t="s">
        <v>1134</v>
      </c>
      <c r="AT227" t="s">
        <v>1135</v>
      </c>
      <c r="AU227" t="s">
        <v>1136</v>
      </c>
      <c r="AV227" t="s">
        <v>1137</v>
      </c>
      <c r="AW227" t="s">
        <v>1138</v>
      </c>
    </row>
    <row r="228" spans="1:49" x14ac:dyDescent="0.25">
      <c r="B228" s="14" t="s">
        <v>1104</v>
      </c>
      <c r="C228" s="168"/>
      <c r="D228" s="260">
        <f t="shared" si="109"/>
        <v>0</v>
      </c>
      <c r="AN228" s="14" t="s">
        <v>1139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2">
        <f>[1]Protect!$B$19</f>
        <v>0.04</v>
      </c>
      <c r="AV228" s="213">
        <f>[1]Protect!$B$20</f>
        <v>10</v>
      </c>
      <c r="AW228" s="239">
        <f>PPMT(AU228,1,AV228,-AT228)+IPMT(AU228,1,AV228,-AT228)</f>
        <v>0</v>
      </c>
    </row>
    <row r="229" spans="1:49" x14ac:dyDescent="0.25">
      <c r="B229" s="14" t="s">
        <v>1107</v>
      </c>
      <c r="C229" s="168">
        <f>'Calcul éco'!J157</f>
        <v>0</v>
      </c>
      <c r="D229" s="260">
        <f t="shared" si="109"/>
        <v>0</v>
      </c>
    </row>
    <row r="230" spans="1:49" x14ac:dyDescent="0.25">
      <c r="B230" s="14" t="s">
        <v>1108</v>
      </c>
      <c r="C230" s="168">
        <f>'Calcul éco'!J158</f>
        <v>32.579999999999941</v>
      </c>
      <c r="D230" s="260">
        <f t="shared" si="109"/>
        <v>0</v>
      </c>
    </row>
    <row r="231" spans="1:49" x14ac:dyDescent="0.25">
      <c r="B231" s="14" t="s">
        <v>1109</v>
      </c>
      <c r="C231" s="168">
        <f>'Calcul éco'!J159</f>
        <v>30.000000000000053</v>
      </c>
      <c r="D231" s="260">
        <f t="shared" si="109"/>
        <v>0</v>
      </c>
      <c r="AJ231" s="14" t="s">
        <v>1140</v>
      </c>
      <c r="AK231" s="30">
        <f>D186</f>
        <v>0</v>
      </c>
      <c r="AL231" t="s">
        <v>1129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2">
        <f>[1]Protect!$B$19</f>
        <v>0.04</v>
      </c>
      <c r="AV231" s="213">
        <f>[1]Protect!$B$20</f>
        <v>10</v>
      </c>
      <c r="AW231" s="239">
        <f t="shared" ref="AW231" si="111">PPMT(AU231,1,AV231,-AT231)+IPMT(AU231,1,AV231,-AT231)</f>
        <v>0</v>
      </c>
    </row>
    <row r="232" spans="1:49" x14ac:dyDescent="0.25">
      <c r="B232" s="14" t="s">
        <v>1110</v>
      </c>
      <c r="C232" s="168">
        <f>'Calcul éco'!J160</f>
        <v>0</v>
      </c>
      <c r="D232" s="260">
        <f t="shared" si="109"/>
        <v>0</v>
      </c>
    </row>
    <row r="233" spans="1:49" x14ac:dyDescent="0.25">
      <c r="B233" s="14" t="s">
        <v>1111</v>
      </c>
      <c r="C233" s="168">
        <f>'Calcul éco'!J161</f>
        <v>15.539999999999974</v>
      </c>
      <c r="D233" s="260">
        <f t="shared" si="109"/>
        <v>0</v>
      </c>
    </row>
    <row r="234" spans="1:49" x14ac:dyDescent="0.25">
      <c r="B234" s="14" t="s">
        <v>1387</v>
      </c>
      <c r="C234" s="168">
        <f>'Calcul éco'!J166</f>
        <v>0</v>
      </c>
      <c r="D234" s="168">
        <f>C234</f>
        <v>0</v>
      </c>
    </row>
    <row r="235" spans="1:49" x14ac:dyDescent="0.25">
      <c r="B235" s="14" t="s">
        <v>1388</v>
      </c>
      <c r="C235" s="168">
        <f>'Calcul éco'!J167</f>
        <v>2391.75</v>
      </c>
      <c r="D235" s="265">
        <f>(D191+D192)*8*[1]Eco!$B$106</f>
        <v>2338.6000000000004</v>
      </c>
      <c r="E235" s="17" t="s">
        <v>1380</v>
      </c>
    </row>
    <row r="236" spans="1:49" x14ac:dyDescent="0.25">
      <c r="B236" s="14" t="s">
        <v>1389</v>
      </c>
      <c r="C236" s="168">
        <f>ROUND(SUM(C222:C235),0)</f>
        <v>26052</v>
      </c>
      <c r="D236" s="265">
        <f>ROUND(SUM(D222:D235),0)</f>
        <v>9066</v>
      </c>
      <c r="E236" s="17" t="s">
        <v>1390</v>
      </c>
    </row>
    <row r="237" spans="1:49" x14ac:dyDescent="0.25">
      <c r="A237" s="2" t="s">
        <v>1391</v>
      </c>
      <c r="B237" s="204" t="s">
        <v>1117</v>
      </c>
      <c r="C237" s="168">
        <f>C194+C211-C221-C236</f>
        <v>19831.399999999994</v>
      </c>
      <c r="D237" s="265">
        <f>D194+D211-D221-D236</f>
        <v>-5449</v>
      </c>
    </row>
    <row r="238" spans="1:49" x14ac:dyDescent="0.25">
      <c r="B238" s="204" t="s">
        <v>1118</v>
      </c>
      <c r="C238" s="168">
        <f>ROUND(C237/Scénario!$K$4,0)</f>
        <v>19831</v>
      </c>
      <c r="D238" s="265" t="e">
        <f>ROUND(D237/D83,0)</f>
        <v>#DIV/0!</v>
      </c>
    </row>
    <row r="239" spans="1:49" x14ac:dyDescent="0.25">
      <c r="B239" s="204" t="s">
        <v>1119</v>
      </c>
      <c r="C239" s="168">
        <f>'Calcul éco'!B177</f>
        <v>11000</v>
      </c>
      <c r="D239" s="265">
        <f>C239</f>
        <v>11000</v>
      </c>
    </row>
    <row r="240" spans="1:49" x14ac:dyDescent="0.25">
      <c r="B240" s="204" t="s">
        <v>1120</v>
      </c>
      <c r="C240" s="268">
        <f>'Calcul éco'!B178</f>
        <v>656.45030399137863</v>
      </c>
      <c r="D240" s="269">
        <f>AW228+AW231</f>
        <v>0</v>
      </c>
      <c r="E240" s="17" t="s">
        <v>1380</v>
      </c>
    </row>
    <row r="241" spans="1:15" x14ac:dyDescent="0.25">
      <c r="B241" s="204" t="s">
        <v>1121</v>
      </c>
      <c r="C241" s="270">
        <f>ROUND(C237-C239-C240,0)</f>
        <v>8175</v>
      </c>
      <c r="D241" s="269">
        <f>ROUND(D237-D239-D240,0)</f>
        <v>-16449</v>
      </c>
    </row>
    <row r="242" spans="1:15" x14ac:dyDescent="0.25">
      <c r="B242" s="204" t="s">
        <v>1122</v>
      </c>
      <c r="C242" s="168">
        <f>ROUND(C241/Scénario!K4,0)</f>
        <v>8175</v>
      </c>
      <c r="D242" s="265" t="e">
        <f>ROUND(D241/D83,0)</f>
        <v>#DIV/0!</v>
      </c>
    </row>
    <row r="243" spans="1:15" x14ac:dyDescent="0.25">
      <c r="B243" s="204" t="s">
        <v>1392</v>
      </c>
      <c r="C243" s="168">
        <f>'Calcul éco'!X237+'Calcul éco'!X240</f>
        <v>26622</v>
      </c>
      <c r="D243" s="168">
        <f>C243</f>
        <v>26622</v>
      </c>
    </row>
    <row r="244" spans="1:15" x14ac:dyDescent="0.25">
      <c r="B244" s="204" t="s">
        <v>1393</v>
      </c>
      <c r="C244" s="168">
        <f>'Calcul éco'!AA237+'Calcul éco'!AA240</f>
        <v>5324.3999999999978</v>
      </c>
      <c r="D244" s="168">
        <f>C244</f>
        <v>5324.3999999999978</v>
      </c>
    </row>
    <row r="245" spans="1:15" x14ac:dyDescent="0.25">
      <c r="A245" s="2" t="s">
        <v>1394</v>
      </c>
      <c r="B245" s="14" t="s">
        <v>553</v>
      </c>
      <c r="C245" s="271">
        <f>Travail!F5</f>
        <v>574</v>
      </c>
      <c r="D245" s="168">
        <f>C245</f>
        <v>574</v>
      </c>
    </row>
    <row r="246" spans="1:15" x14ac:dyDescent="0.25">
      <c r="B246" s="14" t="s">
        <v>567</v>
      </c>
      <c r="C246" s="271">
        <f>Travail!F6</f>
        <v>0</v>
      </c>
      <c r="D246" s="168">
        <f t="shared" ref="D246:D247" si="112">C246</f>
        <v>0</v>
      </c>
    </row>
    <row r="247" spans="1:15" x14ac:dyDescent="0.25">
      <c r="B247" s="14" t="s">
        <v>574</v>
      </c>
      <c r="C247" s="271">
        <f>Travail!F7</f>
        <v>0</v>
      </c>
      <c r="D247" s="168">
        <f t="shared" si="112"/>
        <v>0</v>
      </c>
    </row>
    <row r="248" spans="1:15" x14ac:dyDescent="0.25">
      <c r="A248" s="43" t="s">
        <v>763</v>
      </c>
      <c r="B248" s="14" t="s">
        <v>553</v>
      </c>
      <c r="C248" s="271">
        <f>Travail!F9</f>
        <v>1214.41992</v>
      </c>
      <c r="D248" s="265">
        <f>ROUND(SUM(AV163:BS163),1)</f>
        <v>0</v>
      </c>
    </row>
    <row r="249" spans="1:15" x14ac:dyDescent="0.25">
      <c r="B249" s="14" t="s">
        <v>567</v>
      </c>
      <c r="C249" s="271">
        <f>Travail!F10</f>
        <v>0</v>
      </c>
      <c r="D249" s="265">
        <f>SUM(CB163:CY163)</f>
        <v>0</v>
      </c>
    </row>
    <row r="250" spans="1:15" x14ac:dyDescent="0.25">
      <c r="B250" s="14" t="s">
        <v>574</v>
      </c>
      <c r="C250" s="271">
        <f>Travail!F11</f>
        <v>0</v>
      </c>
      <c r="D250" s="265">
        <f>SUM(DE163:EB163)</f>
        <v>0</v>
      </c>
    </row>
    <row r="251" spans="1:15" x14ac:dyDescent="0.25">
      <c r="A251" s="43" t="s">
        <v>766</v>
      </c>
      <c r="B251" s="14" t="s">
        <v>553</v>
      </c>
      <c r="C251" s="271">
        <f>Travail!F16</f>
        <v>0</v>
      </c>
      <c r="D251" s="168">
        <f>C251</f>
        <v>0</v>
      </c>
      <c r="J251" s="40" t="s">
        <v>791</v>
      </c>
      <c r="M251" s="5"/>
      <c r="N251" s="5"/>
      <c r="O251" s="166"/>
    </row>
    <row r="252" spans="1:15" x14ac:dyDescent="0.25">
      <c r="A252" s="43"/>
      <c r="B252" s="14" t="s">
        <v>567</v>
      </c>
      <c r="C252" s="271">
        <f>Travail!F17</f>
        <v>0</v>
      </c>
      <c r="D252" s="168">
        <f t="shared" ref="D252:D253" si="113">C252</f>
        <v>0</v>
      </c>
      <c r="J252" s="37" t="s">
        <v>792</v>
      </c>
      <c r="K252" s="166" t="s">
        <v>52</v>
      </c>
      <c r="L252" t="s">
        <v>793</v>
      </c>
      <c r="M252" s="5"/>
      <c r="N252" s="5"/>
      <c r="O252" s="166"/>
    </row>
    <row r="253" spans="1:15" x14ac:dyDescent="0.25">
      <c r="A253" s="43"/>
      <c r="B253" s="14" t="s">
        <v>574</v>
      </c>
      <c r="C253" s="271">
        <f>Travail!F18</f>
        <v>0</v>
      </c>
      <c r="D253" s="168">
        <f t="shared" si="113"/>
        <v>0</v>
      </c>
      <c r="J253" s="14" t="s">
        <v>795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773</v>
      </c>
      <c r="B254" s="14" t="s">
        <v>553</v>
      </c>
      <c r="C254" s="271">
        <f>Travail!F20</f>
        <v>0</v>
      </c>
      <c r="D254" s="168">
        <f>Travail!G20</f>
        <v>0</v>
      </c>
      <c r="J254" s="14" t="s">
        <v>797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4">K254*L254</f>
        <v>0</v>
      </c>
    </row>
    <row r="255" spans="1:15" x14ac:dyDescent="0.25">
      <c r="A255" s="43"/>
      <c r="B255" s="14" t="s">
        <v>567</v>
      </c>
      <c r="C255" s="271">
        <f>Travail!F21</f>
        <v>0</v>
      </c>
      <c r="D255" s="168">
        <f>Travail!G21</f>
        <v>0</v>
      </c>
      <c r="J255" s="32" t="s">
        <v>799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4"/>
        <v>0</v>
      </c>
    </row>
    <row r="256" spans="1:15" x14ac:dyDescent="0.25">
      <c r="B256" s="14" t="s">
        <v>574</v>
      </c>
      <c r="C256" s="271">
        <f>Travail!F22</f>
        <v>0</v>
      </c>
      <c r="D256" s="168">
        <f>Travail!G22</f>
        <v>0</v>
      </c>
      <c r="J256" s="32" t="s">
        <v>800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4"/>
        <v>0</v>
      </c>
    </row>
    <row r="257" spans="1:15" x14ac:dyDescent="0.25">
      <c r="A257" s="2" t="s">
        <v>776</v>
      </c>
      <c r="B257" s="14" t="s">
        <v>553</v>
      </c>
      <c r="C257" s="271">
        <f>Travail!F31</f>
        <v>465.66666666666669</v>
      </c>
      <c r="D257" s="260">
        <f>ROUND(C257*D$82/C$82,0)</f>
        <v>0</v>
      </c>
      <c r="E257" s="17" t="s">
        <v>1395</v>
      </c>
      <c r="J257" s="32" t="s">
        <v>801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4"/>
        <v>0</v>
      </c>
    </row>
    <row r="258" spans="1:15" x14ac:dyDescent="0.25">
      <c r="A258" s="2"/>
      <c r="B258" s="14" t="s">
        <v>567</v>
      </c>
      <c r="C258" s="271">
        <f>Travail!F32</f>
        <v>0</v>
      </c>
      <c r="D258" s="260">
        <f t="shared" ref="D258:D259" si="115">ROUND(C258*D$82/C$82,0)</f>
        <v>0</v>
      </c>
      <c r="E258" s="17"/>
      <c r="J258" s="32" t="s">
        <v>802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4"/>
        <v>0</v>
      </c>
    </row>
    <row r="259" spans="1:15" x14ac:dyDescent="0.25">
      <c r="B259" s="14" t="s">
        <v>574</v>
      </c>
      <c r="C259" s="271">
        <f>Travail!F33</f>
        <v>0</v>
      </c>
      <c r="D259" s="260">
        <f t="shared" si="115"/>
        <v>0</v>
      </c>
      <c r="J259" s="32" t="s">
        <v>803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4"/>
        <v>0</v>
      </c>
    </row>
    <row r="260" spans="1:15" x14ac:dyDescent="0.25">
      <c r="A260" s="2" t="s">
        <v>779</v>
      </c>
      <c r="B260" s="14" t="s">
        <v>553</v>
      </c>
      <c r="C260" s="271">
        <f>ROUND(Travail!F35,0)</f>
        <v>820</v>
      </c>
      <c r="D260" s="265">
        <f>ROUND(Travail!B35+(Travail!D35*Travail!C35*'Synthèse résultats'!G63),0)</f>
        <v>220</v>
      </c>
      <c r="E260" s="17" t="s">
        <v>1396</v>
      </c>
      <c r="J260" s="32" t="s">
        <v>804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4"/>
        <v>0</v>
      </c>
    </row>
    <row r="261" spans="1:15" x14ac:dyDescent="0.25">
      <c r="A261" s="2" t="s">
        <v>784</v>
      </c>
      <c r="B261" s="14" t="s">
        <v>553</v>
      </c>
      <c r="C261" s="271">
        <f>Travail!F39</f>
        <v>0</v>
      </c>
      <c r="D261" s="260">
        <f>ROUND(C261*G63,0)</f>
        <v>0</v>
      </c>
      <c r="E261" s="17" t="s">
        <v>1397</v>
      </c>
      <c r="J261" s="32" t="s">
        <v>805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4"/>
        <v>0</v>
      </c>
    </row>
    <row r="262" spans="1:15" x14ac:dyDescent="0.25">
      <c r="A262" s="2" t="s">
        <v>1398</v>
      </c>
      <c r="B262" s="14" t="s">
        <v>795</v>
      </c>
      <c r="C262" s="271">
        <f>Travail!F50</f>
        <v>0</v>
      </c>
      <c r="D262" s="265">
        <f t="shared" ref="D262:D271" si="116">ROUND(K253*L253,0)</f>
        <v>0</v>
      </c>
      <c r="E262" s="17" t="s">
        <v>1399</v>
      </c>
      <c r="J262" s="32" t="s">
        <v>807</v>
      </c>
      <c r="K262" s="168">
        <f>D89</f>
        <v>0</v>
      </c>
      <c r="L262" s="183">
        <f>[1]Trav!$B$123</f>
        <v>7.2</v>
      </c>
      <c r="M262" s="5"/>
      <c r="N262" s="167"/>
      <c r="O262">
        <f t="shared" si="114"/>
        <v>0</v>
      </c>
    </row>
    <row r="263" spans="1:15" x14ac:dyDescent="0.25">
      <c r="B263" s="14" t="s">
        <v>797</v>
      </c>
      <c r="C263" s="271">
        <f>Travail!F51</f>
        <v>0</v>
      </c>
      <c r="D263" s="265">
        <f t="shared" si="116"/>
        <v>0</v>
      </c>
    </row>
    <row r="264" spans="1:15" x14ac:dyDescent="0.25">
      <c r="B264" s="32" t="s">
        <v>799</v>
      </c>
      <c r="C264" s="271">
        <f>Travail!F52</f>
        <v>0</v>
      </c>
      <c r="D264" s="265">
        <f t="shared" si="116"/>
        <v>0</v>
      </c>
    </row>
    <row r="265" spans="1:15" x14ac:dyDescent="0.25">
      <c r="B265" s="32" t="s">
        <v>800</v>
      </c>
      <c r="C265" s="271">
        <f>Travail!F53</f>
        <v>0</v>
      </c>
      <c r="D265" s="265">
        <f t="shared" si="116"/>
        <v>0</v>
      </c>
    </row>
    <row r="266" spans="1:15" x14ac:dyDescent="0.25">
      <c r="B266" s="32" t="s">
        <v>801</v>
      </c>
      <c r="C266" s="271">
        <f>Travail!F54</f>
        <v>26</v>
      </c>
      <c r="D266" s="265">
        <f t="shared" si="116"/>
        <v>0</v>
      </c>
    </row>
    <row r="267" spans="1:15" x14ac:dyDescent="0.25">
      <c r="B267" s="32" t="s">
        <v>802</v>
      </c>
      <c r="C267" s="271">
        <f>Travail!F55</f>
        <v>84</v>
      </c>
      <c r="D267" s="265">
        <f t="shared" si="116"/>
        <v>0</v>
      </c>
    </row>
    <row r="268" spans="1:15" x14ac:dyDescent="0.25">
      <c r="B268" s="32" t="s">
        <v>803</v>
      </c>
      <c r="C268" s="271">
        <f>Travail!F56</f>
        <v>75</v>
      </c>
      <c r="D268" s="265">
        <f t="shared" si="116"/>
        <v>0</v>
      </c>
    </row>
    <row r="269" spans="1:15" x14ac:dyDescent="0.25">
      <c r="B269" s="32" t="s">
        <v>804</v>
      </c>
      <c r="C269" s="271">
        <f>Travail!F57</f>
        <v>0</v>
      </c>
      <c r="D269" s="265">
        <f t="shared" si="116"/>
        <v>0</v>
      </c>
    </row>
    <row r="270" spans="1:15" x14ac:dyDescent="0.25">
      <c r="B270" s="32" t="s">
        <v>805</v>
      </c>
      <c r="C270" s="271">
        <f>Travail!F58</f>
        <v>6</v>
      </c>
      <c r="D270" s="265">
        <f t="shared" si="116"/>
        <v>0</v>
      </c>
    </row>
    <row r="271" spans="1:15" x14ac:dyDescent="0.25">
      <c r="B271" s="32" t="s">
        <v>807</v>
      </c>
      <c r="C271" s="271">
        <f>Travail!F59</f>
        <v>72</v>
      </c>
      <c r="D271" s="265">
        <f t="shared" si="116"/>
        <v>0</v>
      </c>
    </row>
    <row r="272" spans="1:15" x14ac:dyDescent="0.25">
      <c r="A272" s="23" t="s">
        <v>1400</v>
      </c>
      <c r="B272" s="32" t="s">
        <v>811</v>
      </c>
      <c r="C272" s="271">
        <f>Travail!F61</f>
        <v>120</v>
      </c>
      <c r="D272" s="168">
        <f>C272</f>
        <v>120</v>
      </c>
    </row>
    <row r="273" spans="1:4" x14ac:dyDescent="0.25">
      <c r="B273" s="32" t="s">
        <v>812</v>
      </c>
      <c r="C273" s="271">
        <f>Travail!F62</f>
        <v>120</v>
      </c>
      <c r="D273" s="168">
        <f t="shared" ref="D273:D274" si="117">C273</f>
        <v>120</v>
      </c>
    </row>
    <row r="274" spans="1:4" x14ac:dyDescent="0.25">
      <c r="B274" s="32" t="s">
        <v>1401</v>
      </c>
      <c r="C274" s="271">
        <f>SUM(Travail!F63:F65)</f>
        <v>200</v>
      </c>
      <c r="D274" s="168">
        <f t="shared" si="117"/>
        <v>200</v>
      </c>
    </row>
    <row r="275" spans="1:4" x14ac:dyDescent="0.25">
      <c r="A275" s="23" t="s">
        <v>1402</v>
      </c>
      <c r="B275" s="32" t="s">
        <v>1403</v>
      </c>
      <c r="C275" s="271">
        <f>C191*8</f>
        <v>220</v>
      </c>
      <c r="D275" s="168">
        <f>C275</f>
        <v>220</v>
      </c>
    </row>
    <row r="276" spans="1:4" x14ac:dyDescent="0.25">
      <c r="A276" s="23"/>
      <c r="B276" s="32" t="s">
        <v>1404</v>
      </c>
      <c r="C276" s="271">
        <f>C192*8</f>
        <v>5</v>
      </c>
      <c r="D276" s="265">
        <f>D192*8</f>
        <v>0</v>
      </c>
    </row>
    <row r="277" spans="1:4" x14ac:dyDescent="0.25">
      <c r="B277" s="32" t="s">
        <v>1405</v>
      </c>
      <c r="C277" s="271">
        <f>Travail!F75+Travail!F81</f>
        <v>102</v>
      </c>
      <c r="D277" s="168">
        <f>C277</f>
        <v>102</v>
      </c>
    </row>
    <row r="278" spans="1:4" x14ac:dyDescent="0.25">
      <c r="B278" s="32" t="s">
        <v>1406</v>
      </c>
      <c r="C278" s="271">
        <f>Travail!F76</f>
        <v>0</v>
      </c>
      <c r="D278" s="168"/>
    </row>
    <row r="279" spans="1:4" x14ac:dyDescent="0.25">
      <c r="B279" s="32" t="s">
        <v>1407</v>
      </c>
      <c r="C279" s="271">
        <f>Travail!F86</f>
        <v>0</v>
      </c>
      <c r="D279" s="271">
        <f>C279</f>
        <v>0</v>
      </c>
    </row>
    <row r="280" spans="1:4" x14ac:dyDescent="0.25">
      <c r="B280" s="32" t="s">
        <v>1408</v>
      </c>
      <c r="C280" s="271">
        <f>Travail!F87</f>
        <v>0</v>
      </c>
      <c r="D280" s="271">
        <f>C280</f>
        <v>0</v>
      </c>
    </row>
    <row r="281" spans="1:4" x14ac:dyDescent="0.25">
      <c r="A281" s="2" t="s">
        <v>1409</v>
      </c>
      <c r="B281" s="14" t="s">
        <v>1410</v>
      </c>
      <c r="C281" s="168">
        <f>ROUND(C245+C248+C251+C254+C257+C260+C261,0)</f>
        <v>3074</v>
      </c>
      <c r="D281" s="265">
        <f>ROUND(D245+D248+D251+D254+D257+D260+D261,0)</f>
        <v>794</v>
      </c>
    </row>
    <row r="282" spans="1:4" x14ac:dyDescent="0.25">
      <c r="B282" s="14" t="s">
        <v>1411</v>
      </c>
      <c r="C282" s="168">
        <f>ROUND(C246+C249+C252+C255+C258,0)</f>
        <v>0</v>
      </c>
      <c r="D282" s="265">
        <f>ROUND(D246+D249+D252+D255+D258,0)</f>
        <v>0</v>
      </c>
    </row>
    <row r="283" spans="1:4" x14ac:dyDescent="0.25">
      <c r="B283" s="14" t="s">
        <v>1412</v>
      </c>
      <c r="C283" s="168">
        <f>ROUND(C247+C250+C253+C256+C259,0)</f>
        <v>0</v>
      </c>
      <c r="D283" s="265">
        <f>ROUND(D247+D250+D253+D256+D259,0)</f>
        <v>0</v>
      </c>
    </row>
    <row r="284" spans="1:4" x14ac:dyDescent="0.25">
      <c r="B284" s="14" t="s">
        <v>1413</v>
      </c>
      <c r="C284" s="168">
        <f>ROUND(C281/Troupeau!$B$17,2)</f>
        <v>11.47</v>
      </c>
      <c r="D284" s="168" t="e">
        <f>ROUND(D281/(Troupeau!$B$17*G63),2)</f>
        <v>#DIV/0!</v>
      </c>
    </row>
    <row r="285" spans="1:4" x14ac:dyDescent="0.25">
      <c r="B285" s="14" t="s">
        <v>1414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1415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1416</v>
      </c>
      <c r="C287" s="168">
        <f>SUM(C281:C283)</f>
        <v>3074</v>
      </c>
      <c r="D287" s="265">
        <f>SUM(D281:D283)</f>
        <v>794</v>
      </c>
    </row>
    <row r="288" spans="1:4" x14ac:dyDescent="0.25">
      <c r="B288" s="14" t="s">
        <v>1417</v>
      </c>
      <c r="C288" s="168">
        <f>SUM(C272:C274)</f>
        <v>440</v>
      </c>
      <c r="D288" s="265">
        <f>SUM(D272:D274)</f>
        <v>440</v>
      </c>
    </row>
    <row r="289" spans="2:4" x14ac:dyDescent="0.25">
      <c r="B289" s="14" t="s">
        <v>1418</v>
      </c>
      <c r="C289" s="168">
        <f>SUM(C262:C271)</f>
        <v>263</v>
      </c>
      <c r="D289" s="265">
        <f>SUM(D262:D271)</f>
        <v>0</v>
      </c>
    </row>
    <row r="290" spans="2:4" x14ac:dyDescent="0.25">
      <c r="B290" s="14" t="s">
        <v>1431</v>
      </c>
      <c r="C290" s="271">
        <f>ROUND(SUM(C275:C277),0)</f>
        <v>327</v>
      </c>
      <c r="D290" s="265">
        <f>ROUND(SUM(D275:D280),0)</f>
        <v>322</v>
      </c>
    </row>
    <row r="291" spans="2:4" x14ac:dyDescent="0.25">
      <c r="B291" s="14" t="s">
        <v>1432</v>
      </c>
      <c r="C291" s="271">
        <f>ROUND(SUM(C278:C280),0)</f>
        <v>0</v>
      </c>
      <c r="D291" s="265">
        <f>ROUND(SUM(D287:D290),0)</f>
        <v>1556</v>
      </c>
    </row>
    <row r="292" spans="2:4" x14ac:dyDescent="0.25">
      <c r="B292" s="14" t="s">
        <v>888</v>
      </c>
      <c r="C292" s="168">
        <f>ROUND(SUM(C287:C290),0)</f>
        <v>4104</v>
      </c>
      <c r="D292" s="168">
        <f>ROUND(IF(Scénario!L129=1,SUM(D275:D280),SUM(D279:D280)),0)</f>
        <v>0</v>
      </c>
    </row>
    <row r="293" spans="2:4" x14ac:dyDescent="0.25">
      <c r="B293" s="14" t="s">
        <v>889</v>
      </c>
      <c r="C293" s="168">
        <f>ROUND(IF(Scénario!K129=1,SUM(C275:C280),SUM(C279:C280)),0)</f>
        <v>327</v>
      </c>
      <c r="D293" s="168" t="e">
        <f>ROUND((D291-D292)/D83,0)</f>
        <v>#DIV/0!</v>
      </c>
    </row>
    <row r="294" spans="2:4" x14ac:dyDescent="0.25">
      <c r="B294" s="14" t="s">
        <v>890</v>
      </c>
      <c r="C294" s="168">
        <f>ROUND((C292-C293)/C83,0)</f>
        <v>3777</v>
      </c>
    </row>
    <row r="295" spans="2:4" x14ac:dyDescent="0.25">
      <c r="B295" s="14" t="s">
        <v>1433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1434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1435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1436</v>
      </c>
      <c r="C298" s="168">
        <f>IF(Troupeau!$B$3="OL",CdTrp1!AA220,0)</f>
        <v>75.916365145599968</v>
      </c>
    </row>
    <row r="299" spans="2:4" x14ac:dyDescent="0.25">
      <c r="B299" s="14" t="s">
        <v>1437</v>
      </c>
      <c r="C299" s="168">
        <f>IF(Troupeau!$B$3="OL",CdTrp1!AA221,0)</f>
        <v>0</v>
      </c>
    </row>
    <row r="300" spans="2:4" x14ac:dyDescent="0.25">
      <c r="B300" s="14" t="s">
        <v>1438</v>
      </c>
      <c r="C300" s="168">
        <f>IF(Troupeau!$B$3="BV",CdTrp1!AA220,0)+IF(Troupeau!$C$3="BV",CdTrp2!AA220,0)</f>
        <v>0</v>
      </c>
    </row>
    <row r="301" spans="2:4" x14ac:dyDescent="0.25">
      <c r="B301" s="14" t="s">
        <v>1439</v>
      </c>
      <c r="C301" s="168">
        <f>IF(Troupeau!$B$3="BV",CdTrp1!AA221,0)+IF(Troupeau!$C$3="BV",CdTrp2!AA221,0)</f>
        <v>0</v>
      </c>
    </row>
    <row r="302" spans="2:4" x14ac:dyDescent="0.25">
      <c r="B302" s="14" t="s">
        <v>1440</v>
      </c>
      <c r="C302" s="168">
        <f>IF(Troupeau!$B$3="VL",CdTrp1!AA220,0)</f>
        <v>0</v>
      </c>
    </row>
    <row r="303" spans="2:4" x14ac:dyDescent="0.25">
      <c r="B303" s="14" t="s">
        <v>1441</v>
      </c>
      <c r="C303" s="168">
        <f>'Alim -Surf'!H10</f>
        <v>0</v>
      </c>
    </row>
    <row r="304" spans="2:4" x14ac:dyDescent="0.25">
      <c r="B304" s="14" t="s">
        <v>1442</v>
      </c>
      <c r="C304" s="168">
        <f>Protection!BL31+Protection!BK31</f>
        <v>18.399999999999999</v>
      </c>
    </row>
    <row r="305" spans="2:3" x14ac:dyDescent="0.25">
      <c r="B305" s="14" t="s">
        <v>1443</v>
      </c>
      <c r="C305" s="168">
        <f>Protection!BJ31</f>
        <v>0</v>
      </c>
    </row>
    <row r="306" spans="2:3" x14ac:dyDescent="0.25">
      <c r="B306" s="14" t="s">
        <v>1444</v>
      </c>
      <c r="C306" s="168">
        <f>'Calcul éco'!X233</f>
        <v>0</v>
      </c>
    </row>
    <row r="307" spans="2:3" x14ac:dyDescent="0.25">
      <c r="B307" s="14" t="s">
        <v>1445</v>
      </c>
      <c r="C307" s="168">
        <f>'Calcul éco'!X234</f>
        <v>26622</v>
      </c>
    </row>
    <row r="308" spans="2:3" x14ac:dyDescent="0.25">
      <c r="B308" s="14" t="s">
        <v>1446</v>
      </c>
      <c r="C308" s="168">
        <f>'Calcul éco'!X235</f>
        <v>0</v>
      </c>
    </row>
    <row r="309" spans="2:3" x14ac:dyDescent="0.25">
      <c r="B309" s="14" t="s">
        <v>1447</v>
      </c>
      <c r="C309" s="168">
        <f>'Calcul éco'!X236</f>
        <v>0</v>
      </c>
    </row>
    <row r="310" spans="2:3" x14ac:dyDescent="0.25">
      <c r="B310" s="14" t="s">
        <v>1448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5" zoomScaleNormal="100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487</v>
      </c>
      <c r="C3" s="77"/>
      <c r="D3" s="77"/>
      <c r="E3" s="77"/>
    </row>
    <row r="4" spans="1:13" x14ac:dyDescent="0.25">
      <c r="A4" t="s">
        <v>99</v>
      </c>
      <c r="B4" s="77">
        <v>283</v>
      </c>
      <c r="C4" s="77"/>
      <c r="D4" s="77"/>
      <c r="E4" s="77"/>
      <c r="H4" s="59" t="s">
        <v>328</v>
      </c>
    </row>
    <row r="5" spans="1:13" s="5" customFormat="1" x14ac:dyDescent="0.25">
      <c r="A5" s="5" t="s">
        <v>110</v>
      </c>
      <c r="B5" s="77">
        <v>177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55</v>
      </c>
      <c r="C6" s="77"/>
      <c r="D6" s="77"/>
      <c r="E6" s="77"/>
      <c r="H6" t="s">
        <v>431</v>
      </c>
    </row>
    <row r="7" spans="1:13" x14ac:dyDescent="0.25">
      <c r="A7" t="s">
        <v>116</v>
      </c>
      <c r="B7" s="77">
        <v>1</v>
      </c>
      <c r="C7" s="77"/>
      <c r="D7" s="77"/>
      <c r="E7" s="77"/>
      <c r="H7" t="s">
        <v>432</v>
      </c>
    </row>
    <row r="8" spans="1:13" s="5" customFormat="1" x14ac:dyDescent="0.25">
      <c r="A8" t="s">
        <v>104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H9" s="5" t="s">
        <v>433</v>
      </c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10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13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/>
      <c r="D17" s="60"/>
      <c r="E17" s="60"/>
      <c r="H17" s="2" t="s">
        <v>154</v>
      </c>
      <c r="I17" s="22"/>
      <c r="J17" s="60">
        <v>45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254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241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375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148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336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64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64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50128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51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IF(J$28&lt;=1,B21/2-B22,0)</f>
        <v>104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168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49.112000000000009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37.520000000000003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1.7920000000000003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8.9600000000000009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298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284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283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290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293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297</v>
      </c>
      <c r="B67" s="58"/>
      <c r="C67" s="58"/>
      <c r="D67" s="58"/>
      <c r="E67" s="58"/>
      <c r="F67"/>
      <c r="G67"/>
      <c r="H67" t="s">
        <v>299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290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5820.9600000000009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229</v>
      </c>
      <c r="I72" s="17">
        <v>2</v>
      </c>
      <c r="J72" s="76">
        <f>HLOOKUP(J$17,[1]Anx!$C$50:$CO$85,$I72)</f>
        <v>21.720000000000002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8">B$17*J73</f>
        <v>33189.120000000003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230</v>
      </c>
      <c r="I73" s="17">
        <v>3</v>
      </c>
      <c r="J73" s="76">
        <f>HLOOKUP(J$17,[1]Anx!$C$50:$CO$85,$I73)</f>
        <v>123.84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8"/>
        <v>5049.12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231</v>
      </c>
      <c r="I74" s="17">
        <v>4</v>
      </c>
      <c r="J74" s="76">
        <f>HLOOKUP(J$17,[1]Anx!$C$50:$CO$85,$I74)</f>
        <v>18.84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356</v>
      </c>
      <c r="B75" s="61">
        <f t="shared" si="8"/>
        <v>8072.16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232</v>
      </c>
      <c r="I75" s="17">
        <v>5</v>
      </c>
      <c r="J75" s="76">
        <f>HLOOKUP(J$17,[1]Anx!$C$50:$CO$85,$I75)</f>
        <v>30.12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357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8524.7999999999993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238</v>
      </c>
      <c r="I77" s="17">
        <v>7</v>
      </c>
      <c r="J77" s="76">
        <f>HLOOKUP(J$17,[1]Anx!$C$50:$CO$85,$I77)</f>
        <v>133.19999999999999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0">B$22*J78</f>
        <v>3225.6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239</v>
      </c>
      <c r="I78" s="17">
        <v>8</v>
      </c>
      <c r="J78" s="76">
        <f>HLOOKUP(J$17,[1]Anx!$C$50:$CO$85,$I78)</f>
        <v>50.4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358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359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360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361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362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363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364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365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366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367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368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369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370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371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372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373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374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375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376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377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workbookViewId="0">
      <pane ySplit="1" topLeftCell="A12" activePane="bottomLeft" state="frozen"/>
      <selection pane="bottomLeft" activeCell="B54" sqref="B54:Y54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434</v>
      </c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21"/>
      <c r="AA1" t="s">
        <v>178</v>
      </c>
      <c r="AK1" t="s">
        <v>1419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1420</v>
      </c>
      <c r="AI2" s="1">
        <v>250</v>
      </c>
      <c r="AK2" s="50" t="s">
        <v>436</v>
      </c>
      <c r="AL2" s="60">
        <v>180</v>
      </c>
      <c r="AM2" s="60">
        <v>180</v>
      </c>
      <c r="AN2" s="60">
        <v>180</v>
      </c>
      <c r="AO2" s="60">
        <v>180</v>
      </c>
      <c r="AP2" s="60">
        <v>237</v>
      </c>
      <c r="AQ2" s="60">
        <v>236</v>
      </c>
      <c r="AR2" s="60">
        <v>235</v>
      </c>
      <c r="AS2" s="60">
        <v>234</v>
      </c>
      <c r="AT2" s="60">
        <v>217</v>
      </c>
      <c r="AU2" s="60">
        <v>216</v>
      </c>
      <c r="AV2" s="60">
        <v>215</v>
      </c>
      <c r="AW2" s="60">
        <v>213</v>
      </c>
      <c r="AX2" s="60">
        <v>211</v>
      </c>
      <c r="AY2" s="60">
        <v>209</v>
      </c>
      <c r="AZ2" s="60">
        <v>211</v>
      </c>
      <c r="BA2" s="60">
        <v>211</v>
      </c>
      <c r="BB2" s="60">
        <v>211</v>
      </c>
      <c r="BC2" s="60">
        <v>195</v>
      </c>
      <c r="BD2" s="60">
        <v>195</v>
      </c>
      <c r="BE2" s="60">
        <v>195</v>
      </c>
      <c r="BF2" s="60">
        <v>195</v>
      </c>
      <c r="BG2" s="60">
        <v>190</v>
      </c>
      <c r="BH2" s="60">
        <v>190</v>
      </c>
      <c r="BI2" s="60">
        <v>190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437</v>
      </c>
      <c r="AL3" s="60">
        <v>60</v>
      </c>
      <c r="AM3" s="60">
        <v>60</v>
      </c>
      <c r="AN3" s="60">
        <v>60</v>
      </c>
      <c r="AO3" s="60">
        <v>60</v>
      </c>
      <c r="AP3" s="60">
        <v>60</v>
      </c>
      <c r="AQ3" s="60">
        <v>60</v>
      </c>
      <c r="AR3" s="60">
        <v>60</v>
      </c>
      <c r="AS3" s="60">
        <v>60</v>
      </c>
      <c r="AT3" s="60">
        <v>60</v>
      </c>
      <c r="AU3" s="60">
        <v>60</v>
      </c>
      <c r="AV3" s="60">
        <v>60</v>
      </c>
      <c r="AW3" s="60">
        <v>60</v>
      </c>
      <c r="AX3" s="60">
        <v>60</v>
      </c>
      <c r="AY3" s="60">
        <v>60</v>
      </c>
      <c r="AZ3" s="60">
        <v>60</v>
      </c>
      <c r="BA3" s="60">
        <v>60</v>
      </c>
      <c r="BB3" s="60">
        <v>60</v>
      </c>
      <c r="BC3" s="60">
        <v>60</v>
      </c>
      <c r="BD3" s="60">
        <v>60</v>
      </c>
      <c r="BE3" s="60">
        <v>60</v>
      </c>
      <c r="BF3" s="60">
        <v>60</v>
      </c>
      <c r="BG3" s="60">
        <v>60</v>
      </c>
      <c r="BH3" s="60">
        <v>60</v>
      </c>
      <c r="BI3" s="60">
        <v>60</v>
      </c>
    </row>
    <row r="4" spans="1:61" x14ac:dyDescent="0.25">
      <c r="A4" s="2" t="s">
        <v>329</v>
      </c>
      <c r="AC4" t="s">
        <v>183</v>
      </c>
      <c r="AF4" s="281">
        <f>+Troupeau!J17</f>
        <v>45</v>
      </c>
      <c r="AK4" s="50" t="s">
        <v>438</v>
      </c>
      <c r="AL4" s="60">
        <v>10</v>
      </c>
      <c r="AM4" s="60">
        <v>10</v>
      </c>
      <c r="AN4" s="60">
        <v>10</v>
      </c>
      <c r="AO4" s="60">
        <v>10</v>
      </c>
      <c r="AP4" s="60">
        <v>13</v>
      </c>
      <c r="AQ4" s="60">
        <v>13</v>
      </c>
      <c r="AR4" s="60">
        <v>13</v>
      </c>
      <c r="AS4" s="60">
        <v>13</v>
      </c>
      <c r="AT4" s="60">
        <v>13</v>
      </c>
      <c r="AU4" s="60">
        <v>13</v>
      </c>
      <c r="AV4" s="60">
        <v>13</v>
      </c>
      <c r="AW4" s="60">
        <v>13</v>
      </c>
      <c r="AX4" s="60">
        <v>13</v>
      </c>
      <c r="AY4" s="60">
        <v>13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  <c r="BI4" s="60">
        <v>0</v>
      </c>
    </row>
    <row r="5" spans="1:61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4.5</v>
      </c>
      <c r="AG5" s="5"/>
      <c r="AK5" s="50" t="s">
        <v>439</v>
      </c>
      <c r="AL5" s="60">
        <v>5</v>
      </c>
      <c r="AM5" s="60">
        <v>5</v>
      </c>
      <c r="AN5" s="60">
        <v>5</v>
      </c>
      <c r="AO5" s="60">
        <v>5</v>
      </c>
      <c r="AP5" s="60">
        <v>5</v>
      </c>
      <c r="AQ5" s="60">
        <v>5</v>
      </c>
      <c r="AR5" s="60">
        <v>5</v>
      </c>
      <c r="AS5" s="60">
        <v>5</v>
      </c>
      <c r="AT5" s="60">
        <v>5</v>
      </c>
      <c r="AU5" s="60">
        <v>5</v>
      </c>
      <c r="AV5" s="60">
        <v>5</v>
      </c>
      <c r="AW5" s="60">
        <v>5</v>
      </c>
      <c r="AX5" s="60">
        <v>5</v>
      </c>
      <c r="AY5" s="60">
        <v>5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5</v>
      </c>
      <c r="BH5" s="60">
        <v>5</v>
      </c>
      <c r="BI5" s="60">
        <v>5</v>
      </c>
    </row>
    <row r="6" spans="1:61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>
        <v>1</v>
      </c>
      <c r="U6" s="60">
        <v>1</v>
      </c>
      <c r="V6" s="60">
        <v>1</v>
      </c>
      <c r="W6" s="60">
        <v>1</v>
      </c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333</v>
      </c>
      <c r="B7" s="60">
        <v>1</v>
      </c>
      <c r="C7" s="60">
        <v>1</v>
      </c>
      <c r="D7" s="60">
        <v>1</v>
      </c>
      <c r="E7" s="60"/>
      <c r="F7" s="60">
        <v>1</v>
      </c>
      <c r="G7" s="60">
        <v>1</v>
      </c>
      <c r="H7" s="60">
        <v>1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332</v>
      </c>
      <c r="B8" s="60"/>
      <c r="C8" s="60"/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>
        <v>1</v>
      </c>
      <c r="S9" s="60">
        <v>1</v>
      </c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  <c r="AK13" t="s">
        <v>1421</v>
      </c>
    </row>
    <row r="14" spans="1:61" x14ac:dyDescent="0.25">
      <c r="A14" s="44" t="s">
        <v>174</v>
      </c>
      <c r="AK14" t="s">
        <v>1422</v>
      </c>
    </row>
    <row r="15" spans="1:61" x14ac:dyDescent="0.25">
      <c r="A15" s="50" t="s">
        <v>436</v>
      </c>
      <c r="B15" s="60">
        <f>AL2*Troupeau!$B$17/CdTrp1!$AI$2</f>
        <v>192.96</v>
      </c>
      <c r="C15" s="60">
        <f>AM2*Troupeau!$B$17/CdTrp1!$AI$2</f>
        <v>192.96</v>
      </c>
      <c r="D15" s="60">
        <f>AN2*Troupeau!$B$17/CdTrp1!$AI$2</f>
        <v>192.96</v>
      </c>
      <c r="E15" s="60">
        <f>AO2*Troupeau!$B$17/CdTrp1!$AI$2</f>
        <v>192.96</v>
      </c>
      <c r="F15" s="60">
        <f>AP2*Troupeau!$B$17/CdTrp1!$AI$2</f>
        <v>254.06399999999999</v>
      </c>
      <c r="G15" s="60">
        <f>AQ2*Troupeau!$B$17/CdTrp1!$AI$2</f>
        <v>252.99199999999999</v>
      </c>
      <c r="H15" s="60">
        <f>AR2*Troupeau!$B$17/CdTrp1!$AI$2</f>
        <v>251.92</v>
      </c>
      <c r="I15" s="60">
        <f>AS2*Troupeau!$B$17/CdTrp1!$AI$2</f>
        <v>250.84800000000001</v>
      </c>
      <c r="J15" s="60">
        <f>AT2*Troupeau!$B$17/CdTrp1!$AI$2</f>
        <v>232.624</v>
      </c>
      <c r="K15" s="60">
        <f>AU2*Troupeau!$B$17/CdTrp1!$AI$2</f>
        <v>231.55199999999999</v>
      </c>
      <c r="L15" s="60">
        <f>AV2*Troupeau!$B$17/CdTrp1!$AI$2</f>
        <v>230.48</v>
      </c>
      <c r="M15" s="60">
        <f>AW2*Troupeau!$B$17/CdTrp1!$AI$2</f>
        <v>228.33600000000001</v>
      </c>
      <c r="N15" s="60">
        <f>AX2*Troupeau!$B$17/CdTrp1!$AI$2</f>
        <v>226.19200000000001</v>
      </c>
      <c r="O15" s="60">
        <f>AY2*Troupeau!$B$17/CdTrp1!$AI$2</f>
        <v>224.048</v>
      </c>
      <c r="P15" s="60">
        <f>AZ2*Troupeau!$B$17/CdTrp1!$AI$2</f>
        <v>226.19200000000001</v>
      </c>
      <c r="Q15" s="60">
        <f>BA2*Troupeau!$B$17/CdTrp1!$AI$2</f>
        <v>226.19200000000001</v>
      </c>
      <c r="R15" s="60">
        <f>BB2*Troupeau!$B$17/CdTrp1!$AI$2</f>
        <v>226.19200000000001</v>
      </c>
      <c r="S15" s="60">
        <f>BC2*Troupeau!$B$17/CdTrp1!$AI$2</f>
        <v>209.04</v>
      </c>
      <c r="T15" s="60">
        <f>BD2*Troupeau!$B$17/CdTrp1!$AI$2</f>
        <v>209.04</v>
      </c>
      <c r="U15" s="60">
        <f>BE2*Troupeau!$B$17/CdTrp1!$AI$2</f>
        <v>209.04</v>
      </c>
      <c r="V15" s="60">
        <f>BF2*Troupeau!$B$17/CdTrp1!$AI$2</f>
        <v>209.04</v>
      </c>
      <c r="W15" s="60">
        <f>BG2*Troupeau!$B$17/CdTrp1!$AI$2</f>
        <v>203.68</v>
      </c>
      <c r="X15" s="60">
        <f>BH2*Troupeau!$B$17/CdTrp1!$AI$2</f>
        <v>203.68</v>
      </c>
      <c r="Y15" s="60">
        <f>BI2*Troupeau!$B$17/CdTrp1!$AI$2</f>
        <v>203.68</v>
      </c>
      <c r="Z15" s="52"/>
    </row>
    <row r="16" spans="1:61" x14ac:dyDescent="0.25">
      <c r="A16" s="50" t="s">
        <v>437</v>
      </c>
      <c r="B16" s="60">
        <f>AL3*Troupeau!$B$17/CdTrp1!$AI$2</f>
        <v>64.319999999999993</v>
      </c>
      <c r="C16" s="60">
        <f>AM3*Troupeau!$B$17/CdTrp1!$AI$2</f>
        <v>64.319999999999993</v>
      </c>
      <c r="D16" s="60">
        <f>AN3*Troupeau!$B$17/CdTrp1!$AI$2</f>
        <v>64.319999999999993</v>
      </c>
      <c r="E16" s="60">
        <f>AO3*Troupeau!$B$17/CdTrp1!$AI$2</f>
        <v>64.319999999999993</v>
      </c>
      <c r="F16" s="60">
        <f>AP3*Troupeau!$B$17/CdTrp1!$AI$2</f>
        <v>64.319999999999993</v>
      </c>
      <c r="G16" s="60">
        <f>AQ3*Troupeau!$B$17/CdTrp1!$AI$2</f>
        <v>64.319999999999993</v>
      </c>
      <c r="H16" s="60">
        <f>AR3*Troupeau!$B$17/CdTrp1!$AI$2</f>
        <v>64.319999999999993</v>
      </c>
      <c r="I16" s="60">
        <f>AS3*Troupeau!$B$17/CdTrp1!$AI$2</f>
        <v>64.319999999999993</v>
      </c>
      <c r="J16" s="60">
        <f>AT3*Troupeau!$B$17/CdTrp1!$AI$2</f>
        <v>64.319999999999993</v>
      </c>
      <c r="K16" s="60">
        <f>AU3*Troupeau!$B$17/CdTrp1!$AI$2</f>
        <v>64.319999999999993</v>
      </c>
      <c r="L16" s="60">
        <f>AV3*Troupeau!$B$17/CdTrp1!$AI$2</f>
        <v>64.319999999999993</v>
      </c>
      <c r="M16" s="60">
        <f>AW3*Troupeau!$B$17/CdTrp1!$AI$2</f>
        <v>64.319999999999993</v>
      </c>
      <c r="N16" s="60">
        <f>AX3*Troupeau!$B$17/CdTrp1!$AI$2</f>
        <v>64.319999999999993</v>
      </c>
      <c r="O16" s="60">
        <f>AY3*Troupeau!$B$17/CdTrp1!$AI$2</f>
        <v>64.319999999999993</v>
      </c>
      <c r="P16" s="60">
        <f>AZ3*Troupeau!$B$17/CdTrp1!$AI$2</f>
        <v>64.319999999999993</v>
      </c>
      <c r="Q16" s="60">
        <f>BA3*Troupeau!$B$17/CdTrp1!$AI$2</f>
        <v>64.319999999999993</v>
      </c>
      <c r="R16" s="60">
        <f>BB3*Troupeau!$B$17/CdTrp1!$AI$2</f>
        <v>64.319999999999993</v>
      </c>
      <c r="S16" s="60">
        <f>BC3*Troupeau!$B$17/CdTrp1!$AI$2</f>
        <v>64.319999999999993</v>
      </c>
      <c r="T16" s="60">
        <f>BD3*Troupeau!$B$17/CdTrp1!$AI$2</f>
        <v>64.319999999999993</v>
      </c>
      <c r="U16" s="60">
        <f>BE3*Troupeau!$B$17/CdTrp1!$AI$2</f>
        <v>64.319999999999993</v>
      </c>
      <c r="V16" s="60">
        <f>BF3*Troupeau!$B$17/CdTrp1!$AI$2</f>
        <v>64.319999999999993</v>
      </c>
      <c r="W16" s="60">
        <f>BG3*Troupeau!$B$17/CdTrp1!$AI$2</f>
        <v>64.319999999999993</v>
      </c>
      <c r="X16" s="60">
        <f>BH3*Troupeau!$B$17/CdTrp1!$AI$2</f>
        <v>64.319999999999993</v>
      </c>
      <c r="Y16" s="60">
        <f>BI3*Troupeau!$B$17/CdTrp1!$AI$2</f>
        <v>64.319999999999993</v>
      </c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438</v>
      </c>
      <c r="B17" s="60">
        <f>AL4*Troupeau!$B$17/CdTrp1!$AI$2</f>
        <v>10.72</v>
      </c>
      <c r="C17" s="60">
        <f>AM4*Troupeau!$B$17/CdTrp1!$AI$2</f>
        <v>10.72</v>
      </c>
      <c r="D17" s="60">
        <f>AN4*Troupeau!$B$17/CdTrp1!$AI$2</f>
        <v>10.72</v>
      </c>
      <c r="E17" s="60">
        <f>AO4*Troupeau!$B$17/CdTrp1!$AI$2</f>
        <v>10.72</v>
      </c>
      <c r="F17" s="60">
        <f>AP4*Troupeau!$B$17/CdTrp1!$AI$2</f>
        <v>13.936</v>
      </c>
      <c r="G17" s="60">
        <f>AQ4*Troupeau!$B$17/CdTrp1!$AI$2</f>
        <v>13.936</v>
      </c>
      <c r="H17" s="60">
        <f>AR4*Troupeau!$B$17/CdTrp1!$AI$2</f>
        <v>13.936</v>
      </c>
      <c r="I17" s="60">
        <f>AS4*Troupeau!$B$17/CdTrp1!$AI$2</f>
        <v>13.936</v>
      </c>
      <c r="J17" s="60">
        <f>AT4*Troupeau!$B$17/CdTrp1!$AI$2</f>
        <v>13.936</v>
      </c>
      <c r="K17" s="60">
        <f>AU4*Troupeau!$B$17/CdTrp1!$AI$2</f>
        <v>13.936</v>
      </c>
      <c r="L17" s="60">
        <f>AV4*Troupeau!$B$17/CdTrp1!$AI$2</f>
        <v>13.936</v>
      </c>
      <c r="M17" s="60">
        <f>AW4*Troupeau!$B$17/CdTrp1!$AI$2</f>
        <v>13.936</v>
      </c>
      <c r="N17" s="60">
        <f>AX4*Troupeau!$B$17/CdTrp1!$AI$2</f>
        <v>13.936</v>
      </c>
      <c r="O17" s="60">
        <f>AY4*Troupeau!$B$17/CdTrp1!$AI$2</f>
        <v>13.936</v>
      </c>
      <c r="P17" s="60">
        <f>AZ4*Troupeau!$B$17/CdTrp1!$AI$2</f>
        <v>0</v>
      </c>
      <c r="Q17" s="60">
        <f>BA4*Troupeau!$B$17/CdTrp1!$AI$2</f>
        <v>0</v>
      </c>
      <c r="R17" s="60">
        <f>BB4*Troupeau!$B$17/CdTrp1!$AI$2</f>
        <v>0</v>
      </c>
      <c r="S17" s="60">
        <f>BC4*Troupeau!$B$17/CdTrp1!$AI$2</f>
        <v>0</v>
      </c>
      <c r="T17" s="60">
        <f>BD4*Troupeau!$B$17/CdTrp1!$AI$2</f>
        <v>0</v>
      </c>
      <c r="U17" s="60">
        <f>BE4*Troupeau!$B$17/CdTrp1!$AI$2</f>
        <v>0</v>
      </c>
      <c r="V17" s="60">
        <f>BF4*Troupeau!$B$17/CdTrp1!$AI$2</f>
        <v>0</v>
      </c>
      <c r="W17" s="60">
        <f>BG4*Troupeau!$B$17/CdTrp1!$AI$2</f>
        <v>0</v>
      </c>
      <c r="X17" s="60">
        <f>BH4*Troupeau!$B$17/CdTrp1!$AI$2</f>
        <v>0</v>
      </c>
      <c r="Y17" s="60">
        <f>BI4*Troupeau!$B$17/CdTrp1!$AI$2</f>
        <v>0</v>
      </c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439</v>
      </c>
      <c r="B18" s="60">
        <f>AL5*Troupeau!$B$17/CdTrp1!$AI$2</f>
        <v>5.36</v>
      </c>
      <c r="C18" s="60">
        <f>AM5*Troupeau!$B$17/CdTrp1!$AI$2</f>
        <v>5.36</v>
      </c>
      <c r="D18" s="60">
        <f>AN5*Troupeau!$B$17/CdTrp1!$AI$2</f>
        <v>5.36</v>
      </c>
      <c r="E18" s="60">
        <f>AO5*Troupeau!$B$17/CdTrp1!$AI$2</f>
        <v>5.36</v>
      </c>
      <c r="F18" s="60">
        <f>AP5*Troupeau!$B$17/CdTrp1!$AI$2</f>
        <v>5.36</v>
      </c>
      <c r="G18" s="60">
        <f>AQ5*Troupeau!$B$17/CdTrp1!$AI$2</f>
        <v>5.36</v>
      </c>
      <c r="H18" s="60">
        <f>AR5*Troupeau!$B$17/CdTrp1!$AI$2</f>
        <v>5.36</v>
      </c>
      <c r="I18" s="60">
        <f>AS5*Troupeau!$B$17/CdTrp1!$AI$2</f>
        <v>5.36</v>
      </c>
      <c r="J18" s="60">
        <f>AT5*Troupeau!$B$17/CdTrp1!$AI$2</f>
        <v>5.36</v>
      </c>
      <c r="K18" s="60">
        <f>AU5*Troupeau!$B$17/CdTrp1!$AI$2</f>
        <v>5.36</v>
      </c>
      <c r="L18" s="60">
        <f>AV5*Troupeau!$B$17/CdTrp1!$AI$2</f>
        <v>5.36</v>
      </c>
      <c r="M18" s="60">
        <f>AW5*Troupeau!$B$17/CdTrp1!$AI$2</f>
        <v>5.36</v>
      </c>
      <c r="N18" s="60">
        <f>AX5*Troupeau!$B$17/CdTrp1!$AI$2</f>
        <v>5.36</v>
      </c>
      <c r="O18" s="60">
        <f>AY5*Troupeau!$B$17/CdTrp1!$AI$2</f>
        <v>5.36</v>
      </c>
      <c r="P18" s="60">
        <f>AZ5*Troupeau!$B$17/CdTrp1!$AI$2</f>
        <v>0</v>
      </c>
      <c r="Q18" s="60">
        <f>BA5*Troupeau!$B$17/CdTrp1!$AI$2</f>
        <v>0</v>
      </c>
      <c r="R18" s="60">
        <f>BB5*Troupeau!$B$17/CdTrp1!$AI$2</f>
        <v>0</v>
      </c>
      <c r="S18" s="60">
        <f>BC5*Troupeau!$B$17/CdTrp1!$AI$2</f>
        <v>0</v>
      </c>
      <c r="T18" s="60">
        <f>BD5*Troupeau!$B$17/CdTrp1!$AI$2</f>
        <v>0</v>
      </c>
      <c r="U18" s="60">
        <f>BE5*Troupeau!$B$17/CdTrp1!$AI$2</f>
        <v>0</v>
      </c>
      <c r="V18" s="60">
        <f>BF5*Troupeau!$B$17/CdTrp1!$AI$2</f>
        <v>0</v>
      </c>
      <c r="W18" s="60">
        <f>BG5*Troupeau!$B$17/CdTrp1!$AI$2</f>
        <v>5.36</v>
      </c>
      <c r="X18" s="60">
        <f>BH5*Troupeau!$B$17/CdTrp1!$AI$2</f>
        <v>5.36</v>
      </c>
      <c r="Y18" s="60">
        <f>BI5*Troupeau!$B$17/CdTrp1!$AI$2</f>
        <v>5.36</v>
      </c>
      <c r="Z18" s="52"/>
      <c r="AC18" t="s">
        <v>378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5820.9600000000009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5.8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33189.120000000003</v>
      </c>
      <c r="AK19" s="54">
        <f t="shared" ref="AK19:AK52" si="3">IF($AH19=AK$17,ROUND($AI19/1000,1),0)</f>
        <v>33.200000000000003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5049.12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8072.16</v>
      </c>
      <c r="AK21" s="54">
        <f t="shared" si="3"/>
        <v>0</v>
      </c>
      <c r="AL21" s="54">
        <f t="shared" si="4"/>
        <v>8.1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8524.7999999999993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8.5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3225.6</v>
      </c>
      <c r="AK24" s="54">
        <f t="shared" si="3"/>
        <v>3.2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laitiéres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agnelles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2.8000000000000001E-2</v>
      </c>
      <c r="G28" s="60">
        <v>2.8000000000000001E-2</v>
      </c>
      <c r="H28" s="60">
        <v>2.8000000000000001E-2</v>
      </c>
      <c r="I28" s="60">
        <v>2.8000000000000001E-2</v>
      </c>
      <c r="J28" s="60">
        <v>2.8000000000000001E-2</v>
      </c>
      <c r="K28" s="60">
        <v>2.8000000000000001E-2</v>
      </c>
      <c r="L28" s="60">
        <v>7.0000000000000007E-2</v>
      </c>
      <c r="M28" s="60">
        <v>7.0000000000000007E-2</v>
      </c>
      <c r="N28" s="60">
        <v>7.0000000000000007E-2</v>
      </c>
      <c r="O28" s="60">
        <v>7.0000000000000007E-2</v>
      </c>
      <c r="P28" s="60">
        <v>7.0000000000000007E-2</v>
      </c>
      <c r="Q28" s="60">
        <v>7.0000000000000007E-2</v>
      </c>
      <c r="R28" s="60">
        <v>7.0000000000000007E-2</v>
      </c>
      <c r="S28" s="60">
        <v>7.0000000000000007E-2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vides + mammites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>
        <f>A$19</f>
        <v>0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laitiéres</v>
      </c>
      <c r="B39" s="61">
        <f>B15*B27</f>
        <v>27.014400000000002</v>
      </c>
      <c r="C39" s="61">
        <f t="shared" ref="C39:Y48" si="11">C15*C27</f>
        <v>27.014400000000002</v>
      </c>
      <c r="D39" s="61">
        <f t="shared" si="11"/>
        <v>27.014400000000002</v>
      </c>
      <c r="E39" s="61">
        <f t="shared" si="11"/>
        <v>27.014400000000002</v>
      </c>
      <c r="F39" s="61">
        <f t="shared" si="11"/>
        <v>35.568960000000004</v>
      </c>
      <c r="G39" s="61">
        <f t="shared" si="11"/>
        <v>35.418880000000001</v>
      </c>
      <c r="H39" s="61">
        <f t="shared" si="11"/>
        <v>35.268799999999999</v>
      </c>
      <c r="I39" s="61">
        <f t="shared" si="11"/>
        <v>35.118720000000003</v>
      </c>
      <c r="J39" s="61">
        <f t="shared" si="11"/>
        <v>32.567360000000001</v>
      </c>
      <c r="K39" s="61">
        <f t="shared" si="11"/>
        <v>32.417280000000005</v>
      </c>
      <c r="L39" s="61">
        <f t="shared" si="11"/>
        <v>32.267200000000003</v>
      </c>
      <c r="M39" s="61">
        <f t="shared" si="11"/>
        <v>31.967040000000004</v>
      </c>
      <c r="N39" s="61">
        <f t="shared" si="11"/>
        <v>31.666880000000003</v>
      </c>
      <c r="O39" s="61">
        <f t="shared" si="11"/>
        <v>31.366720000000004</v>
      </c>
      <c r="P39" s="61">
        <f t="shared" si="11"/>
        <v>31.666880000000003</v>
      </c>
      <c r="Q39" s="61">
        <f t="shared" si="11"/>
        <v>31.666880000000003</v>
      </c>
      <c r="R39" s="61">
        <f t="shared" si="11"/>
        <v>31.666880000000003</v>
      </c>
      <c r="S39" s="61">
        <f t="shared" si="11"/>
        <v>29.265600000000003</v>
      </c>
      <c r="T39" s="61">
        <f t="shared" si="11"/>
        <v>29.265600000000003</v>
      </c>
      <c r="U39" s="61">
        <f t="shared" si="11"/>
        <v>29.265600000000003</v>
      </c>
      <c r="V39" s="61">
        <f t="shared" si="11"/>
        <v>29.265600000000003</v>
      </c>
      <c r="W39" s="61">
        <f t="shared" si="11"/>
        <v>28.515200000000004</v>
      </c>
      <c r="X39" s="61">
        <f t="shared" si="11"/>
        <v>28.515200000000004</v>
      </c>
      <c r="Y39" s="61">
        <f t="shared" si="11"/>
        <v>28.515200000000004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agnelles</v>
      </c>
      <c r="B40" s="61">
        <f t="shared" ref="B40:Q48" si="12">B16*B28</f>
        <v>9.0047999999999995</v>
      </c>
      <c r="C40" s="61">
        <f t="shared" si="12"/>
        <v>9.0047999999999995</v>
      </c>
      <c r="D40" s="61">
        <f t="shared" si="12"/>
        <v>9.0047999999999995</v>
      </c>
      <c r="E40" s="61">
        <f t="shared" si="12"/>
        <v>9.0047999999999995</v>
      </c>
      <c r="F40" s="61">
        <f t="shared" si="12"/>
        <v>1.8009599999999999</v>
      </c>
      <c r="G40" s="61">
        <f t="shared" si="12"/>
        <v>1.8009599999999999</v>
      </c>
      <c r="H40" s="61">
        <f t="shared" si="12"/>
        <v>1.8009599999999999</v>
      </c>
      <c r="I40" s="61">
        <f t="shared" si="12"/>
        <v>1.8009599999999999</v>
      </c>
      <c r="J40" s="61">
        <f t="shared" si="12"/>
        <v>1.8009599999999999</v>
      </c>
      <c r="K40" s="61">
        <f t="shared" si="12"/>
        <v>1.8009599999999999</v>
      </c>
      <c r="L40" s="61">
        <f t="shared" si="12"/>
        <v>4.5023999999999997</v>
      </c>
      <c r="M40" s="61">
        <f t="shared" si="12"/>
        <v>4.5023999999999997</v>
      </c>
      <c r="N40" s="61">
        <f t="shared" si="12"/>
        <v>4.5023999999999997</v>
      </c>
      <c r="O40" s="61">
        <f t="shared" si="12"/>
        <v>4.5023999999999997</v>
      </c>
      <c r="P40" s="61">
        <f t="shared" si="12"/>
        <v>4.5023999999999997</v>
      </c>
      <c r="Q40" s="61">
        <f t="shared" si="12"/>
        <v>4.5023999999999997</v>
      </c>
      <c r="R40" s="61">
        <f t="shared" si="11"/>
        <v>4.5023999999999997</v>
      </c>
      <c r="S40" s="61">
        <f t="shared" si="11"/>
        <v>4.5023999999999997</v>
      </c>
      <c r="T40" s="61">
        <f t="shared" si="11"/>
        <v>9.0047999999999995</v>
      </c>
      <c r="U40" s="61">
        <f t="shared" si="11"/>
        <v>9.0047999999999995</v>
      </c>
      <c r="V40" s="61">
        <f t="shared" si="11"/>
        <v>9.0047999999999995</v>
      </c>
      <c r="W40" s="61">
        <f t="shared" si="11"/>
        <v>9.0047999999999995</v>
      </c>
      <c r="X40" s="61">
        <f t="shared" si="11"/>
        <v>9.0047999999999995</v>
      </c>
      <c r="Y40" s="61">
        <f t="shared" si="11"/>
        <v>9.0047999999999995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vides + mammites</v>
      </c>
      <c r="B41" s="61">
        <f t="shared" si="12"/>
        <v>1.5008000000000001</v>
      </c>
      <c r="C41" s="61">
        <f t="shared" si="11"/>
        <v>1.5008000000000001</v>
      </c>
      <c r="D41" s="61">
        <f t="shared" si="11"/>
        <v>1.5008000000000001</v>
      </c>
      <c r="E41" s="61">
        <f t="shared" si="11"/>
        <v>1.5008000000000001</v>
      </c>
      <c r="F41" s="61">
        <f t="shared" si="11"/>
        <v>1.9510400000000001</v>
      </c>
      <c r="G41" s="61">
        <f t="shared" si="11"/>
        <v>1.9510400000000001</v>
      </c>
      <c r="H41" s="61">
        <f t="shared" si="11"/>
        <v>1.9510400000000001</v>
      </c>
      <c r="I41" s="61">
        <f t="shared" si="11"/>
        <v>1.9510400000000001</v>
      </c>
      <c r="J41" s="61">
        <f t="shared" si="11"/>
        <v>1.9510400000000001</v>
      </c>
      <c r="K41" s="61">
        <f t="shared" si="11"/>
        <v>1.9510400000000001</v>
      </c>
      <c r="L41" s="61">
        <f t="shared" si="11"/>
        <v>1.9510400000000001</v>
      </c>
      <c r="M41" s="61">
        <f t="shared" si="11"/>
        <v>1.9510400000000001</v>
      </c>
      <c r="N41" s="61">
        <f t="shared" si="11"/>
        <v>1.9510400000000001</v>
      </c>
      <c r="O41" s="61">
        <f t="shared" si="11"/>
        <v>1.9510400000000001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0.75040000000000007</v>
      </c>
      <c r="C42" s="61">
        <f t="shared" si="11"/>
        <v>0.75040000000000007</v>
      </c>
      <c r="D42" s="61">
        <f t="shared" si="11"/>
        <v>0.75040000000000007</v>
      </c>
      <c r="E42" s="61">
        <f t="shared" si="11"/>
        <v>0.75040000000000007</v>
      </c>
      <c r="F42" s="61">
        <f t="shared" si="11"/>
        <v>0.75040000000000007</v>
      </c>
      <c r="G42" s="61">
        <f t="shared" si="11"/>
        <v>0.75040000000000007</v>
      </c>
      <c r="H42" s="61">
        <f t="shared" si="11"/>
        <v>0.75040000000000007</v>
      </c>
      <c r="I42" s="61">
        <f t="shared" si="11"/>
        <v>0.75040000000000007</v>
      </c>
      <c r="J42" s="61">
        <f t="shared" si="11"/>
        <v>0.75040000000000007</v>
      </c>
      <c r="K42" s="61">
        <f t="shared" si="11"/>
        <v>0.75040000000000007</v>
      </c>
      <c r="L42" s="61">
        <f t="shared" si="11"/>
        <v>0.75040000000000007</v>
      </c>
      <c r="M42" s="61">
        <f t="shared" si="11"/>
        <v>0.75040000000000007</v>
      </c>
      <c r="N42" s="61">
        <f t="shared" si="11"/>
        <v>0.75040000000000007</v>
      </c>
      <c r="O42" s="61">
        <f t="shared" si="11"/>
        <v>0.75040000000000007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0.75040000000000007</v>
      </c>
      <c r="X42" s="61">
        <f t="shared" si="11"/>
        <v>0.75040000000000007</v>
      </c>
      <c r="Y42" s="61">
        <f t="shared" si="11"/>
        <v>0.75040000000000007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>
        <f>A$19</f>
        <v>0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38.270399999999995</v>
      </c>
      <c r="C49" s="62">
        <f t="shared" ref="C49:Y49" si="13">SUM(C39:C48)</f>
        <v>38.270399999999995</v>
      </c>
      <c r="D49" s="62">
        <f t="shared" si="13"/>
        <v>38.270399999999995</v>
      </c>
      <c r="E49" s="62">
        <f t="shared" si="13"/>
        <v>38.270399999999995</v>
      </c>
      <c r="F49" s="62">
        <f t="shared" si="13"/>
        <v>40.071360000000006</v>
      </c>
      <c r="G49" s="62">
        <f t="shared" si="13"/>
        <v>39.921280000000003</v>
      </c>
      <c r="H49" s="62">
        <f t="shared" si="13"/>
        <v>39.7712</v>
      </c>
      <c r="I49" s="62">
        <f t="shared" si="13"/>
        <v>39.621119999999998</v>
      </c>
      <c r="J49" s="62">
        <f t="shared" si="13"/>
        <v>37.069759999999995</v>
      </c>
      <c r="K49" s="62">
        <f t="shared" si="13"/>
        <v>36.919680000000007</v>
      </c>
      <c r="L49" s="62">
        <f t="shared" si="13"/>
        <v>39.471040000000002</v>
      </c>
      <c r="M49" s="62">
        <f t="shared" si="13"/>
        <v>39.170880000000004</v>
      </c>
      <c r="N49" s="62">
        <f t="shared" si="13"/>
        <v>38.870719999999999</v>
      </c>
      <c r="O49" s="62">
        <f t="shared" si="13"/>
        <v>38.57056</v>
      </c>
      <c r="P49" s="62">
        <f t="shared" si="13"/>
        <v>36.169280000000001</v>
      </c>
      <c r="Q49" s="62">
        <f t="shared" si="13"/>
        <v>36.169280000000001</v>
      </c>
      <c r="R49" s="62">
        <f t="shared" si="13"/>
        <v>36.169280000000001</v>
      </c>
      <c r="S49" s="62">
        <f t="shared" si="13"/>
        <v>33.768000000000001</v>
      </c>
      <c r="T49" s="62">
        <f t="shared" si="13"/>
        <v>38.270400000000002</v>
      </c>
      <c r="U49" s="62">
        <f t="shared" si="13"/>
        <v>38.270400000000002</v>
      </c>
      <c r="V49" s="62">
        <f t="shared" si="13"/>
        <v>38.270400000000002</v>
      </c>
      <c r="W49" s="62">
        <f t="shared" si="13"/>
        <v>38.270400000000002</v>
      </c>
      <c r="X49" s="62">
        <f t="shared" si="13"/>
        <v>38.270400000000002</v>
      </c>
      <c r="Y49" s="62">
        <f t="shared" si="13"/>
        <v>38.270400000000002</v>
      </c>
      <c r="Z49" s="23"/>
      <c r="AA49" s="46">
        <f>AVERAGE(B49:Y49)</f>
        <v>38.101559999999999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laitiéres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1</v>
      </c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agnelles</v>
      </c>
      <c r="B53" s="282">
        <v>1</v>
      </c>
      <c r="C53" s="282">
        <v>1</v>
      </c>
      <c r="D53" s="282">
        <v>1</v>
      </c>
      <c r="E53" s="282">
        <v>1</v>
      </c>
      <c r="F53" s="282">
        <v>1</v>
      </c>
      <c r="G53" s="282">
        <v>1</v>
      </c>
      <c r="H53" s="282">
        <v>1</v>
      </c>
      <c r="I53" s="282">
        <v>1</v>
      </c>
      <c r="J53" s="282">
        <v>1</v>
      </c>
      <c r="K53" s="282">
        <v>1</v>
      </c>
      <c r="L53" s="282">
        <v>1</v>
      </c>
      <c r="M53" s="282">
        <v>1</v>
      </c>
      <c r="N53" s="282">
        <v>1</v>
      </c>
      <c r="O53" s="282">
        <v>1</v>
      </c>
      <c r="P53" s="282">
        <v>1</v>
      </c>
      <c r="Q53" s="282">
        <v>1</v>
      </c>
      <c r="R53" s="282">
        <v>1</v>
      </c>
      <c r="S53" s="282">
        <v>1</v>
      </c>
      <c r="T53" s="282">
        <v>1</v>
      </c>
      <c r="U53" s="282">
        <v>1</v>
      </c>
      <c r="V53" s="282">
        <v>1</v>
      </c>
      <c r="W53" s="282">
        <v>1</v>
      </c>
      <c r="X53" s="282">
        <v>1</v>
      </c>
      <c r="Y53" s="282">
        <v>1</v>
      </c>
      <c r="Z53" s="52"/>
      <c r="AG53" s="5"/>
    </row>
    <row r="54" spans="1:83" x14ac:dyDescent="0.25">
      <c r="A54" s="128" t="str">
        <f>A$17</f>
        <v>vides + mammites</v>
      </c>
      <c r="B54" s="60">
        <v>0.5</v>
      </c>
      <c r="C54" s="60">
        <v>0.5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0.5</v>
      </c>
      <c r="X54" s="60">
        <v>0.5</v>
      </c>
      <c r="Y54" s="60">
        <v>0.5</v>
      </c>
      <c r="Z54" s="52"/>
      <c r="AD54" s="81"/>
      <c r="AG54" s="5"/>
      <c r="AJ54" t="s">
        <v>13</v>
      </c>
      <c r="AK54" s="84">
        <f t="shared" ref="AK54:CD54" si="16">SUM(AK18:AK52)</f>
        <v>36.400000000000006</v>
      </c>
      <c r="AL54" s="84">
        <f t="shared" si="16"/>
        <v>8.1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5.8</v>
      </c>
      <c r="AV54" s="84">
        <f t="shared" si="16"/>
        <v>0</v>
      </c>
      <c r="AW54" s="84">
        <f t="shared" si="16"/>
        <v>5</v>
      </c>
      <c r="AX54" s="84">
        <f t="shared" si="16"/>
        <v>8.5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156">
        <v>1</v>
      </c>
      <c r="C55" s="156">
        <v>1</v>
      </c>
      <c r="D55" s="156">
        <v>1</v>
      </c>
      <c r="E55" s="156">
        <v>1</v>
      </c>
      <c r="F55" s="156">
        <v>1</v>
      </c>
      <c r="G55" s="156">
        <v>1</v>
      </c>
      <c r="H55" s="156">
        <v>1</v>
      </c>
      <c r="I55" s="156">
        <v>1</v>
      </c>
      <c r="J55" s="156">
        <v>1</v>
      </c>
      <c r="K55" s="156">
        <v>1</v>
      </c>
      <c r="L55" s="156">
        <v>1</v>
      </c>
      <c r="M55" s="156">
        <v>1</v>
      </c>
      <c r="N55" s="60">
        <v>1</v>
      </c>
      <c r="O55" s="60">
        <v>1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99</v>
      </c>
      <c r="W55" s="282">
        <v>1</v>
      </c>
      <c r="X55" s="282">
        <v>1</v>
      </c>
      <c r="Y55" s="282">
        <v>1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>
        <f>A$19</f>
        <v>0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4">
        <f>AA73*AF5/1000</f>
        <v>40.113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laitiéres</v>
      </c>
      <c r="B63" s="61">
        <f t="shared" ref="B63:Y63" si="17">B39*B52*B$3</f>
        <v>418.72320000000002</v>
      </c>
      <c r="C63" s="61">
        <f t="shared" si="17"/>
        <v>418.72320000000002</v>
      </c>
      <c r="D63" s="61">
        <f t="shared" si="17"/>
        <v>378.20160000000004</v>
      </c>
      <c r="E63" s="61">
        <f t="shared" si="17"/>
        <v>189.10080000000002</v>
      </c>
      <c r="F63" s="61">
        <f t="shared" si="17"/>
        <v>275.65944000000002</v>
      </c>
      <c r="G63" s="61">
        <f t="shared" si="17"/>
        <v>274.49632000000003</v>
      </c>
      <c r="H63" s="61">
        <f t="shared" si="17"/>
        <v>264.51599999999996</v>
      </c>
      <c r="I63" s="61">
        <f t="shared" si="17"/>
        <v>263.3904</v>
      </c>
      <c r="J63" s="61">
        <f t="shared" si="17"/>
        <v>252.39704</v>
      </c>
      <c r="K63" s="61">
        <f t="shared" si="17"/>
        <v>251.23392000000004</v>
      </c>
      <c r="L63" s="61">
        <f t="shared" si="17"/>
        <v>242.00400000000002</v>
      </c>
      <c r="M63" s="61">
        <f t="shared" si="17"/>
        <v>239.75280000000004</v>
      </c>
      <c r="N63" s="61">
        <f t="shared" si="17"/>
        <v>245.41832000000002</v>
      </c>
      <c r="O63" s="61">
        <f t="shared" si="17"/>
        <v>243.09208000000004</v>
      </c>
      <c r="P63" s="61">
        <f t="shared" si="17"/>
        <v>245.41832000000002</v>
      </c>
      <c r="Q63" s="61">
        <f t="shared" si="17"/>
        <v>245.41832000000002</v>
      </c>
      <c r="R63" s="61">
        <f t="shared" si="17"/>
        <v>237.50160000000002</v>
      </c>
      <c r="S63" s="61">
        <f t="shared" si="17"/>
        <v>219.49200000000002</v>
      </c>
      <c r="T63" s="61">
        <f t="shared" si="17"/>
        <v>226.80840000000003</v>
      </c>
      <c r="U63" s="61">
        <f t="shared" si="17"/>
        <v>226.80840000000003</v>
      </c>
      <c r="V63" s="61">
        <f t="shared" si="17"/>
        <v>219.49200000000002</v>
      </c>
      <c r="W63" s="61">
        <f t="shared" si="17"/>
        <v>213.86400000000003</v>
      </c>
      <c r="X63" s="61">
        <f t="shared" si="17"/>
        <v>220.99280000000002</v>
      </c>
      <c r="Y63" s="61">
        <f t="shared" si="17"/>
        <v>441.98560000000003</v>
      </c>
      <c r="Z63" s="52"/>
      <c r="AE63" s="86"/>
    </row>
    <row r="64" spans="1:83" s="5" customFormat="1" hidden="1" x14ac:dyDescent="0.25">
      <c r="A64" s="38" t="str">
        <f>A$16</f>
        <v>agnelles</v>
      </c>
      <c r="B64" s="61">
        <f t="shared" ref="B64:Y64" si="18">B40*B53*B$3</f>
        <v>139.5744</v>
      </c>
      <c r="C64" s="61">
        <f t="shared" si="18"/>
        <v>139.5744</v>
      </c>
      <c r="D64" s="61">
        <f t="shared" si="18"/>
        <v>126.06719999999999</v>
      </c>
      <c r="E64" s="61">
        <f t="shared" si="18"/>
        <v>126.06719999999999</v>
      </c>
      <c r="F64" s="61">
        <f t="shared" si="18"/>
        <v>27.914879999999997</v>
      </c>
      <c r="G64" s="61">
        <f t="shared" si="18"/>
        <v>27.914879999999997</v>
      </c>
      <c r="H64" s="61">
        <f t="shared" si="18"/>
        <v>27.014399999999998</v>
      </c>
      <c r="I64" s="61">
        <f t="shared" si="18"/>
        <v>27.014399999999998</v>
      </c>
      <c r="J64" s="61">
        <f t="shared" si="18"/>
        <v>27.914879999999997</v>
      </c>
      <c r="K64" s="61">
        <f t="shared" si="18"/>
        <v>27.914879999999997</v>
      </c>
      <c r="L64" s="61">
        <f t="shared" si="18"/>
        <v>67.536000000000001</v>
      </c>
      <c r="M64" s="61">
        <f t="shared" si="18"/>
        <v>67.536000000000001</v>
      </c>
      <c r="N64" s="61">
        <f t="shared" si="18"/>
        <v>69.787199999999999</v>
      </c>
      <c r="O64" s="61">
        <f t="shared" si="18"/>
        <v>69.787199999999999</v>
      </c>
      <c r="P64" s="61">
        <f t="shared" si="18"/>
        <v>69.787199999999999</v>
      </c>
      <c r="Q64" s="61">
        <f t="shared" si="18"/>
        <v>69.787199999999999</v>
      </c>
      <c r="R64" s="61">
        <f t="shared" si="18"/>
        <v>67.536000000000001</v>
      </c>
      <c r="S64" s="61">
        <f t="shared" si="18"/>
        <v>67.536000000000001</v>
      </c>
      <c r="T64" s="61">
        <f t="shared" si="18"/>
        <v>139.5744</v>
      </c>
      <c r="U64" s="61">
        <f t="shared" si="18"/>
        <v>139.5744</v>
      </c>
      <c r="V64" s="61">
        <f t="shared" si="18"/>
        <v>135.072</v>
      </c>
      <c r="W64" s="61">
        <f t="shared" si="18"/>
        <v>135.072</v>
      </c>
      <c r="X64" s="61">
        <f t="shared" si="18"/>
        <v>139.5744</v>
      </c>
      <c r="Y64" s="61">
        <f t="shared" si="18"/>
        <v>139.5744</v>
      </c>
      <c r="Z64" s="52"/>
      <c r="AE64" s="86"/>
    </row>
    <row r="65" spans="1:33" s="5" customFormat="1" hidden="1" x14ac:dyDescent="0.25">
      <c r="A65" s="38" t="str">
        <f>A$17</f>
        <v>vides + mammites</v>
      </c>
      <c r="B65" s="61">
        <f t="shared" ref="B65:Y65" si="19">B41*B54*B$3</f>
        <v>11.631200000000002</v>
      </c>
      <c r="C65" s="61">
        <f t="shared" si="19"/>
        <v>11.631200000000002</v>
      </c>
      <c r="D65" s="61">
        <f t="shared" si="19"/>
        <v>10.505600000000001</v>
      </c>
      <c r="E65" s="61">
        <f t="shared" si="19"/>
        <v>10.505600000000001</v>
      </c>
      <c r="F65" s="61">
        <f t="shared" si="19"/>
        <v>15.120560000000001</v>
      </c>
      <c r="G65" s="61">
        <f t="shared" si="19"/>
        <v>15.120560000000001</v>
      </c>
      <c r="H65" s="61">
        <f t="shared" si="19"/>
        <v>14.632800000000001</v>
      </c>
      <c r="I65" s="61">
        <f t="shared" si="19"/>
        <v>14.632800000000001</v>
      </c>
      <c r="J65" s="61">
        <f t="shared" si="19"/>
        <v>15.120560000000001</v>
      </c>
      <c r="K65" s="61">
        <f t="shared" si="19"/>
        <v>15.120560000000001</v>
      </c>
      <c r="L65" s="61">
        <f t="shared" si="19"/>
        <v>14.632800000000001</v>
      </c>
      <c r="M65" s="61">
        <f t="shared" si="19"/>
        <v>14.632800000000001</v>
      </c>
      <c r="N65" s="61">
        <f t="shared" si="19"/>
        <v>15.120560000000001</v>
      </c>
      <c r="O65" s="61">
        <f t="shared" si="19"/>
        <v>15.120560000000001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11.631200000000002</v>
      </c>
      <c r="C66" s="61">
        <f t="shared" si="20"/>
        <v>11.631200000000002</v>
      </c>
      <c r="D66" s="61">
        <f t="shared" si="20"/>
        <v>10.505600000000001</v>
      </c>
      <c r="E66" s="61">
        <f t="shared" si="20"/>
        <v>10.505600000000001</v>
      </c>
      <c r="F66" s="61">
        <f t="shared" si="20"/>
        <v>11.631200000000002</v>
      </c>
      <c r="G66" s="61">
        <f t="shared" si="20"/>
        <v>11.631200000000002</v>
      </c>
      <c r="H66" s="61">
        <f t="shared" si="20"/>
        <v>11.256</v>
      </c>
      <c r="I66" s="61">
        <f t="shared" si="20"/>
        <v>11.256</v>
      </c>
      <c r="J66" s="61">
        <f t="shared" si="20"/>
        <v>11.631200000000002</v>
      </c>
      <c r="K66" s="61">
        <f t="shared" si="20"/>
        <v>11.631200000000002</v>
      </c>
      <c r="L66" s="61">
        <f t="shared" si="20"/>
        <v>11.256</v>
      </c>
      <c r="M66" s="61">
        <f t="shared" si="20"/>
        <v>11.256</v>
      </c>
      <c r="N66" s="61">
        <f t="shared" si="20"/>
        <v>11.631200000000002</v>
      </c>
      <c r="O66" s="61">
        <f t="shared" si="20"/>
        <v>11.631200000000002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11.256</v>
      </c>
      <c r="X66" s="61">
        <f t="shared" si="20"/>
        <v>11.631200000000002</v>
      </c>
      <c r="Y66" s="61">
        <f t="shared" si="20"/>
        <v>11.631200000000002</v>
      </c>
      <c r="Z66" s="52"/>
      <c r="AE66" s="86"/>
    </row>
    <row r="67" spans="1:33" s="5" customFormat="1" hidden="1" x14ac:dyDescent="0.25">
      <c r="A67" s="38">
        <f>A$19</f>
        <v>0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582</v>
      </c>
      <c r="C73" s="64">
        <f t="shared" ref="C73:Y73" si="27">ROUND(SUM(C63:C72),0)</f>
        <v>582</v>
      </c>
      <c r="D73" s="64">
        <f t="shared" si="27"/>
        <v>525</v>
      </c>
      <c r="E73" s="64">
        <f t="shared" si="27"/>
        <v>336</v>
      </c>
      <c r="F73" s="64">
        <f t="shared" si="27"/>
        <v>330</v>
      </c>
      <c r="G73" s="64">
        <f t="shared" si="27"/>
        <v>329</v>
      </c>
      <c r="H73" s="64">
        <f t="shared" si="27"/>
        <v>317</v>
      </c>
      <c r="I73" s="64">
        <f t="shared" si="27"/>
        <v>316</v>
      </c>
      <c r="J73" s="64">
        <f t="shared" si="27"/>
        <v>307</v>
      </c>
      <c r="K73" s="64">
        <f t="shared" si="27"/>
        <v>306</v>
      </c>
      <c r="L73" s="64">
        <f t="shared" si="27"/>
        <v>335</v>
      </c>
      <c r="M73" s="64">
        <f t="shared" si="27"/>
        <v>333</v>
      </c>
      <c r="N73" s="64">
        <f t="shared" si="27"/>
        <v>342</v>
      </c>
      <c r="O73" s="64">
        <f t="shared" si="27"/>
        <v>340</v>
      </c>
      <c r="P73" s="64">
        <f t="shared" si="27"/>
        <v>315</v>
      </c>
      <c r="Q73" s="64">
        <f t="shared" si="27"/>
        <v>315</v>
      </c>
      <c r="R73" s="64">
        <f t="shared" si="27"/>
        <v>305</v>
      </c>
      <c r="S73" s="64">
        <f t="shared" si="27"/>
        <v>287</v>
      </c>
      <c r="T73" s="64">
        <f t="shared" si="27"/>
        <v>366</v>
      </c>
      <c r="U73" s="64">
        <f t="shared" si="27"/>
        <v>366</v>
      </c>
      <c r="V73" s="64">
        <f t="shared" si="27"/>
        <v>355</v>
      </c>
      <c r="W73" s="64">
        <f t="shared" si="27"/>
        <v>360</v>
      </c>
      <c r="X73" s="64">
        <f t="shared" si="27"/>
        <v>372</v>
      </c>
      <c r="Y73" s="64">
        <f t="shared" si="27"/>
        <v>593</v>
      </c>
      <c r="Z73" s="52"/>
      <c r="AA73" s="56">
        <f>ROUND(SUM(B73:Y73),0)</f>
        <v>8914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laitiéres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/>
      <c r="Z76"/>
      <c r="AG76" s="5"/>
    </row>
    <row r="77" spans="1:33" x14ac:dyDescent="0.25">
      <c r="A77" s="128" t="str">
        <f>A$16</f>
        <v>agnelles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156"/>
      <c r="P77" s="60"/>
      <c r="Q77" s="60"/>
      <c r="R77" s="60"/>
      <c r="S77" s="156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vides + mammites</v>
      </c>
      <c r="B78" s="60">
        <v>2</v>
      </c>
      <c r="C78" s="60">
        <v>2</v>
      </c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2</v>
      </c>
      <c r="V78" s="60">
        <v>2</v>
      </c>
      <c r="W78" s="60">
        <v>2</v>
      </c>
      <c r="X78" s="60">
        <v>2</v>
      </c>
      <c r="Y78" s="60">
        <v>2</v>
      </c>
      <c r="AG78" s="5"/>
    </row>
    <row r="79" spans="1:33" x14ac:dyDescent="0.25">
      <c r="A79" s="127" t="str">
        <f>A$18</f>
        <v>béliers</v>
      </c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>
        <f>A$19</f>
        <v>0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laitiéres</v>
      </c>
      <c r="B88" s="60">
        <v>4</v>
      </c>
      <c r="C88" s="60">
        <v>4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3</v>
      </c>
    </row>
    <row r="89" spans="1:33" x14ac:dyDescent="0.25">
      <c r="A89" s="128" t="str">
        <f>A$16</f>
        <v>agnelles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vides + mammites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>
        <f>A$19</f>
        <v>0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laitiéres</v>
      </c>
      <c r="B99" s="61">
        <f>VLOOKUP(B88,$AD$6:$AF$10,3)</f>
        <v>14.3</v>
      </c>
      <c r="C99" s="61">
        <f t="shared" ref="C99:X99" si="28">VLOOKUP(C88,$AD$6:$AF$10,3)</f>
        <v>14.3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16.190000000000001</v>
      </c>
      <c r="M99" s="61">
        <f t="shared" si="28"/>
        <v>16.190000000000001</v>
      </c>
      <c r="N99" s="61">
        <f t="shared" si="28"/>
        <v>16.190000000000001</v>
      </c>
      <c r="O99" s="61">
        <f t="shared" si="28"/>
        <v>16.190000000000001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10.07</v>
      </c>
      <c r="V99" s="61">
        <f t="shared" si="28"/>
        <v>10.07</v>
      </c>
      <c r="W99" s="61">
        <f t="shared" si="28"/>
        <v>10.07</v>
      </c>
      <c r="X99" s="61">
        <f t="shared" si="28"/>
        <v>10.07</v>
      </c>
      <c r="Y99" s="61">
        <f>VLOOKUP(Y88,$AD$6:$AF$10,3)</f>
        <v>7.91</v>
      </c>
    </row>
    <row r="100" spans="1:33" x14ac:dyDescent="0.25">
      <c r="A100" s="128" t="str">
        <f>A$16</f>
        <v>agnelles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vides + mammites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béliers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>
        <f>A$19</f>
        <v>0</v>
      </c>
      <c r="B103" s="61">
        <f t="shared" ref="B103:Y103" si="32">VLOOKUP(B92,$AD$6:$AF$10,3)</f>
        <v>10.07</v>
      </c>
      <c r="C103" s="61">
        <f t="shared" si="32"/>
        <v>10.07</v>
      </c>
      <c r="D103" s="61">
        <f t="shared" si="32"/>
        <v>10.07</v>
      </c>
      <c r="E103" s="61">
        <f t="shared" si="32"/>
        <v>10.07</v>
      </c>
      <c r="F103" s="61">
        <f t="shared" si="32"/>
        <v>10.07</v>
      </c>
      <c r="G103" s="61">
        <f t="shared" si="32"/>
        <v>10.07</v>
      </c>
      <c r="H103" s="61">
        <f t="shared" si="32"/>
        <v>10.07</v>
      </c>
      <c r="I103" s="61">
        <f t="shared" si="32"/>
        <v>10.07</v>
      </c>
      <c r="J103" s="61">
        <f t="shared" si="32"/>
        <v>10.07</v>
      </c>
      <c r="K103" s="61">
        <f t="shared" si="32"/>
        <v>10.07</v>
      </c>
      <c r="L103" s="61">
        <f t="shared" si="32"/>
        <v>10.07</v>
      </c>
      <c r="M103" s="61">
        <f t="shared" si="32"/>
        <v>10.07</v>
      </c>
      <c r="N103" s="61">
        <f t="shared" si="32"/>
        <v>10.07</v>
      </c>
      <c r="O103" s="61">
        <f t="shared" si="32"/>
        <v>10.07</v>
      </c>
      <c r="P103" s="61">
        <f t="shared" si="32"/>
        <v>10.07</v>
      </c>
      <c r="Q103" s="61">
        <f t="shared" si="32"/>
        <v>10.07</v>
      </c>
      <c r="R103" s="61">
        <f t="shared" si="32"/>
        <v>10.07</v>
      </c>
      <c r="S103" s="61">
        <f t="shared" si="32"/>
        <v>10.07</v>
      </c>
      <c r="T103" s="61">
        <f t="shared" si="32"/>
        <v>10.07</v>
      </c>
      <c r="U103" s="61">
        <f t="shared" si="32"/>
        <v>10.07</v>
      </c>
      <c r="V103" s="61">
        <f t="shared" si="32"/>
        <v>10.07</v>
      </c>
      <c r="W103" s="61">
        <f t="shared" si="32"/>
        <v>10.07</v>
      </c>
      <c r="X103" s="61">
        <f t="shared" si="32"/>
        <v>10.07</v>
      </c>
      <c r="Y103" s="61">
        <f t="shared" si="32"/>
        <v>10.07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laitiéres</v>
      </c>
      <c r="B110" s="61">
        <f t="shared" ref="B110:Y110" si="38">(B39*B$3*B99)/1000</f>
        <v>5.9877417600000005</v>
      </c>
      <c r="C110" s="61">
        <f t="shared" si="38"/>
        <v>5.9877417600000005</v>
      </c>
      <c r="D110" s="61">
        <f t="shared" si="38"/>
        <v>6.1230839040000014</v>
      </c>
      <c r="E110" s="61">
        <f t="shared" si="38"/>
        <v>6.1230839040000014</v>
      </c>
      <c r="F110" s="61">
        <f t="shared" si="38"/>
        <v>8.9258526672000009</v>
      </c>
      <c r="G110" s="61">
        <f t="shared" si="38"/>
        <v>8.8881908416000019</v>
      </c>
      <c r="H110" s="61">
        <f t="shared" si="38"/>
        <v>8.5650280799999994</v>
      </c>
      <c r="I110" s="61">
        <f t="shared" si="38"/>
        <v>8.528581152000001</v>
      </c>
      <c r="J110" s="61">
        <f t="shared" si="38"/>
        <v>8.1726161552000018</v>
      </c>
      <c r="K110" s="61">
        <f t="shared" si="38"/>
        <v>8.1349543296000029</v>
      </c>
      <c r="L110" s="61">
        <f t="shared" si="38"/>
        <v>7.8360895200000016</v>
      </c>
      <c r="M110" s="61">
        <f t="shared" si="38"/>
        <v>7.7631956640000013</v>
      </c>
      <c r="N110" s="61">
        <f t="shared" si="38"/>
        <v>7.9466452016000009</v>
      </c>
      <c r="O110" s="61">
        <f t="shared" si="38"/>
        <v>7.871321550400002</v>
      </c>
      <c r="P110" s="61">
        <f t="shared" si="38"/>
        <v>4.9427249648000009</v>
      </c>
      <c r="Q110" s="61">
        <f t="shared" si="38"/>
        <v>4.9427249648000009</v>
      </c>
      <c r="R110" s="61">
        <f t="shared" si="38"/>
        <v>4.7832822240000006</v>
      </c>
      <c r="S110" s="61">
        <f t="shared" si="38"/>
        <v>4.4205688800000011</v>
      </c>
      <c r="T110" s="61">
        <f t="shared" si="38"/>
        <v>4.5679211760000005</v>
      </c>
      <c r="U110" s="61">
        <f t="shared" si="38"/>
        <v>4.5679211760000005</v>
      </c>
      <c r="V110" s="61">
        <f t="shared" si="38"/>
        <v>4.4205688800000011</v>
      </c>
      <c r="W110" s="61">
        <f t="shared" si="38"/>
        <v>4.3072209600000004</v>
      </c>
      <c r="X110" s="61">
        <f t="shared" si="38"/>
        <v>4.4507949920000005</v>
      </c>
      <c r="Y110" s="61">
        <f t="shared" si="38"/>
        <v>3.4961060960000006</v>
      </c>
    </row>
    <row r="111" spans="1:33" x14ac:dyDescent="0.25">
      <c r="A111" s="128" t="str">
        <f>A$16</f>
        <v>agnelles</v>
      </c>
      <c r="B111" s="61">
        <f t="shared" ref="B111:Y111" si="39">(B40*B$3*B100)/1000</f>
        <v>1.8144671999999999</v>
      </c>
      <c r="C111" s="61">
        <f t="shared" si="39"/>
        <v>1.8144671999999999</v>
      </c>
      <c r="D111" s="61">
        <f t="shared" si="39"/>
        <v>1.6388735999999999</v>
      </c>
      <c r="E111" s="61">
        <f t="shared" si="39"/>
        <v>1.6388735999999999</v>
      </c>
      <c r="F111" s="61">
        <f t="shared" si="39"/>
        <v>0.36289343999999996</v>
      </c>
      <c r="G111" s="61">
        <f t="shared" si="39"/>
        <v>0.36289343999999996</v>
      </c>
      <c r="H111" s="61">
        <f t="shared" si="39"/>
        <v>0.35118719999999998</v>
      </c>
      <c r="I111" s="61">
        <f t="shared" si="39"/>
        <v>0.35118719999999998</v>
      </c>
      <c r="J111" s="61">
        <f t="shared" si="39"/>
        <v>0.36289343999999996</v>
      </c>
      <c r="K111" s="61">
        <f t="shared" si="39"/>
        <v>0.36289343999999996</v>
      </c>
      <c r="L111" s="61">
        <f t="shared" si="39"/>
        <v>0.87796800000000008</v>
      </c>
      <c r="M111" s="61">
        <f t="shared" si="39"/>
        <v>0.87796800000000008</v>
      </c>
      <c r="N111" s="61">
        <f t="shared" si="39"/>
        <v>0.90723359999999997</v>
      </c>
      <c r="O111" s="61">
        <f t="shared" si="39"/>
        <v>0.90723359999999997</v>
      </c>
      <c r="P111" s="61">
        <f t="shared" si="39"/>
        <v>0.90723359999999997</v>
      </c>
      <c r="Q111" s="61">
        <f t="shared" si="39"/>
        <v>0.90723359999999997</v>
      </c>
      <c r="R111" s="61">
        <f t="shared" si="39"/>
        <v>0.87796800000000008</v>
      </c>
      <c r="S111" s="61">
        <f t="shared" si="39"/>
        <v>0.87796800000000008</v>
      </c>
      <c r="T111" s="61">
        <f t="shared" si="39"/>
        <v>1.8144671999999999</v>
      </c>
      <c r="U111" s="61">
        <f t="shared" si="39"/>
        <v>1.8144671999999999</v>
      </c>
      <c r="V111" s="61">
        <f t="shared" si="39"/>
        <v>1.7559360000000002</v>
      </c>
      <c r="W111" s="61">
        <f t="shared" si="39"/>
        <v>1.7559360000000002</v>
      </c>
      <c r="X111" s="61">
        <f t="shared" si="39"/>
        <v>1.8144671999999999</v>
      </c>
      <c r="Y111" s="61">
        <f t="shared" si="39"/>
        <v>1.8144671999999999</v>
      </c>
    </row>
    <row r="112" spans="1:33" x14ac:dyDescent="0.25">
      <c r="A112" s="128" t="str">
        <f>A$17</f>
        <v>vides + mammites</v>
      </c>
      <c r="B112" s="61">
        <f t="shared" ref="B112:Y112" si="40">(B41*B$3*B101)/1000</f>
        <v>0.30241120000000005</v>
      </c>
      <c r="C112" s="61">
        <f t="shared" si="40"/>
        <v>0.30241120000000005</v>
      </c>
      <c r="D112" s="61">
        <f t="shared" si="40"/>
        <v>0.27314560000000004</v>
      </c>
      <c r="E112" s="61">
        <f t="shared" si="40"/>
        <v>0.27314560000000004</v>
      </c>
      <c r="F112" s="61">
        <f t="shared" si="40"/>
        <v>0.39313456000000002</v>
      </c>
      <c r="G112" s="61">
        <f t="shared" si="40"/>
        <v>0.39313456000000002</v>
      </c>
      <c r="H112" s="61">
        <f t="shared" si="40"/>
        <v>0.38045280000000004</v>
      </c>
      <c r="I112" s="61">
        <f t="shared" si="40"/>
        <v>0.38045280000000004</v>
      </c>
      <c r="J112" s="61">
        <f t="shared" si="40"/>
        <v>0.39313456000000002</v>
      </c>
      <c r="K112" s="61">
        <f t="shared" si="40"/>
        <v>0.39313456000000002</v>
      </c>
      <c r="L112" s="61">
        <f t="shared" si="40"/>
        <v>0.38045280000000004</v>
      </c>
      <c r="M112" s="61">
        <f t="shared" si="40"/>
        <v>0.38045280000000004</v>
      </c>
      <c r="N112" s="61">
        <f t="shared" si="40"/>
        <v>0.39313456000000002</v>
      </c>
      <c r="O112" s="61">
        <f t="shared" si="40"/>
        <v>0.39313456000000002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</v>
      </c>
      <c r="W112" s="61">
        <f t="shared" si="40"/>
        <v>0</v>
      </c>
      <c r="X112" s="61">
        <f t="shared" si="40"/>
        <v>0</v>
      </c>
      <c r="Y112" s="61">
        <f t="shared" si="40"/>
        <v>0</v>
      </c>
    </row>
    <row r="113" spans="1:29" x14ac:dyDescent="0.25">
      <c r="A113" s="127" t="str">
        <f>A$18</f>
        <v>béliers</v>
      </c>
      <c r="B113" s="61">
        <f t="shared" ref="B113:Y113" si="41">(B42*B$3*B102)/1000</f>
        <v>0.15120560000000002</v>
      </c>
      <c r="C113" s="61">
        <f t="shared" si="41"/>
        <v>0.15120560000000002</v>
      </c>
      <c r="D113" s="61">
        <f t="shared" si="41"/>
        <v>0.13657280000000002</v>
      </c>
      <c r="E113" s="61">
        <f t="shared" si="41"/>
        <v>0.13657280000000002</v>
      </c>
      <c r="F113" s="61">
        <f t="shared" si="41"/>
        <v>0.15120560000000002</v>
      </c>
      <c r="G113" s="61">
        <f t="shared" si="41"/>
        <v>0.15120560000000002</v>
      </c>
      <c r="H113" s="61">
        <f t="shared" si="41"/>
        <v>0.14632800000000001</v>
      </c>
      <c r="I113" s="61">
        <f t="shared" si="41"/>
        <v>0.14632800000000001</v>
      </c>
      <c r="J113" s="61">
        <f t="shared" si="41"/>
        <v>0.15120560000000002</v>
      </c>
      <c r="K113" s="61">
        <f t="shared" si="41"/>
        <v>0.15120560000000002</v>
      </c>
      <c r="L113" s="61">
        <f t="shared" si="41"/>
        <v>0.14632800000000001</v>
      </c>
      <c r="M113" s="61">
        <f t="shared" si="41"/>
        <v>0.14632800000000001</v>
      </c>
      <c r="N113" s="61">
        <f t="shared" si="41"/>
        <v>0.15120560000000002</v>
      </c>
      <c r="O113" s="61">
        <f t="shared" si="41"/>
        <v>0.15120560000000002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0.14632800000000001</v>
      </c>
      <c r="X113" s="61">
        <f t="shared" si="41"/>
        <v>0.15120560000000002</v>
      </c>
      <c r="Y113" s="61">
        <f t="shared" si="41"/>
        <v>0.15120560000000002</v>
      </c>
    </row>
    <row r="114" spans="1:29" x14ac:dyDescent="0.25">
      <c r="A114" s="128">
        <f>A$19</f>
        <v>0</v>
      </c>
      <c r="B114" s="61">
        <f t="shared" ref="B114:Y114" si="42">(B43*B$3*B103)/1000</f>
        <v>0</v>
      </c>
      <c r="C114" s="61">
        <f t="shared" si="42"/>
        <v>0</v>
      </c>
      <c r="D114" s="61">
        <f t="shared" si="42"/>
        <v>0</v>
      </c>
      <c r="E114" s="61">
        <f t="shared" si="42"/>
        <v>0</v>
      </c>
      <c r="F114" s="61">
        <f t="shared" si="42"/>
        <v>0</v>
      </c>
      <c r="G114" s="61">
        <f t="shared" si="42"/>
        <v>0</v>
      </c>
      <c r="H114" s="61">
        <f t="shared" si="42"/>
        <v>0</v>
      </c>
      <c r="I114" s="61">
        <f t="shared" si="42"/>
        <v>0</v>
      </c>
      <c r="J114" s="61">
        <f t="shared" si="42"/>
        <v>0</v>
      </c>
      <c r="K114" s="61">
        <f t="shared" si="42"/>
        <v>0</v>
      </c>
      <c r="L114" s="61">
        <f t="shared" si="42"/>
        <v>0</v>
      </c>
      <c r="M114" s="61">
        <f t="shared" si="42"/>
        <v>0</v>
      </c>
      <c r="N114" s="61">
        <f t="shared" si="42"/>
        <v>0</v>
      </c>
      <c r="O114" s="61">
        <f t="shared" si="42"/>
        <v>0</v>
      </c>
      <c r="P114" s="61">
        <f t="shared" si="42"/>
        <v>0</v>
      </c>
      <c r="Q114" s="61">
        <f t="shared" si="42"/>
        <v>0</v>
      </c>
      <c r="R114" s="61">
        <f t="shared" si="42"/>
        <v>0</v>
      </c>
      <c r="S114" s="61">
        <f t="shared" si="42"/>
        <v>0</v>
      </c>
      <c r="T114" s="61">
        <f t="shared" si="42"/>
        <v>0</v>
      </c>
      <c r="U114" s="61">
        <f t="shared" si="42"/>
        <v>0</v>
      </c>
      <c r="V114" s="61">
        <f t="shared" si="42"/>
        <v>0</v>
      </c>
      <c r="W114" s="61">
        <f t="shared" si="42"/>
        <v>0</v>
      </c>
      <c r="X114" s="61">
        <f t="shared" si="42"/>
        <v>0</v>
      </c>
      <c r="Y114" s="61">
        <f t="shared" si="42"/>
        <v>0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204</v>
      </c>
      <c r="B120" s="61">
        <f>ROUNDUP(SUM(B110:B119),1)</f>
        <v>8.2999999999999989</v>
      </c>
      <c r="C120" s="61">
        <f t="shared" ref="C120:Y120" si="48">SUM(C110:C119)</f>
        <v>8.2558257600000022</v>
      </c>
      <c r="D120" s="61">
        <f t="shared" si="48"/>
        <v>8.1716759040000007</v>
      </c>
      <c r="E120" s="61">
        <f t="shared" si="48"/>
        <v>8.1716759040000007</v>
      </c>
      <c r="F120" s="61">
        <f t="shared" si="48"/>
        <v>9.8330862672000023</v>
      </c>
      <c r="G120" s="61">
        <f t="shared" si="48"/>
        <v>9.7954244416000034</v>
      </c>
      <c r="H120" s="61">
        <f t="shared" si="48"/>
        <v>9.4429960800000003</v>
      </c>
      <c r="I120" s="61">
        <f t="shared" si="48"/>
        <v>9.406549152000002</v>
      </c>
      <c r="J120" s="61">
        <f t="shared" si="48"/>
        <v>9.0798497552000033</v>
      </c>
      <c r="K120" s="61">
        <f t="shared" si="48"/>
        <v>9.0421879296000043</v>
      </c>
      <c r="L120" s="61">
        <f t="shared" si="48"/>
        <v>9.2408383200000017</v>
      </c>
      <c r="M120" s="61">
        <f t="shared" si="48"/>
        <v>9.1679444640000014</v>
      </c>
      <c r="N120" s="61">
        <f t="shared" si="48"/>
        <v>9.3982189616000014</v>
      </c>
      <c r="O120" s="61">
        <f t="shared" si="48"/>
        <v>9.3228953104000034</v>
      </c>
      <c r="P120" s="61">
        <f t="shared" si="48"/>
        <v>5.8499585648000005</v>
      </c>
      <c r="Q120" s="61">
        <f t="shared" si="48"/>
        <v>5.8499585648000005</v>
      </c>
      <c r="R120" s="61">
        <f t="shared" si="48"/>
        <v>5.6612502240000007</v>
      </c>
      <c r="S120" s="61">
        <f t="shared" si="48"/>
        <v>5.2985368800000012</v>
      </c>
      <c r="T120" s="61">
        <f t="shared" si="48"/>
        <v>6.3823883760000006</v>
      </c>
      <c r="U120" s="61">
        <f t="shared" si="48"/>
        <v>6.3823883760000006</v>
      </c>
      <c r="V120" s="61">
        <f t="shared" si="48"/>
        <v>6.1765048800000013</v>
      </c>
      <c r="W120" s="61">
        <f t="shared" si="48"/>
        <v>6.2094849600000011</v>
      </c>
      <c r="X120" s="61">
        <f t="shared" si="48"/>
        <v>6.4164677920000006</v>
      </c>
      <c r="Y120" s="61">
        <f t="shared" si="48"/>
        <v>5.4617788960000002</v>
      </c>
      <c r="AA120" s="57">
        <f>SUM(B120:Y120)</f>
        <v>186.3178857632</v>
      </c>
      <c r="AB120" t="s">
        <v>38</v>
      </c>
      <c r="AC120" t="s">
        <v>208</v>
      </c>
    </row>
    <row r="121" spans="1:29" x14ac:dyDescent="0.25">
      <c r="AA121">
        <f>AA49*4.75</f>
        <v>180.98240999999999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laitiéres</v>
      </c>
      <c r="B123" s="60">
        <v>0</v>
      </c>
      <c r="C123" s="60">
        <v>0</v>
      </c>
      <c r="D123" s="60">
        <v>0</v>
      </c>
      <c r="E123" s="60">
        <v>0.2</v>
      </c>
      <c r="F123" s="60">
        <v>0.3</v>
      </c>
      <c r="G123" s="60">
        <v>0.4</v>
      </c>
      <c r="H123" s="60">
        <v>0.45</v>
      </c>
      <c r="I123" s="60">
        <v>0.6</v>
      </c>
      <c r="J123" s="60">
        <v>0.6</v>
      </c>
      <c r="K123" s="60">
        <v>0.6</v>
      </c>
      <c r="L123" s="60">
        <v>0.7</v>
      </c>
      <c r="M123" s="60">
        <v>0.7</v>
      </c>
      <c r="N123" s="60">
        <v>0.7</v>
      </c>
      <c r="O123" s="60">
        <v>0.7</v>
      </c>
      <c r="P123" s="60">
        <v>0.7</v>
      </c>
      <c r="Q123" s="60">
        <v>0.7</v>
      </c>
      <c r="R123" s="60">
        <v>0.5</v>
      </c>
      <c r="S123" s="60">
        <v>0.5</v>
      </c>
      <c r="T123" s="60">
        <v>0.5</v>
      </c>
      <c r="U123" s="60">
        <v>0.5</v>
      </c>
      <c r="V123" s="60">
        <v>0.5</v>
      </c>
      <c r="W123" s="60">
        <v>0.5</v>
      </c>
      <c r="X123" s="60">
        <v>0.5</v>
      </c>
      <c r="Y123" s="60">
        <v>0</v>
      </c>
    </row>
    <row r="124" spans="1:29" x14ac:dyDescent="0.25">
      <c r="A124" s="128" t="str">
        <f>A$16</f>
        <v>agnelles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vides + mammites</v>
      </c>
      <c r="B125" s="60">
        <v>1</v>
      </c>
      <c r="C125" s="60">
        <v>1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>
        <v>1</v>
      </c>
      <c r="Y125" s="60">
        <v>1</v>
      </c>
    </row>
    <row r="126" spans="1:29" x14ac:dyDescent="0.25">
      <c r="A126" s="127" t="str">
        <f>A$18</f>
        <v>béliers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>
        <f>A$19</f>
        <v>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laitiéres</v>
      </c>
      <c r="B136" s="61">
        <f>B110*(1-B123)</f>
        <v>5.9877417600000005</v>
      </c>
      <c r="C136" s="61">
        <f t="shared" ref="C136:Y136" si="49">C110*(1-C123)</f>
        <v>5.9877417600000005</v>
      </c>
      <c r="D136" s="61">
        <f t="shared" si="49"/>
        <v>6.1230839040000014</v>
      </c>
      <c r="E136" s="61">
        <f t="shared" si="49"/>
        <v>4.8984671232000014</v>
      </c>
      <c r="F136" s="61">
        <f t="shared" si="49"/>
        <v>6.2480968670400001</v>
      </c>
      <c r="G136" s="61">
        <f t="shared" si="49"/>
        <v>5.3329145049600006</v>
      </c>
      <c r="H136" s="61">
        <f t="shared" si="49"/>
        <v>4.7107654439999997</v>
      </c>
      <c r="I136" s="61">
        <f t="shared" si="49"/>
        <v>3.4114324608000004</v>
      </c>
      <c r="J136" s="61">
        <f t="shared" si="49"/>
        <v>3.2690464620800008</v>
      </c>
      <c r="K136" s="61">
        <f t="shared" si="49"/>
        <v>3.2539817318400015</v>
      </c>
      <c r="L136" s="61">
        <f t="shared" si="49"/>
        <v>2.3508268560000007</v>
      </c>
      <c r="M136" s="61">
        <f t="shared" si="49"/>
        <v>2.3289586992000006</v>
      </c>
      <c r="N136" s="61">
        <f t="shared" si="49"/>
        <v>2.3839935604800004</v>
      </c>
      <c r="O136" s="61">
        <f t="shared" si="49"/>
        <v>2.3613964651200008</v>
      </c>
      <c r="P136" s="61">
        <f t="shared" si="49"/>
        <v>1.4828174894400006</v>
      </c>
      <c r="Q136" s="61">
        <f t="shared" si="49"/>
        <v>1.4828174894400006</v>
      </c>
      <c r="R136" s="61">
        <f t="shared" si="49"/>
        <v>2.3916411120000003</v>
      </c>
      <c r="S136" s="61">
        <f t="shared" si="49"/>
        <v>2.2102844400000006</v>
      </c>
      <c r="T136" s="61">
        <f t="shared" si="49"/>
        <v>2.2839605880000002</v>
      </c>
      <c r="U136" s="61">
        <f t="shared" si="49"/>
        <v>2.2839605880000002</v>
      </c>
      <c r="V136" s="61">
        <f t="shared" si="49"/>
        <v>2.2102844400000006</v>
      </c>
      <c r="W136" s="61">
        <f t="shared" si="49"/>
        <v>2.1536104800000002</v>
      </c>
      <c r="X136" s="61">
        <f t="shared" si="49"/>
        <v>2.2253974960000003</v>
      </c>
      <c r="Y136" s="61">
        <f t="shared" si="49"/>
        <v>3.4961060960000006</v>
      </c>
      <c r="AA136" s="61">
        <f>SUM(B136:Y136)</f>
        <v>80.869327817599995</v>
      </c>
    </row>
    <row r="137" spans="1:31" x14ac:dyDescent="0.25">
      <c r="A137" s="128" t="str">
        <f>A$16</f>
        <v>agnelles</v>
      </c>
      <c r="B137" s="61">
        <f t="shared" ref="B137:Y144" si="50">B111*(1-B124)</f>
        <v>1.8144671999999999</v>
      </c>
      <c r="C137" s="61">
        <f t="shared" si="50"/>
        <v>1.8144671999999999</v>
      </c>
      <c r="D137" s="61">
        <f t="shared" si="50"/>
        <v>1.6388735999999999</v>
      </c>
      <c r="E137" s="61">
        <f t="shared" si="50"/>
        <v>1.6388735999999999</v>
      </c>
      <c r="F137" s="61">
        <f t="shared" si="50"/>
        <v>0.36289343999999996</v>
      </c>
      <c r="G137" s="61">
        <f t="shared" si="50"/>
        <v>0.36289343999999996</v>
      </c>
      <c r="H137" s="61">
        <f t="shared" si="50"/>
        <v>0.35118719999999998</v>
      </c>
      <c r="I137" s="61">
        <f t="shared" si="50"/>
        <v>0.35118719999999998</v>
      </c>
      <c r="J137" s="61">
        <f t="shared" si="50"/>
        <v>0.36289343999999996</v>
      </c>
      <c r="K137" s="61">
        <f t="shared" si="50"/>
        <v>0.36289343999999996</v>
      </c>
      <c r="L137" s="61">
        <f t="shared" si="50"/>
        <v>0.87796800000000008</v>
      </c>
      <c r="M137" s="61">
        <f t="shared" si="50"/>
        <v>0.87796800000000008</v>
      </c>
      <c r="N137" s="61">
        <f t="shared" si="50"/>
        <v>0.90723359999999997</v>
      </c>
      <c r="O137" s="61">
        <f t="shared" si="50"/>
        <v>0.90723359999999997</v>
      </c>
      <c r="P137" s="61">
        <f t="shared" si="50"/>
        <v>0.90723359999999997</v>
      </c>
      <c r="Q137" s="61">
        <f t="shared" si="50"/>
        <v>0.90723359999999997</v>
      </c>
      <c r="R137" s="61">
        <f t="shared" si="50"/>
        <v>0.87796800000000008</v>
      </c>
      <c r="S137" s="61">
        <f t="shared" si="50"/>
        <v>0.87796800000000008</v>
      </c>
      <c r="T137" s="61">
        <f t="shared" si="50"/>
        <v>1.8144671999999999</v>
      </c>
      <c r="U137" s="61">
        <f t="shared" si="50"/>
        <v>1.8144671999999999</v>
      </c>
      <c r="V137" s="61">
        <f t="shared" si="50"/>
        <v>1.7559360000000002</v>
      </c>
      <c r="W137" s="61">
        <f t="shared" si="50"/>
        <v>1.7559360000000002</v>
      </c>
      <c r="X137" s="61">
        <f t="shared" si="50"/>
        <v>1.8144671999999999</v>
      </c>
      <c r="Y137" s="61">
        <f t="shared" si="50"/>
        <v>1.8144671999999999</v>
      </c>
      <c r="AA137" s="61">
        <f>SUM(B137:Y137)</f>
        <v>26.971176959999994</v>
      </c>
    </row>
    <row r="138" spans="1:31" x14ac:dyDescent="0.25">
      <c r="A138" s="128" t="str">
        <f>A$17</f>
        <v>vides + mammites</v>
      </c>
      <c r="B138" s="61">
        <f t="shared" si="50"/>
        <v>0</v>
      </c>
      <c r="C138" s="61">
        <f t="shared" si="50"/>
        <v>0</v>
      </c>
      <c r="D138" s="61">
        <f t="shared" si="50"/>
        <v>0</v>
      </c>
      <c r="E138" s="61">
        <f t="shared" si="50"/>
        <v>0</v>
      </c>
      <c r="F138" s="61">
        <f t="shared" si="50"/>
        <v>0</v>
      </c>
      <c r="G138" s="61">
        <f t="shared" si="50"/>
        <v>0</v>
      </c>
      <c r="H138" s="61">
        <f t="shared" si="50"/>
        <v>0</v>
      </c>
      <c r="I138" s="61">
        <f t="shared" si="50"/>
        <v>0</v>
      </c>
      <c r="J138" s="61">
        <f t="shared" si="50"/>
        <v>0</v>
      </c>
      <c r="K138" s="61">
        <f t="shared" si="50"/>
        <v>0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</v>
      </c>
      <c r="W138" s="61">
        <f t="shared" si="50"/>
        <v>0</v>
      </c>
      <c r="X138" s="61">
        <f t="shared" si="50"/>
        <v>0</v>
      </c>
      <c r="Y138" s="61">
        <f t="shared" si="50"/>
        <v>0</v>
      </c>
      <c r="AA138" s="61">
        <f t="shared" ref="AA138:AA144" si="51">SUM(B138:Y138)</f>
        <v>0</v>
      </c>
    </row>
    <row r="139" spans="1:31" x14ac:dyDescent="0.25">
      <c r="A139" s="127" t="str">
        <f>A$18</f>
        <v>béliers</v>
      </c>
      <c r="B139" s="61">
        <f t="shared" si="50"/>
        <v>0.15120560000000002</v>
      </c>
      <c r="C139" s="61">
        <f t="shared" si="50"/>
        <v>0.15120560000000002</v>
      </c>
      <c r="D139" s="61">
        <f t="shared" si="50"/>
        <v>0.13657280000000002</v>
      </c>
      <c r="E139" s="61">
        <f t="shared" si="50"/>
        <v>0.13657280000000002</v>
      </c>
      <c r="F139" s="61">
        <f t="shared" si="50"/>
        <v>0.15120560000000002</v>
      </c>
      <c r="G139" s="61">
        <f t="shared" si="50"/>
        <v>0.15120560000000002</v>
      </c>
      <c r="H139" s="61">
        <f t="shared" si="50"/>
        <v>0.14632800000000001</v>
      </c>
      <c r="I139" s="61">
        <f t="shared" si="50"/>
        <v>0.14632800000000001</v>
      </c>
      <c r="J139" s="61">
        <f t="shared" si="50"/>
        <v>0.15120560000000002</v>
      </c>
      <c r="K139" s="61">
        <f t="shared" si="50"/>
        <v>0.15120560000000002</v>
      </c>
      <c r="L139" s="61">
        <f t="shared" si="50"/>
        <v>0.14632800000000001</v>
      </c>
      <c r="M139" s="61">
        <f t="shared" si="50"/>
        <v>0.14632800000000001</v>
      </c>
      <c r="N139" s="61">
        <f t="shared" si="50"/>
        <v>0.15120560000000002</v>
      </c>
      <c r="O139" s="61">
        <f t="shared" si="50"/>
        <v>0.15120560000000002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0.14632800000000001</v>
      </c>
      <c r="X139" s="61">
        <f t="shared" si="50"/>
        <v>0.15120560000000002</v>
      </c>
      <c r="Y139" s="61">
        <f t="shared" si="50"/>
        <v>0.15120560000000002</v>
      </c>
      <c r="AA139" s="61">
        <f t="shared" si="51"/>
        <v>2.5168415999999998</v>
      </c>
    </row>
    <row r="140" spans="1:31" x14ac:dyDescent="0.25">
      <c r="A140" s="128">
        <f>A$19</f>
        <v>0</v>
      </c>
      <c r="B140" s="61">
        <f t="shared" si="50"/>
        <v>0</v>
      </c>
      <c r="C140" s="61">
        <f t="shared" si="50"/>
        <v>0</v>
      </c>
      <c r="D140" s="61">
        <f t="shared" si="50"/>
        <v>0</v>
      </c>
      <c r="E140" s="61">
        <f t="shared" si="50"/>
        <v>0</v>
      </c>
      <c r="F140" s="61">
        <f t="shared" si="50"/>
        <v>0</v>
      </c>
      <c r="G140" s="61">
        <f t="shared" si="50"/>
        <v>0</v>
      </c>
      <c r="H140" s="61">
        <f t="shared" si="50"/>
        <v>0</v>
      </c>
      <c r="I140" s="61">
        <f t="shared" si="50"/>
        <v>0</v>
      </c>
      <c r="J140" s="61">
        <f t="shared" si="50"/>
        <v>0</v>
      </c>
      <c r="K140" s="61">
        <f t="shared" si="50"/>
        <v>0</v>
      </c>
      <c r="L140" s="61">
        <f t="shared" si="50"/>
        <v>0</v>
      </c>
      <c r="M140" s="61">
        <f t="shared" si="50"/>
        <v>0</v>
      </c>
      <c r="N140" s="61">
        <f t="shared" si="50"/>
        <v>0</v>
      </c>
      <c r="O140" s="61">
        <f t="shared" si="50"/>
        <v>0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</v>
      </c>
      <c r="Y140" s="61">
        <f t="shared" si="50"/>
        <v>0</v>
      </c>
      <c r="AA140" s="61">
        <f t="shared" si="51"/>
        <v>0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110.3573463776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126.91094833423999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laitiéres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1.2246167807999999</v>
      </c>
      <c r="F149" s="61">
        <f t="shared" si="53"/>
        <v>2.6777558001600008</v>
      </c>
      <c r="G149" s="61">
        <f t="shared" si="53"/>
        <v>3.5552763366400013</v>
      </c>
      <c r="H149" s="61">
        <f t="shared" si="53"/>
        <v>3.8542626359999996</v>
      </c>
      <c r="I149" s="61">
        <f t="shared" si="53"/>
        <v>5.1171486912000006</v>
      </c>
      <c r="J149" s="61">
        <f t="shared" si="53"/>
        <v>4.9035696931200015</v>
      </c>
      <c r="K149" s="61">
        <f t="shared" si="53"/>
        <v>4.8809725977600014</v>
      </c>
      <c r="L149" s="61">
        <f t="shared" si="53"/>
        <v>5.4852626640000004</v>
      </c>
      <c r="M149" s="61">
        <f t="shared" si="53"/>
        <v>5.4342369648000002</v>
      </c>
      <c r="N149" s="61">
        <f t="shared" si="53"/>
        <v>5.5626516411200004</v>
      </c>
      <c r="O149" s="61">
        <f t="shared" si="53"/>
        <v>5.5099250852800008</v>
      </c>
      <c r="P149" s="61">
        <f t="shared" si="53"/>
        <v>3.4599074753600005</v>
      </c>
      <c r="Q149" s="61">
        <f t="shared" si="53"/>
        <v>3.4599074753600005</v>
      </c>
      <c r="R149" s="61">
        <f t="shared" si="53"/>
        <v>2.3916411120000003</v>
      </c>
      <c r="S149" s="61">
        <f t="shared" si="53"/>
        <v>2.2102844400000006</v>
      </c>
      <c r="T149" s="61">
        <f t="shared" si="53"/>
        <v>2.2839605880000002</v>
      </c>
      <c r="U149" s="61">
        <f t="shared" si="53"/>
        <v>2.2839605880000002</v>
      </c>
      <c r="V149" s="61">
        <f t="shared" si="53"/>
        <v>2.2102844400000006</v>
      </c>
      <c r="W149" s="61">
        <f t="shared" si="53"/>
        <v>2.1536104800000002</v>
      </c>
      <c r="X149" s="61">
        <f t="shared" si="53"/>
        <v>2.2253974960000003</v>
      </c>
      <c r="Y149" s="61">
        <f t="shared" si="53"/>
        <v>0</v>
      </c>
    </row>
    <row r="150" spans="1:28" x14ac:dyDescent="0.25">
      <c r="A150" s="128" t="str">
        <f>A$16</f>
        <v>agnelles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</v>
      </c>
      <c r="I150" s="61">
        <f t="shared" si="54"/>
        <v>0</v>
      </c>
      <c r="J150" s="61">
        <f t="shared" si="54"/>
        <v>0</v>
      </c>
      <c r="K150" s="61">
        <f t="shared" si="54"/>
        <v>0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vides + mammites</v>
      </c>
      <c r="B151" s="61">
        <f t="shared" ref="B151:Y151" si="55">B112-B138</f>
        <v>0.30241120000000005</v>
      </c>
      <c r="C151" s="61">
        <f t="shared" si="55"/>
        <v>0.30241120000000005</v>
      </c>
      <c r="D151" s="61">
        <f t="shared" si="55"/>
        <v>0.27314560000000004</v>
      </c>
      <c r="E151" s="61">
        <f t="shared" si="55"/>
        <v>0.27314560000000004</v>
      </c>
      <c r="F151" s="61">
        <f t="shared" si="55"/>
        <v>0.39313456000000002</v>
      </c>
      <c r="G151" s="61">
        <f t="shared" si="55"/>
        <v>0.39313456000000002</v>
      </c>
      <c r="H151" s="61">
        <f t="shared" si="55"/>
        <v>0.38045280000000004</v>
      </c>
      <c r="I151" s="61">
        <f t="shared" si="55"/>
        <v>0.38045280000000004</v>
      </c>
      <c r="J151" s="61">
        <f t="shared" si="55"/>
        <v>0.39313456000000002</v>
      </c>
      <c r="K151" s="61">
        <f t="shared" si="55"/>
        <v>0.39313456000000002</v>
      </c>
      <c r="L151" s="61">
        <f t="shared" si="55"/>
        <v>0.38045280000000004</v>
      </c>
      <c r="M151" s="61">
        <f t="shared" si="55"/>
        <v>0.38045280000000004</v>
      </c>
      <c r="N151" s="61">
        <f t="shared" si="55"/>
        <v>0.39313456000000002</v>
      </c>
      <c r="O151" s="61">
        <f t="shared" si="55"/>
        <v>0.39313456000000002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béliers</v>
      </c>
      <c r="B152" s="61">
        <f t="shared" ref="B152:Y152" si="56">B113-B139</f>
        <v>0</v>
      </c>
      <c r="C152" s="61">
        <f t="shared" si="56"/>
        <v>0</v>
      </c>
      <c r="D152" s="61">
        <f t="shared" si="56"/>
        <v>0</v>
      </c>
      <c r="E152" s="61">
        <f t="shared" si="56"/>
        <v>0</v>
      </c>
      <c r="F152" s="61">
        <f t="shared" si="56"/>
        <v>0</v>
      </c>
      <c r="G152" s="61">
        <f t="shared" si="56"/>
        <v>0</v>
      </c>
      <c r="H152" s="61">
        <f t="shared" si="56"/>
        <v>0</v>
      </c>
      <c r="I152" s="61">
        <f t="shared" si="56"/>
        <v>0</v>
      </c>
      <c r="J152" s="61">
        <f t="shared" si="56"/>
        <v>0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>
        <f>A$19</f>
        <v>0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75.916365145599968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laitiéres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1.2246167807999999</v>
      </c>
      <c r="F162" s="61">
        <f t="shared" si="63"/>
        <v>2.6777558001600008</v>
      </c>
      <c r="G162" s="61">
        <f t="shared" si="63"/>
        <v>3.5552763366400013</v>
      </c>
      <c r="H162" s="61">
        <f t="shared" si="63"/>
        <v>3.8542626359999996</v>
      </c>
      <c r="I162" s="61">
        <f t="shared" si="63"/>
        <v>5.1171486912000006</v>
      </c>
      <c r="J162" s="61">
        <f t="shared" si="63"/>
        <v>4.9035696931200015</v>
      </c>
      <c r="K162" s="61">
        <f t="shared" si="63"/>
        <v>4.8809725977600014</v>
      </c>
      <c r="L162" s="61">
        <f t="shared" si="63"/>
        <v>5.4852626640000004</v>
      </c>
      <c r="M162" s="61">
        <f t="shared" si="63"/>
        <v>5.4342369648000002</v>
      </c>
      <c r="N162" s="61">
        <f t="shared" si="63"/>
        <v>5.5626516411200004</v>
      </c>
      <c r="O162" s="61">
        <f t="shared" si="63"/>
        <v>5.5099250852800008</v>
      </c>
      <c r="P162" s="61">
        <f t="shared" si="63"/>
        <v>3.4599074753600005</v>
      </c>
      <c r="Q162" s="61">
        <f t="shared" si="63"/>
        <v>3.4599074753600005</v>
      </c>
      <c r="R162" s="61">
        <f t="shared" si="63"/>
        <v>2.3916411120000003</v>
      </c>
      <c r="S162" s="61">
        <f t="shared" si="63"/>
        <v>2.2102844400000006</v>
      </c>
      <c r="T162" s="61">
        <f t="shared" si="63"/>
        <v>2.2839605880000002</v>
      </c>
      <c r="U162" s="61">
        <f t="shared" si="63"/>
        <v>2.2839605880000002</v>
      </c>
      <c r="V162" s="61">
        <f t="shared" si="63"/>
        <v>2.2102844400000006</v>
      </c>
      <c r="W162" s="61">
        <f t="shared" si="63"/>
        <v>2.1536104800000002</v>
      </c>
      <c r="X162" s="61">
        <f t="shared" si="63"/>
        <v>2.2253974960000003</v>
      </c>
      <c r="Y162" s="61">
        <f t="shared" si="63"/>
        <v>0</v>
      </c>
    </row>
    <row r="163" spans="1:28" x14ac:dyDescent="0.25">
      <c r="A163" s="128" t="str">
        <f>A$16</f>
        <v>agnelles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vides + mammites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béliers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>
        <f>A$19</f>
        <v>0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73">SUM(C162:C171)</f>
        <v>0</v>
      </c>
      <c r="D172" s="61">
        <f t="shared" si="73"/>
        <v>0</v>
      </c>
      <c r="E172" s="61">
        <f t="shared" si="73"/>
        <v>1.2246167807999999</v>
      </c>
      <c r="F172" s="61">
        <f t="shared" si="73"/>
        <v>2.6777558001600008</v>
      </c>
      <c r="G172" s="61">
        <f t="shared" si="73"/>
        <v>3.5552763366400013</v>
      </c>
      <c r="H172" s="61">
        <f t="shared" si="73"/>
        <v>3.8542626359999996</v>
      </c>
      <c r="I172" s="61">
        <f t="shared" si="73"/>
        <v>5.1171486912000006</v>
      </c>
      <c r="J172" s="61">
        <f t="shared" si="73"/>
        <v>4.9035696931200015</v>
      </c>
      <c r="K172" s="61">
        <f t="shared" si="73"/>
        <v>4.8809725977600014</v>
      </c>
      <c r="L172" s="61">
        <f t="shared" si="73"/>
        <v>5.4852626640000004</v>
      </c>
      <c r="M172" s="61">
        <f t="shared" si="73"/>
        <v>5.4342369648000002</v>
      </c>
      <c r="N172" s="61">
        <f t="shared" si="73"/>
        <v>5.5626516411200004</v>
      </c>
      <c r="O172" s="61">
        <f t="shared" si="73"/>
        <v>5.5099250852800008</v>
      </c>
      <c r="P172" s="61">
        <f t="shared" si="73"/>
        <v>3.4599074753600005</v>
      </c>
      <c r="Q172" s="61">
        <f t="shared" si="73"/>
        <v>3.4599074753600005</v>
      </c>
      <c r="R172" s="61">
        <f t="shared" si="73"/>
        <v>2.3916411120000003</v>
      </c>
      <c r="S172" s="61">
        <f t="shared" si="73"/>
        <v>2.2102844400000006</v>
      </c>
      <c r="T172" s="61">
        <f t="shared" si="73"/>
        <v>2.2839605880000002</v>
      </c>
      <c r="U172" s="61">
        <f t="shared" si="73"/>
        <v>2.2839605880000002</v>
      </c>
      <c r="V172" s="61">
        <f t="shared" si="73"/>
        <v>2.2102844400000006</v>
      </c>
      <c r="W172" s="61">
        <f t="shared" si="73"/>
        <v>2.1536104800000002</v>
      </c>
      <c r="X172" s="61">
        <f t="shared" si="73"/>
        <v>2.2253974960000003</v>
      </c>
      <c r="Y172" s="61">
        <f t="shared" si="73"/>
        <v>0</v>
      </c>
      <c r="AA172" s="64">
        <f>SUM(B172:Y172)</f>
        <v>70.884632985600007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laitiéres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agnelles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vides + mammites</v>
      </c>
      <c r="B177" s="61">
        <f t="shared" ref="B177:Y177" si="76">IF(B78=2,B151,0)</f>
        <v>0.30241120000000005</v>
      </c>
      <c r="C177" s="61">
        <f t="shared" si="76"/>
        <v>0.30241120000000005</v>
      </c>
      <c r="D177" s="61">
        <f t="shared" si="76"/>
        <v>0.27314560000000004</v>
      </c>
      <c r="E177" s="61">
        <f t="shared" si="76"/>
        <v>0.27314560000000004</v>
      </c>
      <c r="F177" s="61">
        <f t="shared" si="76"/>
        <v>0.39313456000000002</v>
      </c>
      <c r="G177" s="61">
        <f t="shared" si="76"/>
        <v>0.39313456000000002</v>
      </c>
      <c r="H177" s="61">
        <f t="shared" si="76"/>
        <v>0.38045280000000004</v>
      </c>
      <c r="I177" s="61">
        <f t="shared" si="76"/>
        <v>0.38045280000000004</v>
      </c>
      <c r="J177" s="61">
        <f t="shared" si="76"/>
        <v>0.39313456000000002</v>
      </c>
      <c r="K177" s="61">
        <f t="shared" si="76"/>
        <v>0.39313456000000002</v>
      </c>
      <c r="L177" s="61">
        <f t="shared" si="76"/>
        <v>0.38045280000000004</v>
      </c>
      <c r="M177" s="61">
        <f t="shared" si="76"/>
        <v>0.38045280000000004</v>
      </c>
      <c r="N177" s="61">
        <f t="shared" si="76"/>
        <v>0.39313456000000002</v>
      </c>
      <c r="O177" s="61">
        <f t="shared" si="76"/>
        <v>0.39313456000000002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béliers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>
        <f>A$19</f>
        <v>0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319</v>
      </c>
      <c r="B185" s="61">
        <f>SUM(CdTrp1!B175:B184)</f>
        <v>0.30241120000000005</v>
      </c>
      <c r="C185" s="61">
        <f>SUM(CdTrp1!C175:C184)</f>
        <v>0.30241120000000005</v>
      </c>
      <c r="D185" s="61">
        <f>SUM(CdTrp1!D175:D184)</f>
        <v>0.27314560000000004</v>
      </c>
      <c r="E185" s="61">
        <f>SUM(CdTrp1!E175:E184)</f>
        <v>0.27314560000000004</v>
      </c>
      <c r="F185" s="61">
        <f>SUM(CdTrp1!F175:F184)</f>
        <v>0.39313456000000002</v>
      </c>
      <c r="G185" s="61">
        <f>SUM(CdTrp1!G175:G184)</f>
        <v>0.39313456000000002</v>
      </c>
      <c r="H185" s="61">
        <f>SUM(CdTrp1!H175:H184)</f>
        <v>0.38045280000000004</v>
      </c>
      <c r="I185" s="61">
        <f>SUM(CdTrp1!I175:I184)</f>
        <v>0.38045280000000004</v>
      </c>
      <c r="J185" s="61">
        <f>SUM(CdTrp1!J175:J184)</f>
        <v>0.39313456000000002</v>
      </c>
      <c r="K185" s="61">
        <f>SUM(CdTrp1!K175:K184)</f>
        <v>0.39313456000000002</v>
      </c>
      <c r="L185" s="61">
        <f>SUM(CdTrp1!L175:L184)</f>
        <v>0.38045280000000004</v>
      </c>
      <c r="M185" s="61">
        <f>SUM(CdTrp1!M175:M184)</f>
        <v>0.38045280000000004</v>
      </c>
      <c r="N185" s="61">
        <f>SUM(CdTrp1!N175:N184)</f>
        <v>0.39313456000000002</v>
      </c>
      <c r="O185" s="61">
        <f>SUM(CdTrp1!O175:O184)</f>
        <v>0.39313456000000002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5.0317321600000007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laitiéres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agnelles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vides + mammites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béliers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>
        <f>A$19</f>
        <v>0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laitiéres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agnelles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vides + mammites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béliers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>
        <f>A$19</f>
        <v>0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106">C172</f>
        <v>0</v>
      </c>
      <c r="D215" s="61">
        <f t="shared" si="106"/>
        <v>0</v>
      </c>
      <c r="E215" s="61">
        <f t="shared" si="106"/>
        <v>1.2246167807999999</v>
      </c>
      <c r="F215" s="61">
        <f t="shared" si="106"/>
        <v>2.6777558001600008</v>
      </c>
      <c r="G215" s="61">
        <f t="shared" si="106"/>
        <v>3.5552763366400013</v>
      </c>
      <c r="H215" s="61">
        <f t="shared" si="106"/>
        <v>3.8542626359999996</v>
      </c>
      <c r="I215" s="61">
        <f t="shared" si="106"/>
        <v>5.1171486912000006</v>
      </c>
      <c r="J215" s="61">
        <f t="shared" si="106"/>
        <v>4.9035696931200015</v>
      </c>
      <c r="K215" s="61">
        <f t="shared" si="106"/>
        <v>4.8809725977600014</v>
      </c>
      <c r="L215" s="61">
        <f t="shared" si="106"/>
        <v>5.4852626640000004</v>
      </c>
      <c r="M215" s="61">
        <f t="shared" si="106"/>
        <v>5.4342369648000002</v>
      </c>
      <c r="N215" s="61">
        <f t="shared" si="106"/>
        <v>5.5626516411200004</v>
      </c>
      <c r="O215" s="61">
        <f t="shared" si="106"/>
        <v>5.5099250852800008</v>
      </c>
      <c r="P215" s="61">
        <f t="shared" si="106"/>
        <v>3.4599074753600005</v>
      </c>
      <c r="Q215" s="61">
        <f t="shared" si="106"/>
        <v>3.4599074753600005</v>
      </c>
      <c r="R215" s="61">
        <f t="shared" si="106"/>
        <v>2.3916411120000003</v>
      </c>
      <c r="S215" s="61">
        <f t="shared" si="106"/>
        <v>2.2102844400000006</v>
      </c>
      <c r="T215" s="61">
        <f t="shared" si="106"/>
        <v>2.2839605880000002</v>
      </c>
      <c r="U215" s="61">
        <f t="shared" si="106"/>
        <v>2.2839605880000002</v>
      </c>
      <c r="V215" s="61">
        <f t="shared" si="106"/>
        <v>2.2102844400000006</v>
      </c>
      <c r="W215" s="61">
        <f t="shared" si="106"/>
        <v>2.1536104800000002</v>
      </c>
      <c r="X215" s="61">
        <f t="shared" si="106"/>
        <v>2.2253974960000003</v>
      </c>
      <c r="Y215" s="61">
        <f t="shared" si="106"/>
        <v>0</v>
      </c>
    </row>
    <row r="216" spans="1:28" x14ac:dyDescent="0.25">
      <c r="A216" s="38" t="s">
        <v>220</v>
      </c>
      <c r="B216" s="61">
        <f>B185</f>
        <v>0.30241120000000005</v>
      </c>
      <c r="C216" s="61">
        <f t="shared" ref="C216:Y216" si="107">C185</f>
        <v>0.30241120000000005</v>
      </c>
      <c r="D216" s="61">
        <f t="shared" si="107"/>
        <v>0.27314560000000004</v>
      </c>
      <c r="E216" s="61">
        <f t="shared" si="107"/>
        <v>0.27314560000000004</v>
      </c>
      <c r="F216" s="61">
        <f t="shared" si="107"/>
        <v>0.39313456000000002</v>
      </c>
      <c r="G216" s="61">
        <f t="shared" si="107"/>
        <v>0.39313456000000002</v>
      </c>
      <c r="H216" s="61">
        <f t="shared" si="107"/>
        <v>0.38045280000000004</v>
      </c>
      <c r="I216" s="61">
        <f t="shared" si="107"/>
        <v>0.38045280000000004</v>
      </c>
      <c r="J216" s="61">
        <f t="shared" si="107"/>
        <v>0.39313456000000002</v>
      </c>
      <c r="K216" s="61">
        <f t="shared" si="107"/>
        <v>0.39313456000000002</v>
      </c>
      <c r="L216" s="61">
        <f t="shared" si="107"/>
        <v>0.38045280000000004</v>
      </c>
      <c r="M216" s="61">
        <f t="shared" si="107"/>
        <v>0.38045280000000004</v>
      </c>
      <c r="N216" s="61">
        <f t="shared" si="107"/>
        <v>0.39313456000000002</v>
      </c>
      <c r="O216" s="61">
        <f t="shared" si="107"/>
        <v>0.39313456000000002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75.916365145599968</v>
      </c>
      <c r="AB219" t="s">
        <v>224</v>
      </c>
    </row>
    <row r="220" spans="1:28" x14ac:dyDescent="0.25">
      <c r="AA220" s="30">
        <f>SUM(B215:Y217)</f>
        <v>75.916365145599968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321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parcellaire</vt:lpstr>
      <vt:lpstr>Parcellaire</vt:lpstr>
      <vt:lpstr>Parcellaire (2)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2023-01-16T18:27:21Z</dcterms:modified>
</cp:coreProperties>
</file>