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70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AX11" i="29"/>
  <c r="AY11" i="29"/>
  <c r="AZ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BD19" i="29" s="1"/>
  <c r="BE19" i="29" s="1"/>
  <c r="BF19" i="29" s="1"/>
  <c r="AZ19" i="29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J11" i="29" l="1"/>
  <c r="BI19" i="29"/>
  <c r="BG17" i="29"/>
  <c r="BL20" i="29"/>
  <c r="BG20" i="29"/>
  <c r="BI20" i="29"/>
  <c r="BK20" i="29"/>
  <c r="BJ20" i="29"/>
  <c r="BJ8" i="29"/>
  <c r="BK8" i="29"/>
  <c r="BL8" i="29"/>
  <c r="BG8" i="29"/>
  <c r="BI16" i="29"/>
  <c r="BJ16" i="29"/>
  <c r="BK16" i="29"/>
  <c r="BL16" i="29"/>
  <c r="BG16" i="29"/>
  <c r="BG11" i="29"/>
  <c r="BH11" i="29"/>
  <c r="BK11" i="29"/>
  <c r="BL11" i="29"/>
  <c r="BG19" i="29"/>
  <c r="BL19" i="29"/>
  <c r="BK19" i="29"/>
  <c r="BH8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06" i="30"/>
  <c r="BR106" i="30"/>
  <c r="BQ106" i="30"/>
  <c r="BP106" i="30"/>
  <c r="BO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B106" i="30" l="1"/>
  <c r="BC106" i="30"/>
  <c r="BA106" i="30"/>
  <c r="AZ106" i="30"/>
  <c r="AY10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Z254" i="31"/>
  <c r="AT2" i="30"/>
  <c r="BZ2" i="30"/>
  <c r="DC2" i="30"/>
  <c r="AD13" i="29"/>
  <c r="AD14" i="29" s="1"/>
  <c r="T233" i="31" s="1"/>
  <c r="T271" i="31" s="1"/>
  <c r="AH22" i="29"/>
  <c r="AE22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C129" i="32" s="1"/>
  <c r="AB97" i="32"/>
  <c r="AA97" i="32"/>
  <c r="Z97" i="32"/>
  <c r="Y97" i="32"/>
  <c r="X97" i="32"/>
  <c r="W97" i="32"/>
  <c r="V97" i="32"/>
  <c r="U97" i="32"/>
  <c r="U129" i="32" s="1"/>
  <c r="T97" i="32"/>
  <c r="S97" i="32"/>
  <c r="R97" i="32"/>
  <c r="Q97" i="32"/>
  <c r="P97" i="32"/>
  <c r="O97" i="32"/>
  <c r="N97" i="32"/>
  <c r="M97" i="32"/>
  <c r="M129" i="32" s="1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AA138" i="32" s="1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J154" i="32" s="1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J153" i="32" s="1"/>
  <c r="BI100" i="32"/>
  <c r="BH100" i="32"/>
  <c r="BH153" i="32" s="1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J152" i="32" s="1"/>
  <c r="BI99" i="32"/>
  <c r="BH99" i="32"/>
  <c r="BG99" i="32"/>
  <c r="BF99" i="32"/>
  <c r="BF152" i="32" s="1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G151" i="32" s="1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J73" i="31" s="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Y49" i="31"/>
  <c r="AX49" i="31"/>
  <c r="AW49" i="31"/>
  <c r="AW71" i="31" s="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E70" i="31" s="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V72" i="31" s="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B93" i="30" s="1"/>
  <c r="BA40" i="30"/>
  <c r="AZ40" i="30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L92" i="30" s="1"/>
  <c r="BK39" i="30"/>
  <c r="BJ39" i="30"/>
  <c r="BJ92" i="30" s="1"/>
  <c r="BI39" i="30"/>
  <c r="BH39" i="30"/>
  <c r="BG39" i="30"/>
  <c r="BF39" i="30"/>
  <c r="BE39" i="30"/>
  <c r="BD39" i="30"/>
  <c r="BD92" i="30" s="1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B91" i="30" s="1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H90" i="30" s="1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X20" i="29" s="1"/>
  <c r="X21" i="29" s="1"/>
  <c r="X7" i="29" s="1"/>
  <c r="X12" i="29" s="1"/>
  <c r="W84" i="29"/>
  <c r="V84" i="29"/>
  <c r="U84" i="29"/>
  <c r="T84" i="29"/>
  <c r="S84" i="29"/>
  <c r="S71" i="29" s="1"/>
  <c r="R84" i="29"/>
  <c r="Q84" i="29"/>
  <c r="P84" i="29"/>
  <c r="P20" i="29" s="1"/>
  <c r="P21" i="29" s="1"/>
  <c r="P7" i="29" s="1"/>
  <c r="P12" i="29" s="1"/>
  <c r="O84" i="29"/>
  <c r="N84" i="29"/>
  <c r="M84" i="29"/>
  <c r="L84" i="29"/>
  <c r="K84" i="29"/>
  <c r="K71" i="29" s="1"/>
  <c r="J84" i="29"/>
  <c r="I84" i="29"/>
  <c r="H84" i="29"/>
  <c r="G84" i="29"/>
  <c r="F84" i="29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C44" i="32"/>
  <c r="C46" i="32"/>
  <c r="D46" i="32" s="1"/>
  <c r="C47" i="32"/>
  <c r="D47" i="32" s="1"/>
  <c r="C49" i="32"/>
  <c r="D49" i="32" s="1"/>
  <c r="C50" i="32"/>
  <c r="D50" i="32" s="1"/>
  <c r="C51" i="32"/>
  <c r="C52" i="32"/>
  <c r="C53" i="32"/>
  <c r="C54" i="32"/>
  <c r="C55" i="32"/>
  <c r="D55" i="32" s="1"/>
  <c r="C56" i="32"/>
  <c r="D56" i="32" s="1"/>
  <c r="C57" i="32"/>
  <c r="D57" i="32" s="1"/>
  <c r="C58" i="32"/>
  <c r="D58" i="32" s="1"/>
  <c r="C59" i="32"/>
  <c r="C60" i="32"/>
  <c r="D60" i="32" s="1"/>
  <c r="C61" i="32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BP89" i="32"/>
  <c r="BZ89" i="32"/>
  <c r="CA89" i="32"/>
  <c r="CT89" i="32"/>
  <c r="DC89" i="32"/>
  <c r="DD89" i="32"/>
  <c r="DV89" i="32" s="1"/>
  <c r="DY89" i="32"/>
  <c r="AU90" i="32"/>
  <c r="AX90" i="32" s="1"/>
  <c r="BG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K151" i="32"/>
  <c r="BZ98" i="32"/>
  <c r="CL151" i="32"/>
  <c r="CX151" i="32"/>
  <c r="DC98" i="32"/>
  <c r="DF151" i="32"/>
  <c r="DN151" i="32"/>
  <c r="DV151" i="32"/>
  <c r="AE129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Q129" i="32"/>
  <c r="Y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BH151" i="32"/>
  <c r="BI151" i="32"/>
  <c r="BJ151" i="32"/>
  <c r="BL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BG152" i="32"/>
  <c r="BH152" i="32"/>
  <c r="BI152" i="32"/>
  <c r="BK152" i="32"/>
  <c r="BL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BG154" i="32"/>
  <c r="BH154" i="32"/>
  <c r="BI154" i="32"/>
  <c r="BK154" i="32"/>
  <c r="BL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A73" i="31"/>
  <c r="BI73" i="31"/>
  <c r="BM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W72" i="31"/>
  <c r="AX72" i="31"/>
  <c r="AY72" i="31"/>
  <c r="BA72" i="31"/>
  <c r="BC72" i="31"/>
  <c r="BD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AY73" i="31"/>
  <c r="BC73" i="31"/>
  <c r="BD73" i="31"/>
  <c r="BK73" i="31"/>
  <c r="BL73" i="31"/>
  <c r="BN73" i="31"/>
  <c r="BO73" i="31"/>
  <c r="BR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6" i="31"/>
  <c r="B166" i="31" s="1"/>
  <c r="Z256" i="31"/>
  <c r="Z257" i="31"/>
  <c r="Z258" i="31"/>
  <c r="Z259" i="31"/>
  <c r="Z260" i="31"/>
  <c r="AM219" i="32"/>
  <c r="AU2" i="30"/>
  <c r="CA2" i="30"/>
  <c r="CA120" i="32" s="1"/>
  <c r="DD2" i="30"/>
  <c r="AW15" i="30"/>
  <c r="AW60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I20" i="30"/>
  <c r="BI65" i="30" s="1"/>
  <c r="BK20" i="30"/>
  <c r="BL20" i="30"/>
  <c r="BM20" i="30"/>
  <c r="BM65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BR28" i="30" s="1"/>
  <c r="BQ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Q60" i="30"/>
  <c r="BS60" i="30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AZ64" i="30"/>
  <c r="AZ110" i="30" s="1"/>
  <c r="BE64" i="30"/>
  <c r="BE110" i="30" s="1"/>
  <c r="BF64" i="30"/>
  <c r="BF110" i="30" s="1"/>
  <c r="BN64" i="30"/>
  <c r="BN110" i="30" s="1"/>
  <c r="BP64" i="30"/>
  <c r="BP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K65" i="30"/>
  <c r="BL65" i="30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AZ91" i="30"/>
  <c r="BA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BS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E92" i="30"/>
  <c r="BF92" i="30"/>
  <c r="BG92" i="30"/>
  <c r="BH92" i="30"/>
  <c r="BI92" i="30"/>
  <c r="BK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AZ93" i="30"/>
  <c r="BA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H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K22" i="29"/>
  <c r="AE33" i="29"/>
  <c r="D20" i="29"/>
  <c r="D21" i="29" s="1"/>
  <c r="D7" i="29" s="1"/>
  <c r="D12" i="29" s="1"/>
  <c r="F20" i="29"/>
  <c r="F21" i="29" s="1"/>
  <c r="F7" i="29" s="1"/>
  <c r="F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N20" i="29"/>
  <c r="N21" i="29" s="1"/>
  <c r="N7" i="29" s="1"/>
  <c r="N12" i="29" s="1"/>
  <c r="Q20" i="29"/>
  <c r="Q21" i="29" s="1"/>
  <c r="Q7" i="29" s="1"/>
  <c r="Q12" i="29" s="1"/>
  <c r="R20" i="29"/>
  <c r="R21" i="29" s="1"/>
  <c r="R7" i="29" s="1"/>
  <c r="R12" i="29" s="1"/>
  <c r="T20" i="29"/>
  <c r="T21" i="29" s="1"/>
  <c r="T7" i="29" s="1"/>
  <c r="T12" i="29" s="1"/>
  <c r="U20" i="29"/>
  <c r="U21" i="29" s="1"/>
  <c r="U7" i="29" s="1"/>
  <c r="U12" i="29" s="1"/>
  <c r="V20" i="29"/>
  <c r="V21" i="29" s="1"/>
  <c r="V7" i="29" s="1"/>
  <c r="V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D44" i="32" l="1"/>
  <c r="D43" i="32"/>
  <c r="T169" i="28"/>
  <c r="W169" i="28" s="1"/>
  <c r="Y169" i="28"/>
  <c r="AB169" i="28" s="1"/>
  <c r="Z169" i="28"/>
  <c r="AC169" i="28" s="1"/>
  <c r="AG169" i="28" s="1"/>
  <c r="X169" i="28"/>
  <c r="AA169" i="28" s="1"/>
  <c r="Z169" i="31"/>
  <c r="AC169" i="31" s="1"/>
  <c r="Y169" i="31"/>
  <c r="AB169" i="31" s="1"/>
  <c r="X169" i="31"/>
  <c r="T169" i="31"/>
  <c r="X209" i="31"/>
  <c r="T209" i="31"/>
  <c r="Z209" i="31"/>
  <c r="AC209" i="31" s="1"/>
  <c r="Y209" i="31"/>
  <c r="AB209" i="31" s="1"/>
  <c r="AZ71" i="31"/>
  <c r="M20" i="29"/>
  <c r="M21" i="29" s="1"/>
  <c r="M7" i="29" s="1"/>
  <c r="M12" i="29" s="1"/>
  <c r="BB72" i="31"/>
  <c r="AC134" i="32"/>
  <c r="U71" i="29"/>
  <c r="BB73" i="31"/>
  <c r="AZ72" i="31"/>
  <c r="D61" i="32"/>
  <c r="BO30" i="30"/>
  <c r="BM28" i="30"/>
  <c r="BJ30" i="30"/>
  <c r="BK28" i="30"/>
  <c r="BE89" i="32"/>
  <c r="BF30" i="30"/>
  <c r="BF28" i="30"/>
  <c r="BQ90" i="32"/>
  <c r="CY89" i="32"/>
  <c r="AZ89" i="32"/>
  <c r="BE30" i="30"/>
  <c r="BB28" i="30"/>
  <c r="BB73" i="30" s="1"/>
  <c r="BA30" i="30"/>
  <c r="AW28" i="30"/>
  <c r="AZ90" i="32"/>
  <c r="CI89" i="32"/>
  <c r="AV90" i="32"/>
  <c r="CE89" i="32"/>
  <c r="BK27" i="30"/>
  <c r="D59" i="32"/>
  <c r="D54" i="32"/>
  <c r="D53" i="32"/>
  <c r="D51" i="32"/>
  <c r="D280" i="32"/>
  <c r="D52" i="32"/>
  <c r="D16" i="30"/>
  <c r="F16" i="30" s="1"/>
  <c r="T247" i="31" s="1"/>
  <c r="X247" i="31" s="1"/>
  <c r="F86" i="30"/>
  <c r="C279" i="32" s="1"/>
  <c r="D18" i="32"/>
  <c r="D20" i="32"/>
  <c r="D19" i="32"/>
  <c r="D1" i="32"/>
  <c r="Z191" i="31"/>
  <c r="AC191" i="31" s="1"/>
  <c r="Y191" i="31"/>
  <c r="AB191" i="31" s="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AJ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AF189" i="31" s="1"/>
  <c r="X189" i="28"/>
  <c r="AA189" i="28" s="1"/>
  <c r="T189" i="28"/>
  <c r="V189" i="28" s="1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AC187" i="28" s="1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AB188" i="28" s="1"/>
  <c r="X188" i="28"/>
  <c r="AA188" i="28" s="1"/>
  <c r="T188" i="28"/>
  <c r="Z187" i="31"/>
  <c r="AC187" i="31" s="1"/>
  <c r="Y187" i="31"/>
  <c r="AB187" i="31" s="1"/>
  <c r="X187" i="31"/>
  <c r="AA187" i="31" s="1"/>
  <c r="T187" i="31"/>
  <c r="AJ187" i="31" s="1"/>
  <c r="Z168" i="31"/>
  <c r="AC168" i="31" s="1"/>
  <c r="Y168" i="31"/>
  <c r="AB168" i="31" s="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AC190" i="31" s="1"/>
  <c r="Y190" i="31"/>
  <c r="AB190" i="31" s="1"/>
  <c r="X190" i="31"/>
  <c r="X190" i="28"/>
  <c r="AA190" i="28" s="1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AA167" i="28"/>
  <c r="W167" i="28"/>
  <c r="AC167" i="28"/>
  <c r="AF167" i="28" s="1"/>
  <c r="AC165" i="31"/>
  <c r="AD165" i="31" s="1"/>
  <c r="AC164" i="31"/>
  <c r="AE164" i="31" s="1"/>
  <c r="AA164" i="31"/>
  <c r="AF164" i="31"/>
  <c r="AB164" i="28"/>
  <c r="AA164" i="28"/>
  <c r="V164" i="28"/>
  <c r="AB166" i="28"/>
  <c r="AC186" i="31"/>
  <c r="AC208" i="31"/>
  <c r="AE208" i="31" s="1"/>
  <c r="AF208" i="31"/>
  <c r="AB208" i="31"/>
  <c r="AA208" i="31"/>
  <c r="U209" i="31"/>
  <c r="AC210" i="31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C186" i="32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G106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M111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AF191" i="3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I191" i="3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J191" i="31"/>
  <c r="AD177" i="31"/>
  <c r="AH177" i="31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K106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I106" i="30" s="1"/>
  <c r="BC26" i="30"/>
  <c r="AX26" i="30"/>
  <c r="AX71" i="30" s="1"/>
  <c r="BB60" i="30"/>
  <c r="BM60" i="30"/>
  <c r="BM106" i="30" s="1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W188" i="28"/>
  <c r="AF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92" i="28"/>
  <c r="AF192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106" i="30" s="1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W191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92" i="28"/>
  <c r="V188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G192" i="28"/>
  <c r="U192" i="28"/>
  <c r="AG188" i="28"/>
  <c r="U188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92" i="28"/>
  <c r="AI188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S5" i="29"/>
  <c r="S9" i="29" s="1"/>
  <c r="S4" i="29"/>
  <c r="S3" i="29"/>
  <c r="O5" i="29"/>
  <c r="O9" i="29" s="1"/>
  <c r="O4" i="29"/>
  <c r="O3" i="29"/>
  <c r="K5" i="29"/>
  <c r="K9" i="29" s="1"/>
  <c r="K4" i="29"/>
  <c r="K3" i="29"/>
  <c r="O72" i="30" s="1"/>
  <c r="G5" i="29"/>
  <c r="G9" i="29" s="1"/>
  <c r="G4" i="29"/>
  <c r="G3" i="29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5" i="29"/>
  <c r="R9" i="29" s="1"/>
  <c r="N4" i="29"/>
  <c r="N3" i="29"/>
  <c r="N5" i="29"/>
  <c r="N9" i="29" s="1"/>
  <c r="J4" i="29"/>
  <c r="J3" i="29"/>
  <c r="J5" i="29"/>
  <c r="J9" i="29" s="1"/>
  <c r="F4" i="29"/>
  <c r="F3" i="29"/>
  <c r="J72" i="30" s="1"/>
  <c r="F5" i="29"/>
  <c r="F9" i="29" s="1"/>
  <c r="E19" i="29"/>
  <c r="T47" i="29"/>
  <c r="P47" i="29"/>
  <c r="L47" i="29"/>
  <c r="H47" i="29"/>
  <c r="D47" i="29"/>
  <c r="Y26" i="29"/>
  <c r="U26" i="29"/>
  <c r="Q26" i="29"/>
  <c r="M26" i="29"/>
  <c r="I26" i="29"/>
  <c r="E26" i="29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9" i="29" s="1"/>
  <c r="Q4" i="29"/>
  <c r="M3" i="29"/>
  <c r="Q72" i="30" s="1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P5" i="29"/>
  <c r="P9" i="29" s="1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S12" i="29" s="1"/>
  <c r="O20" i="29"/>
  <c r="O21" i="29" s="1"/>
  <c r="O7" i="29" s="1"/>
  <c r="O12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3" i="30"/>
  <c r="B110" i="30" s="1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AA190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J166" i="31"/>
  <c r="C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V191" i="3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U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91" i="31"/>
  <c r="AG187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G178" i="31"/>
  <c r="AG177" i="31"/>
  <c r="AG176" i="31"/>
  <c r="AI170" i="31"/>
  <c r="AB170" i="31"/>
  <c r="AA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E209" i="31" l="1"/>
  <c r="V189" i="31"/>
  <c r="AD169" i="28"/>
  <c r="AJ169" i="28" s="1"/>
  <c r="AD209" i="31"/>
  <c r="AH209" i="31" s="1"/>
  <c r="AH169" i="28"/>
  <c r="AD192" i="31"/>
  <c r="AD169" i="31"/>
  <c r="AJ169" i="31" s="1"/>
  <c r="AE191" i="28"/>
  <c r="AI192" i="31"/>
  <c r="W192" i="31"/>
  <c r="V192" i="31"/>
  <c r="AG192" i="31"/>
  <c r="U192" i="31"/>
  <c r="AH192" i="31"/>
  <c r="AJ192" i="31"/>
  <c r="AD192" i="28"/>
  <c r="AH192" i="28" s="1"/>
  <c r="AE191" i="31"/>
  <c r="P72" i="30"/>
  <c r="Y8" i="29"/>
  <c r="AC72" i="30"/>
  <c r="R8" i="29"/>
  <c r="V72" i="30"/>
  <c r="K72" i="30"/>
  <c r="G8" i="29"/>
  <c r="G201" i="29" s="1"/>
  <c r="X8" i="29"/>
  <c r="AB72" i="30"/>
  <c r="E8" i="29"/>
  <c r="I72" i="30"/>
  <c r="S8" i="29"/>
  <c r="S201" i="29" s="1"/>
  <c r="W72" i="30"/>
  <c r="H72" i="30"/>
  <c r="D8" i="29"/>
  <c r="D201" i="29" s="1"/>
  <c r="Q8" i="29"/>
  <c r="U72" i="30"/>
  <c r="N72" i="30"/>
  <c r="P8" i="29"/>
  <c r="T72" i="30"/>
  <c r="Z72" i="30"/>
  <c r="V8" i="29"/>
  <c r="M72" i="30"/>
  <c r="AA72" i="30"/>
  <c r="W8" i="29"/>
  <c r="W201" i="29" s="1"/>
  <c r="L72" i="30"/>
  <c r="H8" i="29"/>
  <c r="Y72" i="30"/>
  <c r="U8" i="29"/>
  <c r="R72" i="30"/>
  <c r="N8" i="29"/>
  <c r="C8" i="29"/>
  <c r="G72" i="30"/>
  <c r="X72" i="30"/>
  <c r="T8" i="29"/>
  <c r="T201" i="29" s="1"/>
  <c r="Z8" i="29"/>
  <c r="AD72" i="30"/>
  <c r="S72" i="30"/>
  <c r="O8" i="29"/>
  <c r="E16" i="29"/>
  <c r="D279" i="32"/>
  <c r="B116" i="30"/>
  <c r="D234" i="32"/>
  <c r="D190" i="32"/>
  <c r="AK190" i="32" s="1"/>
  <c r="AO190" i="32" s="1"/>
  <c r="D186" i="32"/>
  <c r="AJ217" i="32" s="1"/>
  <c r="AN217" i="32" s="1"/>
  <c r="AG165" i="31"/>
  <c r="V187" i="31"/>
  <c r="AI189" i="31"/>
  <c r="AF191" i="28"/>
  <c r="W187" i="31"/>
  <c r="W189" i="31"/>
  <c r="AE187" i="31"/>
  <c r="AI191" i="28"/>
  <c r="U187" i="31"/>
  <c r="W191" i="28"/>
  <c r="V191" i="28"/>
  <c r="U189" i="31"/>
  <c r="AG189" i="31"/>
  <c r="AG191" i="28"/>
  <c r="AE189" i="31"/>
  <c r="U191" i="28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8" i="29" s="1"/>
  <c r="E17" i="29"/>
  <c r="J8" i="29"/>
  <c r="I8" i="29"/>
  <c r="K8" i="29"/>
  <c r="K201" i="29" s="1"/>
  <c r="D122" i="32"/>
  <c r="D116" i="32"/>
  <c r="D113" i="32"/>
  <c r="D119" i="32"/>
  <c r="L8" i="29"/>
  <c r="L201" i="29" s="1"/>
  <c r="D182" i="32"/>
  <c r="AJ215" i="32" s="1"/>
  <c r="AN215" i="32" s="1"/>
  <c r="M8" i="29"/>
  <c r="AD190" i="28"/>
  <c r="AH190" i="28" s="1"/>
  <c r="AD210" i="31"/>
  <c r="AH210" i="31" s="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U6" i="29" s="1"/>
  <c r="U10" i="29" s="1"/>
  <c r="N41" i="29"/>
  <c r="N42" i="29" s="1"/>
  <c r="N28" i="29" s="1"/>
  <c r="AZ61" i="30"/>
  <c r="AZ107" i="30" s="1"/>
  <c r="CU84" i="30"/>
  <c r="CU82" i="30"/>
  <c r="BH60" i="30"/>
  <c r="BH106" i="30" s="1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2" i="30" s="1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84" i="30" s="1"/>
  <c r="BC63" i="30"/>
  <c r="BC109" i="30" s="1"/>
  <c r="BN63" i="30"/>
  <c r="BN109" i="30" s="1"/>
  <c r="BN74" i="30"/>
  <c r="AX63" i="30"/>
  <c r="AX109" i="30" s="1"/>
  <c r="AX74" i="30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R61" i="30"/>
  <c r="BR107" i="30" s="1"/>
  <c r="BR72" i="30"/>
  <c r="AV72" i="30"/>
  <c r="AV82" i="30" s="1"/>
  <c r="BQ81" i="30"/>
  <c r="BQ85" i="30" s="1"/>
  <c r="AY61" i="30"/>
  <c r="AY107" i="30" s="1"/>
  <c r="AY72" i="30"/>
  <c r="AW61" i="30"/>
  <c r="AW107" i="30" s="1"/>
  <c r="AW72" i="30"/>
  <c r="AW81" i="30" s="1"/>
  <c r="AW85" i="30" s="1"/>
  <c r="BD61" i="30"/>
  <c r="BD107" i="30" s="1"/>
  <c r="BN61" i="30"/>
  <c r="BN107" i="30" s="1"/>
  <c r="BN72" i="30"/>
  <c r="AX61" i="30"/>
  <c r="AX107" i="30" s="1"/>
  <c r="AX72" i="30"/>
  <c r="BB84" i="30"/>
  <c r="BP72" i="30"/>
  <c r="BF61" i="30"/>
  <c r="BF107" i="30" s="1"/>
  <c r="BO72" i="30"/>
  <c r="BO61" i="30"/>
  <c r="BO107" i="30" s="1"/>
  <c r="BB61" i="30"/>
  <c r="BB107" i="30" s="1"/>
  <c r="BE61" i="30"/>
  <c r="BE107" i="30" s="1"/>
  <c r="BA60" i="30"/>
  <c r="BA71" i="30"/>
  <c r="AY60" i="30"/>
  <c r="AY71" i="30"/>
  <c r="BC60" i="30"/>
  <c r="BC71" i="30"/>
  <c r="AZ71" i="30"/>
  <c r="AZ81" i="30" s="1"/>
  <c r="BH82" i="30"/>
  <c r="BL60" i="30"/>
  <c r="BL106" i="30" s="1"/>
  <c r="BN71" i="30"/>
  <c r="BN60" i="30"/>
  <c r="BN106" i="30" s="1"/>
  <c r="BE60" i="30"/>
  <c r="BE106" i="30" s="1"/>
  <c r="BE71" i="30"/>
  <c r="BE84" i="30" s="1"/>
  <c r="BJ60" i="30"/>
  <c r="BJ106" i="30" s="1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BQ83" i="30"/>
  <c r="DZ82" i="30"/>
  <c r="DZ85" i="30" s="1"/>
  <c r="CK84" i="30"/>
  <c r="Y6" i="29"/>
  <c r="Y10" i="29" s="1"/>
  <c r="Y181" i="29"/>
  <c r="Y196" i="29" s="1"/>
  <c r="AC76" i="30" s="1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1" i="30"/>
  <c r="AV84" i="30"/>
  <c r="AV83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DT117" i="30"/>
  <c r="V7" i="30" s="1"/>
  <c r="BR81" i="30"/>
  <c r="BR85" i="30" s="1"/>
  <c r="DL83" i="30"/>
  <c r="CW81" i="30"/>
  <c r="BQ84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V39" i="29"/>
  <c r="AD19" i="29"/>
  <c r="AF19" i="29" s="1"/>
  <c r="AK20" i="29" s="1"/>
  <c r="C53" i="29"/>
  <c r="C55" i="29" s="1"/>
  <c r="X34" i="28"/>
  <c r="K35" i="28" s="1"/>
  <c r="C91" i="32" s="1"/>
  <c r="CI117" i="30"/>
  <c r="N6" i="30" s="1"/>
  <c r="BI81" i="30"/>
  <c r="BL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BC82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X18" i="29" s="1"/>
  <c r="C2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BG81" i="30" l="1"/>
  <c r="U181" i="29"/>
  <c r="U196" i="29" s="1"/>
  <c r="Y76" i="30" s="1"/>
  <c r="AX82" i="30"/>
  <c r="AJ186" i="31"/>
  <c r="AK231" i="32"/>
  <c r="AO231" i="32" s="1"/>
  <c r="AR231" i="32" s="1"/>
  <c r="AS231" i="32" s="1"/>
  <c r="AT231" i="32" s="1"/>
  <c r="AW231" i="32" s="1"/>
  <c r="AK224" i="32"/>
  <c r="AO224" i="32" s="1"/>
  <c r="F72" i="30"/>
  <c r="B109" i="30" s="1"/>
  <c r="B112" i="30" s="1"/>
  <c r="BP81" i="30"/>
  <c r="BM81" i="30"/>
  <c r="BM85" i="30" s="1"/>
  <c r="BA81" i="30"/>
  <c r="F181" i="29"/>
  <c r="F196" i="29" s="1"/>
  <c r="J76" i="30" s="1"/>
  <c r="AW87" i="30"/>
  <c r="AW86" i="30"/>
  <c r="BM83" i="30"/>
  <c r="AW83" i="30"/>
  <c r="BN82" i="30"/>
  <c r="AW84" i="30"/>
  <c r="BQ87" i="30"/>
  <c r="BQ86" i="30"/>
  <c r="AW82" i="30"/>
  <c r="BR87" i="30"/>
  <c r="BR86" i="30"/>
  <c r="B52" i="30"/>
  <c r="C52" i="30" s="1"/>
  <c r="AH189" i="28"/>
  <c r="AI167" i="31"/>
  <c r="AJ168" i="31"/>
  <c r="D136" i="32"/>
  <c r="D133" i="32"/>
  <c r="D106" i="32"/>
  <c r="D129" i="32"/>
  <c r="D125" i="32"/>
  <c r="D102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BR82" i="30"/>
  <c r="BC83" i="30"/>
  <c r="AX81" i="30"/>
  <c r="AX85" i="30" s="1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180" i="29" s="1"/>
  <c r="N195" i="29" s="1"/>
  <c r="R75" i="30" s="1"/>
  <c r="N202" i="29"/>
  <c r="N213" i="29" s="1"/>
  <c r="R18" i="29"/>
  <c r="R180" i="29" s="1"/>
  <c r="R195" i="29" s="1"/>
  <c r="V75" i="30" s="1"/>
  <c r="U202" i="29"/>
  <c r="U213" i="29" s="1"/>
  <c r="U18" i="29"/>
  <c r="U22" i="29" s="1"/>
  <c r="DK85" i="30"/>
  <c r="BM84" i="30"/>
  <c r="BK81" i="30"/>
  <c r="BK85" i="30" s="1"/>
  <c r="AZ84" i="30"/>
  <c r="DJ85" i="30"/>
  <c r="BP84" i="30"/>
  <c r="V43" i="29"/>
  <c r="BR84" i="30"/>
  <c r="AX84" i="30"/>
  <c r="BC81" i="30"/>
  <c r="BC85" i="30" s="1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P117" i="30"/>
  <c r="AA5" i="30" s="1"/>
  <c r="M34" i="29"/>
  <c r="E34" i="29"/>
  <c r="BG83" i="30"/>
  <c r="CP102" i="30"/>
  <c r="U10" i="30" s="1"/>
  <c r="BG82" i="30"/>
  <c r="EB85" i="30"/>
  <c r="Q18" i="29"/>
  <c r="Q22" i="29" s="1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Q6" i="29" s="1"/>
  <c r="AY117" i="30"/>
  <c r="J5" i="30" s="1"/>
  <c r="BB117" i="30"/>
  <c r="M5" i="30" s="1"/>
  <c r="P18" i="29"/>
  <c r="P22" i="29" s="1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5" i="29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AW102" i="30"/>
  <c r="H9" i="30" s="1"/>
  <c r="BI85" i="30"/>
  <c r="BO81" i="30"/>
  <c r="BO85" i="30" s="1"/>
  <c r="BS84" i="30"/>
  <c r="AX117" i="30"/>
  <c r="I5" i="30" s="1"/>
  <c r="BR83" i="30"/>
  <c r="BP82" i="30"/>
  <c r="BF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V22" i="29"/>
  <c r="V180" i="29"/>
  <c r="V195" i="29" s="1"/>
  <c r="Z75" i="30" s="1"/>
  <c r="AF228" i="28"/>
  <c r="H180" i="29"/>
  <c r="H195" i="29" s="1"/>
  <c r="L75" i="30" s="1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F201" i="29"/>
  <c r="T6" i="29"/>
  <c r="T10" i="29" s="1"/>
  <c r="T181" i="29"/>
  <c r="T196" i="29" s="1"/>
  <c r="X76" i="30" s="1"/>
  <c r="R22" i="29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AD228" i="31"/>
  <c r="AO165" i="28"/>
  <c r="AD228" i="28"/>
  <c r="K41" i="28" s="1"/>
  <c r="B54" i="30" s="1"/>
  <c r="C54" i="30" s="1"/>
  <c r="AH164" i="28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Q180" i="29" l="1"/>
  <c r="Q195" i="29" s="1"/>
  <c r="U75" i="30" s="1"/>
  <c r="U77" i="30" s="1"/>
  <c r="AI228" i="31"/>
  <c r="C133" i="31" s="1"/>
  <c r="J133" i="31" s="1"/>
  <c r="N22" i="29"/>
  <c r="C191" i="32"/>
  <c r="M180" i="29"/>
  <c r="M195" i="29" s="1"/>
  <c r="Q75" i="30" s="1"/>
  <c r="P180" i="29"/>
  <c r="P195" i="29" s="1"/>
  <c r="T75" i="30" s="1"/>
  <c r="T77" i="30" s="1"/>
  <c r="U180" i="29"/>
  <c r="U195" i="29" s="1"/>
  <c r="Y75" i="30" s="1"/>
  <c r="Y77" i="30" s="1"/>
  <c r="BL87" i="30"/>
  <c r="BL86" i="30"/>
  <c r="BC87" i="30"/>
  <c r="BC86" i="30"/>
  <c r="BB87" i="30"/>
  <c r="BB86" i="30"/>
  <c r="AZ87" i="30"/>
  <c r="AZ86" i="30"/>
  <c r="BH86" i="30"/>
  <c r="BH87" i="30"/>
  <c r="BO86" i="30"/>
  <c r="BO87" i="30"/>
  <c r="AX87" i="30"/>
  <c r="AX86" i="30"/>
  <c r="AV87" i="30"/>
  <c r="AV86" i="30"/>
  <c r="BD87" i="30"/>
  <c r="BD86" i="30"/>
  <c r="BM86" i="30"/>
  <c r="BM87" i="30"/>
  <c r="BI86" i="30"/>
  <c r="BI87" i="30"/>
  <c r="BF87" i="30"/>
  <c r="BF86" i="30"/>
  <c r="BP87" i="30"/>
  <c r="BP86" i="30"/>
  <c r="BK87" i="30"/>
  <c r="BK86" i="30"/>
  <c r="BS86" i="30"/>
  <c r="BS87" i="30"/>
  <c r="C304" i="32"/>
  <c r="AQ3" i="29"/>
  <c r="C305" i="32"/>
  <c r="K48" i="28"/>
  <c r="B154" i="31" s="1"/>
  <c r="J154" i="31" s="1"/>
  <c r="C227" i="32" s="1"/>
  <c r="AJ228" i="31"/>
  <c r="C134" i="31" s="1"/>
  <c r="J134" i="31" s="1"/>
  <c r="D105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BB102" i="30"/>
  <c r="M9" i="30" s="1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BC102" i="30"/>
  <c r="N9" i="30" s="1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DV102" i="30"/>
  <c r="X11" i="30" s="1"/>
  <c r="CT102" i="30"/>
  <c r="Y10" i="30" s="1"/>
  <c r="CV102" i="30"/>
  <c r="AA10" i="30" s="1"/>
  <c r="CH102" i="30"/>
  <c r="M10" i="30" s="1"/>
  <c r="BI102" i="30"/>
  <c r="T9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F102" i="30"/>
  <c r="Q9" i="30" s="1"/>
  <c r="BN85" i="30"/>
  <c r="BE85" i="30"/>
  <c r="AY85" i="30"/>
  <c r="BJ85" i="30"/>
  <c r="BA85" i="30"/>
  <c r="Z77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Q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L77" i="30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F50" i="30"/>
  <c r="C74" i="32"/>
  <c r="F52" i="30"/>
  <c r="C264" i="32" s="1"/>
  <c r="F51" i="30"/>
  <c r="C263" i="32" s="1"/>
  <c r="O253" i="32"/>
  <c r="B42" i="31"/>
  <c r="Z38" i="31"/>
  <c r="Z39" i="31" s="1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H102" i="30" l="1"/>
  <c r="S9" i="30" s="1"/>
  <c r="BM102" i="30"/>
  <c r="X9" i="30" s="1"/>
  <c r="B149" i="31"/>
  <c r="J149" i="31" s="1"/>
  <c r="B155" i="31"/>
  <c r="I155" i="31" s="1"/>
  <c r="C275" i="32"/>
  <c r="D191" i="32"/>
  <c r="AD31" i="29"/>
  <c r="T236" i="31" s="1"/>
  <c r="T235" i="31"/>
  <c r="AY86" i="30"/>
  <c r="AY87" i="30"/>
  <c r="BE87" i="30"/>
  <c r="BE86" i="30"/>
  <c r="BN87" i="30"/>
  <c r="BN86" i="30"/>
  <c r="BG86" i="30"/>
  <c r="BG87" i="30"/>
  <c r="BA86" i="30"/>
  <c r="BA87" i="30"/>
  <c r="BJ87" i="30"/>
  <c r="BJ86" i="30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Q13" i="30"/>
  <c r="M13" i="30"/>
  <c r="T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D275" i="32" l="1"/>
  <c r="T274" i="31"/>
  <c r="X274" i="31" s="1"/>
  <c r="C187" i="32"/>
  <c r="X235" i="31"/>
  <c r="X236" i="31"/>
  <c r="C309" i="32" s="1"/>
  <c r="T275" i="31"/>
  <c r="X275" i="31" s="1"/>
  <c r="C188" i="32"/>
  <c r="S203" i="29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82" i="32"/>
  <c r="D188" i="32" l="1"/>
  <c r="C308" i="32"/>
  <c r="D187" i="32"/>
  <c r="AJ8" i="29"/>
  <c r="D222" i="32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81" i="30" l="1"/>
  <c r="F81" i="30" s="1"/>
  <c r="B114" i="30" s="1"/>
  <c r="F76" i="30"/>
  <c r="T245" i="31"/>
  <c r="F75" i="30"/>
  <c r="F77" i="30"/>
  <c r="B129" i="30" s="1"/>
  <c r="AJ218" i="32"/>
  <c r="AN218" i="32" s="1"/>
  <c r="AK226" i="32"/>
  <c r="AO226" i="32" s="1"/>
  <c r="AK227" i="32"/>
  <c r="AO227" i="32" s="1"/>
  <c r="AJ219" i="32"/>
  <c r="AN219" i="32" s="1"/>
  <c r="C289" i="32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F68" i="32"/>
  <c r="BF79" i="32" s="1"/>
  <c r="BB68" i="32"/>
  <c r="BB79" i="32" s="1"/>
  <c r="AX68" i="32"/>
  <c r="AX79" i="32" s="1"/>
  <c r="BR67" i="32"/>
  <c r="BN67" i="32"/>
  <c r="BJ67" i="32"/>
  <c r="BJ78" i="32" s="1"/>
  <c r="BF67" i="32"/>
  <c r="BB67" i="32"/>
  <c r="AX67" i="32"/>
  <c r="BR66" i="32"/>
  <c r="BR153" i="32" s="1"/>
  <c r="BN66" i="32"/>
  <c r="BN153" i="32" s="1"/>
  <c r="BJ66" i="32"/>
  <c r="BJ77" i="32" s="1"/>
  <c r="BF66" i="32"/>
  <c r="BF153" i="32" s="1"/>
  <c r="BB66" i="32"/>
  <c r="BB153" i="32" s="1"/>
  <c r="AX66" i="32"/>
  <c r="AX153" i="32" s="1"/>
  <c r="BR65" i="32"/>
  <c r="BN65" i="32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D68" i="32"/>
  <c r="BD79" i="32" s="1"/>
  <c r="AY68" i="32"/>
  <c r="AY79" i="32" s="1"/>
  <c r="BQ67" i="32"/>
  <c r="BL67" i="32"/>
  <c r="BL78" i="32" s="1"/>
  <c r="BG67" i="32"/>
  <c r="BG78" i="32" s="1"/>
  <c r="BA67" i="32"/>
  <c r="AV67" i="32"/>
  <c r="BO66" i="32"/>
  <c r="BO77" i="32" s="1"/>
  <c r="BI66" i="32"/>
  <c r="BI77" i="32" s="1"/>
  <c r="BD66" i="32"/>
  <c r="BD153" i="32" s="1"/>
  <c r="AY66" i="32"/>
  <c r="AY153" i="32" s="1"/>
  <c r="BQ65" i="32"/>
  <c r="BL65" i="32"/>
  <c r="BL76" i="32" s="1"/>
  <c r="BG65" i="32"/>
  <c r="BG76" i="32" s="1"/>
  <c r="BC65" i="32"/>
  <c r="AY65" i="32"/>
  <c r="BS64" i="32"/>
  <c r="BS151" i="32" s="1"/>
  <c r="BO64" i="32"/>
  <c r="BO151" i="32" s="1"/>
  <c r="BK64" i="32"/>
  <c r="BK75" i="32" s="1"/>
  <c r="BG64" i="32"/>
  <c r="BG75" i="32" s="1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C68" i="32"/>
  <c r="BC79" i="32" s="1"/>
  <c r="AW68" i="32"/>
  <c r="AW79" i="32" s="1"/>
  <c r="BP67" i="32"/>
  <c r="BK67" i="32"/>
  <c r="BK78" i="32" s="1"/>
  <c r="BE67" i="32"/>
  <c r="AZ67" i="32"/>
  <c r="BS66" i="32"/>
  <c r="BS153" i="32" s="1"/>
  <c r="BM66" i="32"/>
  <c r="BM153" i="32" s="1"/>
  <c r="BH66" i="32"/>
  <c r="BH77" i="32" s="1"/>
  <c r="BC66" i="32"/>
  <c r="BC153" i="32" s="1"/>
  <c r="AW66" i="32"/>
  <c r="AW153" i="32" s="1"/>
  <c r="BP65" i="32"/>
  <c r="BK65" i="32"/>
  <c r="BK76" i="32" s="1"/>
  <c r="BF65" i="32"/>
  <c r="BF76" i="32" s="1"/>
  <c r="BB65" i="32"/>
  <c r="AX65" i="32"/>
  <c r="BR64" i="32"/>
  <c r="BR151" i="32" s="1"/>
  <c r="BN64" i="32"/>
  <c r="BJ64" i="32"/>
  <c r="BJ75" i="32" s="1"/>
  <c r="BF64" i="32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AV68" i="32"/>
  <c r="AV79" i="32" s="1"/>
  <c r="BI67" i="32"/>
  <c r="BI78" i="32" s="1"/>
  <c r="AY67" i="32"/>
  <c r="BL66" i="32"/>
  <c r="BL77" i="32" s="1"/>
  <c r="BA66" i="32"/>
  <c r="BA153" i="32" s="1"/>
  <c r="BO65" i="32"/>
  <c r="BE65" i="32"/>
  <c r="AW65" i="32"/>
  <c r="BM64" i="32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H67" i="32"/>
  <c r="BH78" i="32" s="1"/>
  <c r="AW67" i="32"/>
  <c r="BK66" i="32"/>
  <c r="BK77" i="32" s="1"/>
  <c r="AZ66" i="32"/>
  <c r="AZ153" i="32" s="1"/>
  <c r="BM65" i="32"/>
  <c r="BD65" i="32"/>
  <c r="AV65" i="32"/>
  <c r="BL64" i="32"/>
  <c r="BL75" i="32" s="1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O67" i="32"/>
  <c r="BQ66" i="32"/>
  <c r="BQ77" i="32" s="1"/>
  <c r="AV66" i="32"/>
  <c r="AV153" i="32" s="1"/>
  <c r="BA65" i="32"/>
  <c r="BI64" i="32"/>
  <c r="BI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M67" i="32"/>
  <c r="BP66" i="32"/>
  <c r="BP77" i="32" s="1"/>
  <c r="BS65" i="32"/>
  <c r="AZ65" i="32"/>
  <c r="BH64" i="32"/>
  <c r="BH75" i="32" s="1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AV76" i="32" l="1"/>
  <c r="AV152" i="32"/>
  <c r="BC76" i="32"/>
  <c r="BC152" i="32"/>
  <c r="BD76" i="32"/>
  <c r="BD152" i="32"/>
  <c r="AZ76" i="32"/>
  <c r="AZ152" i="32"/>
  <c r="BM76" i="32"/>
  <c r="BM152" i="32"/>
  <c r="AW76" i="32"/>
  <c r="AW152" i="32"/>
  <c r="BG79" i="32"/>
  <c r="BG155" i="32"/>
  <c r="BG160" i="32" s="1"/>
  <c r="BG161" i="32" s="1"/>
  <c r="BG162" i="32" s="1"/>
  <c r="BP76" i="32"/>
  <c r="BP152" i="32"/>
  <c r="AY76" i="32"/>
  <c r="AY152" i="32"/>
  <c r="BS76" i="32"/>
  <c r="BS152" i="32"/>
  <c r="BL79" i="32"/>
  <c r="BL155" i="32"/>
  <c r="BL160" i="32" s="1"/>
  <c r="BL161" i="32" s="1"/>
  <c r="BL162" i="32" s="1"/>
  <c r="BE76" i="32"/>
  <c r="BE152" i="32"/>
  <c r="AX76" i="32"/>
  <c r="AX152" i="32"/>
  <c r="BH79" i="32"/>
  <c r="BH155" i="32"/>
  <c r="BH160" i="32" s="1"/>
  <c r="BH161" i="32" s="1"/>
  <c r="BH162" i="32" s="1"/>
  <c r="BQ76" i="32"/>
  <c r="BQ152" i="32"/>
  <c r="BN76" i="32"/>
  <c r="BN152" i="32"/>
  <c r="BA76" i="32"/>
  <c r="BA152" i="32"/>
  <c r="BO76" i="32"/>
  <c r="BO152" i="32"/>
  <c r="BB76" i="32"/>
  <c r="BB152" i="32"/>
  <c r="BR76" i="32"/>
  <c r="BR152" i="32"/>
  <c r="BJ79" i="32"/>
  <c r="BJ155" i="32"/>
  <c r="BJ160" i="32" s="1"/>
  <c r="BJ161" i="32" s="1"/>
  <c r="BJ162" i="32" s="1"/>
  <c r="BI79" i="32"/>
  <c r="BI155" i="32"/>
  <c r="BI160" i="32" s="1"/>
  <c r="BI161" i="32" s="1"/>
  <c r="BI162" i="32" s="1"/>
  <c r="BK79" i="32"/>
  <c r="BK155" i="32"/>
  <c r="BK160" i="32" s="1"/>
  <c r="BK161" i="32" s="1"/>
  <c r="BK162" i="32" s="1"/>
  <c r="BA78" i="32"/>
  <c r="BA154" i="32"/>
  <c r="BA160" i="32" s="1"/>
  <c r="BA161" i="32" s="1"/>
  <c r="BA162" i="32" s="1"/>
  <c r="BO78" i="32"/>
  <c r="BO154" i="32"/>
  <c r="AX78" i="32"/>
  <c r="AX135" i="32" s="1"/>
  <c r="AX154" i="32"/>
  <c r="AX160" i="32" s="1"/>
  <c r="AX161" i="32" s="1"/>
  <c r="AX162" i="32" s="1"/>
  <c r="BQ78" i="32"/>
  <c r="BQ124" i="32" s="1"/>
  <c r="BQ170" i="32" s="1"/>
  <c r="BQ154" i="32"/>
  <c r="BQ160" i="32" s="1"/>
  <c r="BQ161" i="32" s="1"/>
  <c r="BQ162" i="32" s="1"/>
  <c r="BB78" i="32"/>
  <c r="BB154" i="32"/>
  <c r="BC78" i="32"/>
  <c r="BC154" i="32"/>
  <c r="BC160" i="32" s="1"/>
  <c r="BC161" i="32" s="1"/>
  <c r="BC162" i="32" s="1"/>
  <c r="BM78" i="32"/>
  <c r="BM124" i="32" s="1"/>
  <c r="BM170" i="32" s="1"/>
  <c r="BM154" i="32"/>
  <c r="AW78" i="32"/>
  <c r="AW124" i="32" s="1"/>
  <c r="AW170" i="32" s="1"/>
  <c r="AW154" i="32"/>
  <c r="AW160" i="32" s="1"/>
  <c r="AW161" i="32" s="1"/>
  <c r="AW162" i="32" s="1"/>
  <c r="AZ78" i="32"/>
  <c r="AZ154" i="32"/>
  <c r="AZ160" i="32" s="1"/>
  <c r="AZ161" i="32" s="1"/>
  <c r="AZ162" i="32" s="1"/>
  <c r="BF78" i="32"/>
  <c r="BF154" i="32"/>
  <c r="BE78" i="32"/>
  <c r="BE124" i="32" s="1"/>
  <c r="BE170" i="32" s="1"/>
  <c r="BE154" i="32"/>
  <c r="BN75" i="32"/>
  <c r="BN132" i="32" s="1"/>
  <c r="BN151" i="32"/>
  <c r="BS78" i="32"/>
  <c r="BS154" i="32"/>
  <c r="BS160" i="32" s="1"/>
  <c r="BS161" i="32" s="1"/>
  <c r="BS162" i="32" s="1"/>
  <c r="AY78" i="32"/>
  <c r="AY154" i="32"/>
  <c r="AY160" i="32" s="1"/>
  <c r="AY161" i="32" s="1"/>
  <c r="AY162" i="32" s="1"/>
  <c r="BF75" i="32"/>
  <c r="BF121" i="32" s="1"/>
  <c r="BF167" i="32" s="1"/>
  <c r="BF151" i="32"/>
  <c r="BN78" i="32"/>
  <c r="BN135" i="32" s="1"/>
  <c r="BN154" i="32"/>
  <c r="BM75" i="32"/>
  <c r="BM132" i="32" s="1"/>
  <c r="BM151" i="32"/>
  <c r="BD78" i="32"/>
  <c r="BD154" i="32"/>
  <c r="BD160" i="32" s="1"/>
  <c r="BD161" i="32" s="1"/>
  <c r="BD162" i="32" s="1"/>
  <c r="BP78" i="32"/>
  <c r="BP124" i="32" s="1"/>
  <c r="BP170" i="32" s="1"/>
  <c r="BP154" i="32"/>
  <c r="AV78" i="32"/>
  <c r="AV135" i="32" s="1"/>
  <c r="AV154" i="32"/>
  <c r="AV160" i="32" s="1"/>
  <c r="AV161" i="32" s="1"/>
  <c r="AV162" i="32" s="1"/>
  <c r="BR78" i="32"/>
  <c r="BR154" i="32"/>
  <c r="BR160" i="32" s="1"/>
  <c r="BR161" i="32" s="1"/>
  <c r="BR162" i="32" s="1"/>
  <c r="C193" i="32"/>
  <c r="C277" i="32"/>
  <c r="X245" i="31"/>
  <c r="C189" i="32"/>
  <c r="C278" i="32"/>
  <c r="B113" i="30"/>
  <c r="B125" i="30" s="1"/>
  <c r="V264" i="31"/>
  <c r="V263" i="31" s="1"/>
  <c r="J46" i="31" s="1"/>
  <c r="C210" i="32" s="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W77" i="32"/>
  <c r="AW134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CH123" i="32"/>
  <c r="CH169" i="32" s="1"/>
  <c r="CH134" i="32"/>
  <c r="DY122" i="32"/>
  <c r="DY168" i="32" s="1"/>
  <c r="DY133" i="32"/>
  <c r="BM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BF133" i="32"/>
  <c r="BF122" i="32"/>
  <c r="BF168" i="32" s="1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AY135" i="32"/>
  <c r="AY124" i="32"/>
  <c r="AY170" i="32" s="1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24" i="32"/>
  <c r="BB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BB122" i="32"/>
  <c r="BB168" i="32" s="1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35" i="32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AX133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AW133" i="32"/>
  <c r="AW122" i="32"/>
  <c r="AW168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BD122" i="32"/>
  <c r="BD168" i="32" s="1"/>
  <c r="BD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25" i="32"/>
  <c r="BG171" i="32" s="1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BD124" i="32"/>
  <c r="BD170" i="32" s="1"/>
  <c r="BD135" i="32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AZ122" i="32"/>
  <c r="AZ168" i="32" s="1"/>
  <c r="AZ133" i="32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B160" i="32" l="1"/>
  <c r="BB161" i="32" s="1"/>
  <c r="BB162" i="32" s="1"/>
  <c r="BO160" i="32"/>
  <c r="BO161" i="32" s="1"/>
  <c r="BO162" i="32" s="1"/>
  <c r="BP160" i="32"/>
  <c r="BP161" i="32" s="1"/>
  <c r="BP162" i="32" s="1"/>
  <c r="BE160" i="32"/>
  <c r="BE161" i="32" s="1"/>
  <c r="BE162" i="32" s="1"/>
  <c r="BF160" i="32"/>
  <c r="BF161" i="32" s="1"/>
  <c r="BF162" i="32" s="1"/>
  <c r="AX124" i="32"/>
  <c r="AX170" i="32" s="1"/>
  <c r="BM135" i="32"/>
  <c r="BM144" i="32" s="1"/>
  <c r="BQ135" i="32"/>
  <c r="AW135" i="32"/>
  <c r="AW144" i="32" s="1"/>
  <c r="BP135" i="32"/>
  <c r="BP143" i="32" s="1"/>
  <c r="BN124" i="32"/>
  <c r="BN170" i="32" s="1"/>
  <c r="AV124" i="32"/>
  <c r="AV170" i="32" s="1"/>
  <c r="BN121" i="32"/>
  <c r="BN167" i="32" s="1"/>
  <c r="BM160" i="32"/>
  <c r="BM161" i="32" s="1"/>
  <c r="BM162" i="32" s="1"/>
  <c r="BF132" i="32"/>
  <c r="BF144" i="32" s="1"/>
  <c r="BE135" i="32"/>
  <c r="BE143" i="32" s="1"/>
  <c r="BN160" i="32"/>
  <c r="BN161" i="32" s="1"/>
  <c r="BN162" i="32" s="1"/>
  <c r="D189" i="32"/>
  <c r="AK189" i="32" s="1"/>
  <c r="AO189" i="32" s="1"/>
  <c r="AO192" i="32" s="1"/>
  <c r="AL208" i="32" s="1"/>
  <c r="J141" i="31"/>
  <c r="C219" i="32" s="1"/>
  <c r="X248" i="31"/>
  <c r="D277" i="32"/>
  <c r="D193" i="32"/>
  <c r="D278" i="32"/>
  <c r="D291" i="32" s="1"/>
  <c r="C291" i="32"/>
  <c r="BN134" i="32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CD178" i="32"/>
  <c r="DE178" i="32"/>
  <c r="BH178" i="32"/>
  <c r="AY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AW142" i="32"/>
  <c r="AW143" i="32"/>
  <c r="AW145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Q144" i="32" l="1"/>
  <c r="BM142" i="32"/>
  <c r="BP142" i="32"/>
  <c r="BP144" i="32"/>
  <c r="BN178" i="32"/>
  <c r="BP145" i="32"/>
  <c r="BP146" i="32" s="1"/>
  <c r="BF142" i="32"/>
  <c r="BE145" i="32"/>
  <c r="BE146" i="32" s="1"/>
  <c r="BE144" i="32"/>
  <c r="BF143" i="32"/>
  <c r="BE142" i="32"/>
  <c r="BF145" i="32"/>
  <c r="AL209" i="32"/>
  <c r="AL207" i="32" s="1"/>
  <c r="D210" i="32" s="1"/>
  <c r="D219" i="32"/>
  <c r="BC143" i="32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BB146" i="32"/>
  <c r="CN146" i="32"/>
  <c r="DX146" i="32"/>
  <c r="CE146" i="32"/>
  <c r="CJ146" i="32"/>
  <c r="BL146" i="32"/>
  <c r="CV146" i="32"/>
  <c r="DY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F146" i="32" l="1"/>
  <c r="BN146" i="32"/>
  <c r="BN148" i="32" s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BF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N147" i="32" l="1"/>
  <c r="BQ147" i="32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17" i="32" l="1"/>
  <c r="DL79" i="3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BG15" i="29" s="1"/>
  <c r="S10" i="7"/>
  <c r="BB11" i="29" s="1"/>
  <c r="BI11" i="29" s="1"/>
  <c r="S13" i="7"/>
  <c r="BB14" i="29" s="1"/>
  <c r="U21" i="7"/>
  <c r="S21" i="7"/>
  <c r="U20" i="7"/>
  <c r="S20" i="7"/>
  <c r="U9" i="7"/>
  <c r="S9" i="7"/>
  <c r="BB10" i="29" s="1"/>
  <c r="BI10" i="29" s="1"/>
  <c r="U8" i="7"/>
  <c r="S8" i="7"/>
  <c r="BB9" i="29" s="1"/>
  <c r="U7" i="7"/>
  <c r="S7" i="7"/>
  <c r="BB8" i="29" s="1"/>
  <c r="BI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BI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BI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AD22" i="29" s="1"/>
  <c r="AF22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204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204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204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204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204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204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F204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X204" i="18" s="1"/>
  <c r="J118" i="18"/>
  <c r="J144" i="18" s="1"/>
  <c r="J157" i="18" s="1"/>
  <c r="J170" i="18" s="1"/>
  <c r="G113" i="18"/>
  <c r="G139" i="18" s="1"/>
  <c r="G152" i="18" s="1"/>
  <c r="G204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204" i="18" s="1"/>
  <c r="N118" i="18"/>
  <c r="N144" i="18" s="1"/>
  <c r="N157" i="18" s="1"/>
  <c r="N170" i="18" s="1"/>
  <c r="C113" i="18"/>
  <c r="C139" i="18" s="1"/>
  <c r="C152" i="18" s="1"/>
  <c r="C204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C183" i="32" l="1"/>
  <c r="T234" i="31"/>
  <c r="B83" i="30"/>
  <c r="AK26" i="29"/>
  <c r="C184" i="32" s="1"/>
  <c r="H198" i="18"/>
  <c r="H217" i="18" s="1"/>
  <c r="M7" i="22" s="1"/>
  <c r="AY17" i="23" s="1"/>
  <c r="AY35" i="23" s="1"/>
  <c r="X198" i="18"/>
  <c r="X217" i="18" s="1"/>
  <c r="AC7" i="22" s="1"/>
  <c r="BO17" i="23" s="1"/>
  <c r="BO38" i="23" s="1"/>
  <c r="L198" i="18"/>
  <c r="L217" i="18" s="1"/>
  <c r="Q7" i="22" s="1"/>
  <c r="BC17" i="23" s="1"/>
  <c r="BC35" i="23" s="1"/>
  <c r="C198" i="18"/>
  <c r="C217" i="18" s="1"/>
  <c r="H7" i="22" s="1"/>
  <c r="AT17" i="23" s="1"/>
  <c r="AT38" i="23" s="1"/>
  <c r="D198" i="18"/>
  <c r="D217" i="18" s="1"/>
  <c r="I7" i="22" s="1"/>
  <c r="AU17" i="23" s="1"/>
  <c r="AU39" i="23" s="1"/>
  <c r="W198" i="18"/>
  <c r="W217" i="18" s="1"/>
  <c r="AB7" i="22" s="1"/>
  <c r="BN17" i="23" s="1"/>
  <c r="BN37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T198" i="18"/>
  <c r="T217" i="18" s="1"/>
  <c r="Y7" i="22" s="1"/>
  <c r="BK17" i="23" s="1"/>
  <c r="BK37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X211" i="18"/>
  <c r="X218" i="18" s="1"/>
  <c r="AC9" i="22" s="1"/>
  <c r="Y165" i="18"/>
  <c r="Y211" i="18"/>
  <c r="Y218" i="18" s="1"/>
  <c r="AD9" i="22" s="1"/>
  <c r="V165" i="18"/>
  <c r="V211" i="18"/>
  <c r="V218" i="18" s="1"/>
  <c r="AA9" i="22" s="1"/>
  <c r="U165" i="18"/>
  <c r="U211" i="18"/>
  <c r="U218" i="18" s="1"/>
  <c r="Z9" i="22" s="1"/>
  <c r="W165" i="18"/>
  <c r="W211" i="18"/>
  <c r="W218" i="18" s="1"/>
  <c r="AB9" i="22" s="1"/>
  <c r="T165" i="18"/>
  <c r="T211" i="18"/>
  <c r="T218" i="18" s="1"/>
  <c r="Y9" i="22" s="1"/>
  <c r="E165" i="18"/>
  <c r="E211" i="18"/>
  <c r="E218" i="18" s="1"/>
  <c r="J9" i="22" s="1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G211" i="18"/>
  <c r="G218" i="18" s="1"/>
  <c r="L9" i="22" s="1"/>
  <c r="F165" i="18"/>
  <c r="F211" i="18"/>
  <c r="F218" i="18" s="1"/>
  <c r="K9" i="22" s="1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98" i="18" s="1"/>
  <c r="S217" i="18" s="1"/>
  <c r="X7" i="22" s="1"/>
  <c r="BJ17" i="23" s="1"/>
  <c r="BJ37" i="23" s="1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D184" i="32" l="1"/>
  <c r="F84" i="30"/>
  <c r="F83" i="30"/>
  <c r="T272" i="31"/>
  <c r="X272" i="31" s="1"/>
  <c r="J142" i="31" s="1"/>
  <c r="C220" i="32" s="1"/>
  <c r="X234" i="31"/>
  <c r="C185" i="32"/>
  <c r="S175" i="18"/>
  <c r="S185" i="18" s="1"/>
  <c r="S216" i="18" s="1"/>
  <c r="X6" i="22" s="1"/>
  <c r="BJ16" i="23" s="1"/>
  <c r="S162" i="18"/>
  <c r="S172" i="18" s="1"/>
  <c r="S215" i="18" s="1"/>
  <c r="X5" i="22" s="1"/>
  <c r="K175" i="18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K185" i="18"/>
  <c r="K216" i="18" s="1"/>
  <c r="P6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204" i="18" s="1"/>
  <c r="B155" i="18"/>
  <c r="B168" i="18" s="1"/>
  <c r="B156" i="18"/>
  <c r="B169" i="18" s="1"/>
  <c r="B149" i="18"/>
  <c r="AA136" i="18"/>
  <c r="B150" i="18"/>
  <c r="B189" i="18" s="1"/>
  <c r="B198" i="18" s="1"/>
  <c r="AA120" i="18"/>
  <c r="T171" i="18"/>
  <c r="T172" i="18" s="1"/>
  <c r="D185" i="32" l="1"/>
  <c r="D183" i="32" s="1"/>
  <c r="C307" i="32"/>
  <c r="X237" i="31"/>
  <c r="C192" i="32"/>
  <c r="B115" i="30"/>
  <c r="B126" i="30" s="1"/>
  <c r="B167" i="31"/>
  <c r="J167" i="31" s="1"/>
  <c r="B217" i="18"/>
  <c r="G7" i="22" s="1"/>
  <c r="AS17" i="23" s="1"/>
  <c r="AS38" i="23" s="1"/>
  <c r="BR38" i="23" s="1"/>
  <c r="G93" i="23" s="1"/>
  <c r="G95" i="23" s="1"/>
  <c r="AA198" i="18"/>
  <c r="AD8" i="22"/>
  <c r="BP5" i="23" s="1"/>
  <c r="BP10" i="23" s="1"/>
  <c r="D119" i="30"/>
  <c r="B122" i="30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T215" i="18"/>
  <c r="Y5" i="22" s="1"/>
  <c r="B128" i="30" l="1"/>
  <c r="B130" i="30" s="1"/>
  <c r="C276" i="32"/>
  <c r="C243" i="32"/>
  <c r="Z237" i="31"/>
  <c r="AA237" i="31" s="1"/>
  <c r="C235" i="32"/>
  <c r="J170" i="31"/>
  <c r="D192" i="32"/>
  <c r="AJ216" i="32"/>
  <c r="AN216" i="32" s="1"/>
  <c r="D220" i="32" s="1"/>
  <c r="AK225" i="32"/>
  <c r="AO225" i="32" s="1"/>
  <c r="AO228" i="32" s="1"/>
  <c r="AQ228" i="32" s="1"/>
  <c r="AR228" i="32" s="1"/>
  <c r="AS228" i="32" s="1"/>
  <c r="AT228" i="32" s="1"/>
  <c r="AW228" i="32" s="1"/>
  <c r="D240" i="32" s="1"/>
  <c r="D161" i="32"/>
  <c r="C4" i="22"/>
  <c r="C7" i="22" s="1"/>
  <c r="K25" i="23" s="1"/>
  <c r="C172" i="32" s="1"/>
  <c r="C162" i="32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C236" i="32" l="1"/>
  <c r="C244" i="32"/>
  <c r="AB237" i="31"/>
  <c r="AC237" i="31" s="1"/>
  <c r="AF237" i="31" s="1"/>
  <c r="B178" i="31" s="1"/>
  <c r="C240" i="32" s="1"/>
  <c r="D243" i="32"/>
  <c r="D235" i="32"/>
  <c r="D236" i="32" s="1"/>
  <c r="D276" i="32"/>
  <c r="C290" i="32"/>
  <c r="C293" i="32"/>
  <c r="D162" i="32"/>
  <c r="AG132" i="3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244" i="32" l="1"/>
  <c r="D290" i="32"/>
  <c r="D292" i="32" s="1"/>
  <c r="D293" i="32"/>
  <c r="C292" i="32"/>
  <c r="D175" i="32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294" i="32" l="1"/>
  <c r="D294" i="32"/>
  <c r="C176" i="32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<sst xmlns="http://schemas.openxmlformats.org/spreadsheetml/2006/main" count="3007" uniqueCount="1449">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</sst>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18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534416550923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n v="1"/>
    <n v="2"/>
    <x v="1"/>
    <n v="3"/>
    <x v="5"/>
    <m/>
    <n v="2"/>
    <n v="1"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7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30.914999999999999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98.255689962587496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3.1243274803125005</v>
      </c>
      <c r="N5" s="143">
        <f>CdTrp1!I215+CdTrp2!I215+CdTrp3!I215+CdTrp4!I215</f>
        <v>1.9348844156250002</v>
      </c>
      <c r="O5" s="143">
        <f>CdTrp1!J215+CdTrp2!J215+CdTrp3!J215+CdTrp4!J215</f>
        <v>1.9906876038437502</v>
      </c>
      <c r="P5" s="143">
        <f>CdTrp1!K215+CdTrp2!K215+CdTrp3!K215+CdTrp4!K215</f>
        <v>1.9819946448749999</v>
      </c>
      <c r="Q5" s="143">
        <f>CdTrp1!L215+CdTrp2!L215+CdTrp3!L215+CdTrp4!L215</f>
        <v>1.9096467928125003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1.7834586787500002</v>
      </c>
      <c r="Y5" s="143">
        <f>CdTrp1!T215+CdTrp2!T215+CdTrp3!T215+CdTrp4!T215</f>
        <v>1.4476064303750003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80.718241181125023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1.7731219187499998</v>
      </c>
      <c r="H6" s="143">
        <f>CdTrp1!C216+CdTrp2!C216+CdTrp3!C216+CdTrp4!C216</f>
        <v>1.7731219187499998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1.7731219187499998</v>
      </c>
      <c r="L6" s="143">
        <f>CdTrp1!G216+CdTrp2!G216+CdTrp3!G216+CdTrp4!G216</f>
        <v>1.7731219187499998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98.3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1.7731219187499998</v>
      </c>
      <c r="Q7" s="143">
        <f>CdTrp1!L217+CdTrp2!L217+CdTrp3!L217+CdTrp4!L217</f>
        <v>1.7159244375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1.3901160000000001</v>
      </c>
      <c r="Y7" s="143">
        <f>CdTrp1!T217+CdTrp2!T217+CdTrp3!T217+CdTrp4!T217</f>
        <v>1.4364532000000001</v>
      </c>
      <c r="Z7" s="143">
        <f>CdTrp1!U217+CdTrp2!U217+CdTrp3!U217+CdTrp4!U217</f>
        <v>1.4364532000000001</v>
      </c>
      <c r="AA7" s="143">
        <f>CdTrp1!V217+CdTrp2!V217+CdTrp3!V217+CdTrp4!V217</f>
        <v>1.7159244375</v>
      </c>
      <c r="AB7" s="143">
        <f>CdTrp1!W217+CdTrp2!W217+CdTrp3!W217+CdTrp4!W217</f>
        <v>1.7159244375</v>
      </c>
      <c r="AC7" s="143">
        <f>CdTrp1!X217+CdTrp2!X217+CdTrp3!X217+CdTrp4!X217</f>
        <v>1.7731219187499998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1.7731219187499998</v>
      </c>
      <c r="H8" s="143">
        <f t="shared" ref="H8:AD8" si="0">SUM(H5:H7)</f>
        <v>1.7731219187499998</v>
      </c>
      <c r="I8" s="143">
        <f t="shared" si="0"/>
        <v>1.601529475</v>
      </c>
      <c r="J8" s="143">
        <f t="shared" si="0"/>
        <v>3.3814493728750006</v>
      </c>
      <c r="K8" s="143">
        <f t="shared" si="0"/>
        <v>3.7269762382562504</v>
      </c>
      <c r="L8" s="143">
        <f t="shared" si="0"/>
        <v>3.7185905974000009</v>
      </c>
      <c r="M8" s="143">
        <f t="shared" si="0"/>
        <v>4.8402519178125001</v>
      </c>
      <c r="N8" s="143">
        <f t="shared" si="0"/>
        <v>3.6508088531250005</v>
      </c>
      <c r="O8" s="143">
        <f t="shared" si="0"/>
        <v>3.7638095225937498</v>
      </c>
      <c r="P8" s="143">
        <f t="shared" si="0"/>
        <v>3.7551165636249997</v>
      </c>
      <c r="Q8" s="143">
        <f t="shared" si="0"/>
        <v>3.6255712303125005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3.1735746787500005</v>
      </c>
      <c r="Y8" s="143">
        <f t="shared" si="0"/>
        <v>2.8840596303750003</v>
      </c>
      <c r="Z8" s="143">
        <f t="shared" si="0"/>
        <v>1.4364532000000001</v>
      </c>
      <c r="AA8" s="143">
        <f t="shared" si="0"/>
        <v>1.7159244375</v>
      </c>
      <c r="AB8" s="143">
        <f t="shared" si="0"/>
        <v>1.7159244375</v>
      </c>
      <c r="AC8" s="143">
        <f t="shared" si="0"/>
        <v>1.7731219187499998</v>
      </c>
      <c r="AD8" s="143">
        <f t="shared" si="0"/>
        <v>1.7731219187499998</v>
      </c>
      <c r="AE8" s="153"/>
      <c r="AF8" s="144">
        <f>SUM(G8:AD8)</f>
        <v>52.085827830125012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N16" sqref="N16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7" t="s">
        <v>252</v>
      </c>
      <c r="AT2" s="287"/>
      <c r="AU2" s="286" t="s">
        <v>253</v>
      </c>
      <c r="AV2" s="286"/>
      <c r="AW2" s="286" t="s">
        <v>254</v>
      </c>
      <c r="AX2" s="286"/>
      <c r="AY2" s="286" t="s">
        <v>255</v>
      </c>
      <c r="AZ2" s="286"/>
      <c r="BA2" s="286" t="s">
        <v>256</v>
      </c>
      <c r="BB2" s="286"/>
      <c r="BC2" s="286" t="s">
        <v>257</v>
      </c>
      <c r="BD2" s="286"/>
      <c r="BE2" s="286" t="s">
        <v>258</v>
      </c>
      <c r="BF2" s="286"/>
      <c r="BG2" s="286" t="s">
        <v>259</v>
      </c>
      <c r="BH2" s="286"/>
      <c r="BI2" s="286" t="s">
        <v>260</v>
      </c>
      <c r="BJ2" s="286"/>
      <c r="BK2" s="286" t="s">
        <v>261</v>
      </c>
      <c r="BL2" s="286"/>
      <c r="BM2" s="286" t="s">
        <v>262</v>
      </c>
      <c r="BN2" s="286"/>
      <c r="BO2" s="286" t="s">
        <v>263</v>
      </c>
      <c r="BP2" s="28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1.7731219187499998</v>
      </c>
      <c r="AT5" s="13">
        <f>'Conduite Trp'!H8</f>
        <v>1.7731219187499998</v>
      </c>
      <c r="AU5" s="13">
        <f>'Conduite Trp'!I8</f>
        <v>1.601529475</v>
      </c>
      <c r="AV5" s="13">
        <f>'Conduite Trp'!J8</f>
        <v>3.3814493728750006</v>
      </c>
      <c r="AW5" s="13">
        <f>'Conduite Trp'!K8</f>
        <v>3.7269762382562504</v>
      </c>
      <c r="AX5" s="13">
        <f>'Conduite Trp'!L8</f>
        <v>3.7185905974000009</v>
      </c>
      <c r="AY5" s="13">
        <f>'Conduite Trp'!M8</f>
        <v>4.8402519178125001</v>
      </c>
      <c r="AZ5" s="13">
        <f>'Conduite Trp'!N8</f>
        <v>3.6508088531250005</v>
      </c>
      <c r="BA5" s="13">
        <f>'Conduite Trp'!O8</f>
        <v>3.7638095225937498</v>
      </c>
      <c r="BB5" s="13">
        <f>'Conduite Trp'!P8</f>
        <v>3.7551165636249997</v>
      </c>
      <c r="BC5" s="13">
        <f>'Conduite Trp'!Q8</f>
        <v>3.6255712303125005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3.1735746787500005</v>
      </c>
      <c r="BK5" s="13">
        <f>'Conduite Trp'!Y8</f>
        <v>2.8840596303750003</v>
      </c>
      <c r="BL5" s="13">
        <f>'Conduite Trp'!Z8</f>
        <v>1.4364532000000001</v>
      </c>
      <c r="BM5" s="13">
        <f>'Conduite Trp'!AA8</f>
        <v>1.7159244375</v>
      </c>
      <c r="BN5" s="13">
        <f>'Conduite Trp'!AB8</f>
        <v>1.7159244375</v>
      </c>
      <c r="BO5" s="13">
        <f>'Conduite Trp'!AC8</f>
        <v>1.7731219187499998</v>
      </c>
      <c r="BP5" s="13">
        <f>'Conduite Trp'!AD8</f>
        <v>1.7731219187499998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4.8402519178125001</v>
      </c>
      <c r="AZ7" s="61">
        <f t="shared" si="7"/>
        <v>3.6508088531250005</v>
      </c>
      <c r="BA7" s="61">
        <f t="shared" si="7"/>
        <v>3.7638095225937498</v>
      </c>
      <c r="BB7" s="61">
        <f t="shared" si="7"/>
        <v>3.7551165636249997</v>
      </c>
      <c r="BC7" s="61">
        <f t="shared" si="7"/>
        <v>3.6255712303125005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19.962183087468752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30.914999999999999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30.914999999999999</v>
      </c>
      <c r="G9" s="81"/>
      <c r="H9" s="61">
        <f>SUM(L34:L43)</f>
        <v>15</v>
      </c>
      <c r="I9" s="81"/>
      <c r="J9" s="81"/>
      <c r="K9" s="93">
        <f>H9-F9</f>
        <v>-15.914999999999999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3.1735746787500005</v>
      </c>
      <c r="BK9" s="61">
        <f t="shared" si="10"/>
        <v>2.8840596303750003</v>
      </c>
      <c r="BL9" s="61">
        <f t="shared" si="10"/>
        <v>1.4364532000000001</v>
      </c>
      <c r="BM9" s="61">
        <f t="shared" si="10"/>
        <v>1.7159244375</v>
      </c>
      <c r="BN9" s="61">
        <f t="shared" si="10"/>
        <v>1.7159244375</v>
      </c>
      <c r="BO9" s="61">
        <f t="shared" si="10"/>
        <v>0</v>
      </c>
      <c r="BP9" s="61">
        <f t="shared" si="10"/>
        <v>0</v>
      </c>
      <c r="BR9" s="61">
        <f t="shared" si="9"/>
        <v>11.252561384125002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1.7731219187499998</v>
      </c>
      <c r="AT10" s="61">
        <f t="shared" ref="AT10:BP10" si="11">IF(AT$4=4,AT$5,0)</f>
        <v>1.7731219187499998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1.7731219187499998</v>
      </c>
      <c r="BP10" s="61">
        <f t="shared" si="11"/>
        <v>1.7731219187499998</v>
      </c>
      <c r="BR10" s="61">
        <f t="shared" si="9"/>
        <v>7.0924876749999992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0.7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1.0499999999999998</v>
      </c>
      <c r="AF11" s="61">
        <f t="shared" si="1"/>
        <v>0</v>
      </c>
      <c r="AG11" s="61">
        <f t="shared" si="2"/>
        <v>0.55999999999999994</v>
      </c>
      <c r="AH11" s="61">
        <f t="shared" si="3"/>
        <v>0.35</v>
      </c>
      <c r="AI11" s="61">
        <f t="shared" si="4"/>
        <v>0.48999999999999994</v>
      </c>
      <c r="AJ11" s="61">
        <f t="shared" si="5"/>
        <v>0</v>
      </c>
      <c r="AK11" s="141"/>
      <c r="AL11" s="61">
        <f t="shared" si="6"/>
        <v>4.4099999999999993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1.601529475</v>
      </c>
      <c r="AV11" s="61">
        <f t="shared" si="12"/>
        <v>3.3814493728750006</v>
      </c>
      <c r="AW11" s="61">
        <f t="shared" si="12"/>
        <v>3.7269762382562504</v>
      </c>
      <c r="AX11" s="61">
        <f t="shared" si="12"/>
        <v>3.7185905974000009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12.428545683531251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240</v>
      </c>
      <c r="R12" s="39">
        <v>1</v>
      </c>
      <c r="S12" s="76" t="str">
        <f>VLOOKUP($Q12,[1]MEP!$A$5:$D$300,3)</f>
        <v>PP excellente 3 coupes estivales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1</v>
      </c>
      <c r="W12" s="76">
        <f>VLOOKUP($Q12,[1]MEP!$A$4:$K$300,6)</f>
        <v>0</v>
      </c>
      <c r="X12" s="76">
        <f>VLOOKUP($Q12,[1]MEP!$A$4:$K$300,7)</f>
        <v>0.35</v>
      </c>
      <c r="Y12" s="76">
        <f>VLOOKUP($Q12,[1]MEP!$A$4:$K$300,8)</f>
        <v>0.35</v>
      </c>
      <c r="Z12" s="76">
        <f>VLOOKUP($Q12,[1]MEP!$A$4:$K$300,9)</f>
        <v>1.5</v>
      </c>
      <c r="AA12" s="76">
        <f>VLOOKUP($Q12,[1]MEP!$A$4:$K$300,10)</f>
        <v>0</v>
      </c>
      <c r="AC12" s="76">
        <f>VLOOKUP($Q12,[1]MEP!$A$4:$K$300,11)</f>
        <v>6.5</v>
      </c>
      <c r="AE12" s="61">
        <f t="shared" si="0"/>
        <v>1</v>
      </c>
      <c r="AF12" s="61">
        <f t="shared" si="1"/>
        <v>0</v>
      </c>
      <c r="AG12" s="61">
        <f t="shared" si="2"/>
        <v>0.35</v>
      </c>
      <c r="AH12" s="61">
        <f t="shared" si="3"/>
        <v>0.35</v>
      </c>
      <c r="AI12" s="61">
        <f t="shared" si="4"/>
        <v>1.5</v>
      </c>
      <c r="AJ12" s="61">
        <f t="shared" si="5"/>
        <v>0</v>
      </c>
      <c r="AK12" s="141"/>
      <c r="AL12" s="61">
        <f t="shared" si="6"/>
        <v>6.5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0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3.1243274803125005</v>
      </c>
      <c r="AZ15" s="13">
        <f>'Conduite Trp'!N5</f>
        <v>1.9348844156250002</v>
      </c>
      <c r="BA15" s="13">
        <f>'Conduite Trp'!O5</f>
        <v>1.9906876038437502</v>
      </c>
      <c r="BB15" s="13">
        <f>'Conduite Trp'!P5</f>
        <v>1.9819946448749999</v>
      </c>
      <c r="BC15" s="13">
        <f>'Conduite Trp'!Q5</f>
        <v>1.9096467928125003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1.7834586787500002</v>
      </c>
      <c r="BK15" s="13">
        <f>'Conduite Trp'!Y5</f>
        <v>1.4476064303750003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1.7731219187499998</v>
      </c>
      <c r="AT16" s="13">
        <f>'Conduite Trp'!H6</f>
        <v>1.7731219187499998</v>
      </c>
      <c r="AU16" s="13">
        <f>'Conduite Trp'!I6</f>
        <v>0</v>
      </c>
      <c r="AV16" s="13">
        <f>'Conduite Trp'!J6</f>
        <v>0</v>
      </c>
      <c r="AW16" s="13">
        <f>'Conduite Trp'!K6</f>
        <v>1.7731219187499998</v>
      </c>
      <c r="AX16" s="13">
        <f>'Conduite Trp'!L6</f>
        <v>1.7731219187499998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1.7731219187499998</v>
      </c>
      <c r="BC17" s="13">
        <f>'Conduite Trp'!Q7</f>
        <v>1.7159244375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1.3901160000000001</v>
      </c>
      <c r="BK17" s="13">
        <f>'Conduite Trp'!Y7</f>
        <v>1.4364532000000001</v>
      </c>
      <c r="BL17" s="13">
        <f>'Conduite Trp'!Z7</f>
        <v>1.4364532000000001</v>
      </c>
      <c r="BM17" s="13">
        <f>'Conduite Trp'!AA7</f>
        <v>1.7159244375</v>
      </c>
      <c r="BN17" s="13">
        <f>'Conduite Trp'!AB7</f>
        <v>1.7159244375</v>
      </c>
      <c r="BO17" s="13">
        <f>'Conduite Trp'!AC7</f>
        <v>1.7731219187499998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3.1243274803125005</v>
      </c>
      <c r="AZ19" s="61">
        <f t="shared" si="15"/>
        <v>1.9348844156250002</v>
      </c>
      <c r="BA19" s="61">
        <f t="shared" si="15"/>
        <v>1.9906876038437502</v>
      </c>
      <c r="BB19" s="61">
        <f t="shared" si="15"/>
        <v>1.9819946448749999</v>
      </c>
      <c r="BC19" s="61">
        <f t="shared" si="15"/>
        <v>1.9096467928125003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10.941540937468751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1.7834586787500002</v>
      </c>
      <c r="BK21" s="61">
        <f t="shared" si="18"/>
        <v>1.4476064303750003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3.5576901091250006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21.3</v>
      </c>
      <c r="E24" s="61">
        <f t="shared" si="21"/>
        <v>2.2000000000000002</v>
      </c>
      <c r="F24" s="61">
        <f t="shared" si="21"/>
        <v>11.734999999999999</v>
      </c>
      <c r="G24" s="61">
        <f t="shared" si="21"/>
        <v>12.244999999999999</v>
      </c>
      <c r="H24" s="61">
        <f t="shared" si="21"/>
        <v>15.040000000000001</v>
      </c>
      <c r="I24" s="61">
        <f t="shared" si="21"/>
        <v>0</v>
      </c>
      <c r="J24" s="63"/>
      <c r="K24" s="61">
        <f>AL27+AL49+AL71</f>
        <v>59.36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19.962183087468752</v>
      </c>
      <c r="E25" s="61">
        <f>BR8</f>
        <v>1.3500500000000002</v>
      </c>
      <c r="F25" s="61">
        <f>BR9</f>
        <v>11.252561384125002</v>
      </c>
      <c r="G25" s="61">
        <f>BR10</f>
        <v>7.0924876749999992</v>
      </c>
      <c r="H25" s="61">
        <f>BR11</f>
        <v>12.428545683531251</v>
      </c>
      <c r="I25" s="61">
        <f>BR12</f>
        <v>0</v>
      </c>
      <c r="J25" s="63"/>
      <c r="K25" s="76">
        <f>'Conduite Trp'!C7</f>
        <v>98.3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1.3378169125312489</v>
      </c>
      <c r="E27" s="93">
        <f t="shared" si="23"/>
        <v>0.84994999999999998</v>
      </c>
      <c r="F27" s="93">
        <f t="shared" si="23"/>
        <v>0.48243861587499737</v>
      </c>
      <c r="G27" s="93">
        <f t="shared" si="23"/>
        <v>5.152512325</v>
      </c>
      <c r="H27" s="93">
        <f t="shared" si="23"/>
        <v>2.61145431646875</v>
      </c>
      <c r="I27" s="93">
        <f t="shared" si="23"/>
        <v>0</v>
      </c>
      <c r="J27" s="63"/>
      <c r="K27" s="93">
        <f>K24-K25</f>
        <v>-38.94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11.100000000000001</v>
      </c>
      <c r="AF27" s="75">
        <f t="shared" ref="AF27:AJ27" si="24">SUM(AF7:AF26)</f>
        <v>2.2000000000000002</v>
      </c>
      <c r="AG27" s="75">
        <f t="shared" si="24"/>
        <v>3.7850000000000001</v>
      </c>
      <c r="AH27" s="75">
        <f t="shared" si="24"/>
        <v>4.7249999999999996</v>
      </c>
      <c r="AI27" s="75">
        <f t="shared" si="24"/>
        <v>10.040000000000001</v>
      </c>
      <c r="AJ27" s="75">
        <f t="shared" si="24"/>
        <v>0</v>
      </c>
      <c r="AK27"/>
      <c r="AL27" s="75">
        <f>SUM(AL7:AL26)</f>
        <v>39.36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1.7731219187499998</v>
      </c>
      <c r="AT30" s="61">
        <f t="shared" ref="AT30:BP30" si="36">IF(AT$4=4,AT$16,0)</f>
        <v>1.7731219187499998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5.319365756249999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1.7731219187499998</v>
      </c>
      <c r="AX31" s="61">
        <f t="shared" si="37"/>
        <v>1.7731219187499998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3.5462438374999996</v>
      </c>
    </row>
    <row r="32" spans="2:72" x14ac:dyDescent="0.25">
      <c r="D32" s="68" t="s">
        <v>269</v>
      </c>
      <c r="E32" s="68" t="s">
        <v>18</v>
      </c>
      <c r="F32" s="286" t="s">
        <v>277</v>
      </c>
      <c r="G32" s="286"/>
      <c r="H32" s="82"/>
      <c r="I32" s="68" t="s">
        <v>281</v>
      </c>
      <c r="J32" s="82" t="s">
        <v>281</v>
      </c>
      <c r="K32" s="286" t="s">
        <v>279</v>
      </c>
      <c r="L32" s="286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1.7731219187499998</v>
      </c>
      <c r="BC35" s="61">
        <f t="shared" si="43"/>
        <v>1.7159244375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3.4890463562499998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1.3901160000000001</v>
      </c>
      <c r="BK37" s="61">
        <f t="shared" si="46"/>
        <v>1.4364532000000001</v>
      </c>
      <c r="BL37" s="61">
        <f t="shared" si="46"/>
        <v>1.4364532000000001</v>
      </c>
      <c r="BM37" s="61">
        <f t="shared" si="46"/>
        <v>1.7159244375</v>
      </c>
      <c r="BN37" s="61">
        <f t="shared" si="46"/>
        <v>1.7159244375</v>
      </c>
      <c r="BO37" s="61">
        <f t="shared" si="46"/>
        <v>0</v>
      </c>
      <c r="BP37" s="61">
        <f t="shared" si="46"/>
        <v>0</v>
      </c>
      <c r="BR37" s="61">
        <f t="shared" si="45"/>
        <v>7.6948712750000006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1.7731219187499998</v>
      </c>
      <c r="BP38" s="61">
        <f t="shared" si="47"/>
        <v>0</v>
      </c>
      <c r="BR38" s="61">
        <f t="shared" si="45"/>
        <v>1.7731219187499998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11.100000000000001</v>
      </c>
      <c r="E72" s="61">
        <f t="shared" ref="E72:H72" si="69">AF27</f>
        <v>2.2000000000000002</v>
      </c>
      <c r="F72" s="61">
        <f t="shared" si="69"/>
        <v>3.7850000000000001</v>
      </c>
      <c r="G72" s="61">
        <f t="shared" si="69"/>
        <v>4.7249999999999996</v>
      </c>
      <c r="H72" s="61">
        <f t="shared" si="69"/>
        <v>10.040000000000001</v>
      </c>
      <c r="I72" s="61">
        <f t="shared" ref="I72" si="70">AJ75+AJ97+AJ119</f>
        <v>0</v>
      </c>
      <c r="J72" s="63"/>
      <c r="K72" s="61">
        <f>+K24</f>
        <v>59.36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10.941540937468751</v>
      </c>
      <c r="E73" s="61">
        <f>BR20</f>
        <v>1.3500500000000002</v>
      </c>
      <c r="F73" s="61">
        <f>BR21</f>
        <v>3.5576901091250006</v>
      </c>
      <c r="G73" s="61">
        <f>BR22</f>
        <v>0</v>
      </c>
      <c r="H73" s="61">
        <f>BR23</f>
        <v>8.8823018460312522</v>
      </c>
      <c r="I73" s="61">
        <f>BR60</f>
        <v>0</v>
      </c>
      <c r="J73" s="63"/>
      <c r="K73" s="76">
        <f>+K25</f>
        <v>98.3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0.15845906253125008</v>
      </c>
      <c r="E75" s="93">
        <f t="shared" ref="E75:I75" si="71">E72-E73</f>
        <v>0.84994999999999998</v>
      </c>
      <c r="F75" s="93">
        <f t="shared" si="71"/>
        <v>0.22730989087499953</v>
      </c>
      <c r="G75" s="93">
        <f t="shared" si="71"/>
        <v>4.7249999999999996</v>
      </c>
      <c r="H75" s="93">
        <f t="shared" si="71"/>
        <v>1.1576981539687488</v>
      </c>
      <c r="I75" s="93">
        <f t="shared" si="71"/>
        <v>0</v>
      </c>
      <c r="J75" s="63"/>
      <c r="K75" s="93">
        <f>+K27</f>
        <v>-38.94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5.319365756249999</v>
      </c>
      <c r="H83" s="61">
        <f>BR31</f>
        <v>3.5462438374999996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-0.31936575624999897</v>
      </c>
      <c r="H85" s="93">
        <f t="shared" si="73"/>
        <v>1.4537561625000004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3.4890463562499998</v>
      </c>
      <c r="E93" s="61">
        <f>BR36</f>
        <v>0</v>
      </c>
      <c r="F93" s="61">
        <f>BR37</f>
        <v>7.6948712750000006</v>
      </c>
      <c r="G93" s="61">
        <f>BR38</f>
        <v>1.7731219187499998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0.71095364375000036</v>
      </c>
      <c r="E95" s="93">
        <f t="shared" ref="E95:H95" si="75">E92-E93</f>
        <v>0</v>
      </c>
      <c r="F95" s="93">
        <f t="shared" si="75"/>
        <v>0.25512872499999961</v>
      </c>
      <c r="G95" s="93">
        <f t="shared" si="75"/>
        <v>0.74687808125000021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817.46559560632272</v>
      </c>
      <c r="T14" s="10">
        <f t="shared" si="7"/>
        <v>544.97706373754852</v>
      </c>
      <c r="U14" s="27">
        <f t="shared" si="8"/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240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240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14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6" t="s">
        <v>2</v>
      </c>
      <c r="C3" s="286"/>
      <c r="D3" s="286" t="s">
        <v>0</v>
      </c>
      <c r="E3" s="286"/>
      <c r="F3" s="286" t="s">
        <v>1</v>
      </c>
      <c r="G3" s="286"/>
      <c r="H3" s="286" t="s">
        <v>3</v>
      </c>
      <c r="I3" s="286"/>
      <c r="J3" s="286" t="s">
        <v>4</v>
      </c>
      <c r="K3" s="286"/>
      <c r="L3" s="286" t="s">
        <v>5</v>
      </c>
      <c r="M3" s="286"/>
      <c r="N3" s="286" t="s">
        <v>6</v>
      </c>
      <c r="O3" s="286"/>
      <c r="P3" s="286" t="s">
        <v>7</v>
      </c>
      <c r="Q3" s="286"/>
      <c r="R3" s="286" t="s">
        <v>8</v>
      </c>
      <c r="S3" s="286"/>
      <c r="T3" s="286" t="s">
        <v>9</v>
      </c>
      <c r="U3" s="286"/>
      <c r="V3" s="286" t="s">
        <v>10</v>
      </c>
      <c r="W3" s="286"/>
      <c r="X3" s="286" t="s">
        <v>11</v>
      </c>
      <c r="Y3" s="286"/>
      <c r="AE3" s="286" t="s">
        <v>2</v>
      </c>
      <c r="AF3" s="286"/>
      <c r="AG3" s="286" t="s">
        <v>0</v>
      </c>
      <c r="AH3" s="286"/>
      <c r="AI3" s="286" t="s">
        <v>1</v>
      </c>
      <c r="AJ3" s="286"/>
      <c r="AK3" s="286" t="s">
        <v>3</v>
      </c>
      <c r="AL3" s="286"/>
      <c r="AM3" s="286" t="s">
        <v>4</v>
      </c>
      <c r="AN3" s="286"/>
      <c r="AO3" s="286" t="s">
        <v>5</v>
      </c>
      <c r="AP3" s="286"/>
      <c r="AQ3" s="286" t="s">
        <v>6</v>
      </c>
      <c r="AR3" s="286"/>
      <c r="AS3" s="286" t="s">
        <v>7</v>
      </c>
      <c r="AT3" s="286"/>
      <c r="AU3" s="286" t="s">
        <v>8</v>
      </c>
      <c r="AV3" s="286"/>
      <c r="AW3" s="286" t="s">
        <v>9</v>
      </c>
      <c r="AX3" s="286"/>
      <c r="AY3" s="286" t="s">
        <v>10</v>
      </c>
      <c r="AZ3" s="286"/>
      <c r="BA3" s="286" t="s">
        <v>11</v>
      </c>
      <c r="BB3" s="286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6" t="s">
        <v>2</v>
      </c>
      <c r="C29" s="286"/>
      <c r="D29" s="286" t="s">
        <v>0</v>
      </c>
      <c r="E29" s="286"/>
      <c r="F29" s="286" t="s">
        <v>1</v>
      </c>
      <c r="G29" s="286"/>
      <c r="H29" s="286" t="s">
        <v>3</v>
      </c>
      <c r="I29" s="286"/>
      <c r="J29" s="286" t="s">
        <v>4</v>
      </c>
      <c r="K29" s="286"/>
      <c r="L29" s="286" t="s">
        <v>5</v>
      </c>
      <c r="M29" s="286"/>
      <c r="N29" s="286" t="s">
        <v>6</v>
      </c>
      <c r="O29" s="286"/>
      <c r="P29" s="286" t="s">
        <v>7</v>
      </c>
      <c r="Q29" s="286"/>
      <c r="R29" s="286" t="s">
        <v>8</v>
      </c>
      <c r="S29" s="286"/>
      <c r="T29" s="286" t="s">
        <v>9</v>
      </c>
      <c r="U29" s="286"/>
      <c r="V29" s="286" t="s">
        <v>10</v>
      </c>
      <c r="W29" s="286"/>
      <c r="X29" s="286" t="s">
        <v>11</v>
      </c>
      <c r="Y29" s="286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4.5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5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561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 s="285">
        <v>1</v>
      </c>
      <c r="V76" s="285" t="s">
        <v>541</v>
      </c>
    </row>
    <row r="77" spans="10:22" x14ac:dyDescent="0.25">
      <c r="J77" s="14" t="s">
        <v>540</v>
      </c>
      <c r="K77" s="80"/>
      <c r="R77">
        <v>2</v>
      </c>
      <c r="U77" s="285">
        <v>2</v>
      </c>
      <c r="V77" s="285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>
        <v>2</v>
      </c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2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>
        <v>1</v>
      </c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>
        <v>1</v>
      </c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1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503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503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503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>
        <v>1</v>
      </c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0.7</v>
      </c>
      <c r="T168" s="169">
        <f>VLOOKUP(R168,[1]MEP!$A$4:$M$300,13)</f>
        <v>2</v>
      </c>
      <c r="U168" s="169">
        <f t="shared" si="8"/>
        <v>0.7</v>
      </c>
      <c r="V168" s="169">
        <f t="shared" si="9"/>
        <v>0.7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0.7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240</v>
      </c>
      <c r="S169" s="169">
        <f>'Alim -Surf'!R12</f>
        <v>1</v>
      </c>
      <c r="T169" s="169">
        <f>VLOOKUP(R169,[1]MEP!$A$4:$M$300,13)</f>
        <v>3</v>
      </c>
      <c r="U169" s="169">
        <f t="shared" si="8"/>
        <v>1</v>
      </c>
      <c r="V169" s="169">
        <f t="shared" si="9"/>
        <v>1</v>
      </c>
      <c r="W169" s="169">
        <f t="shared" si="10"/>
        <v>1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1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4.5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Z19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1</v>
      </c>
      <c r="D2" s="179">
        <f t="shared" si="0"/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2</v>
      </c>
      <c r="J2" s="179">
        <f t="shared" si="0"/>
        <v>2</v>
      </c>
      <c r="K2" s="179">
        <f t="shared" si="0"/>
        <v>2</v>
      </c>
      <c r="L2" s="179">
        <f t="shared" si="0"/>
        <v>1</v>
      </c>
      <c r="M2" s="179">
        <f t="shared" si="0"/>
        <v>1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1</v>
      </c>
      <c r="U2" s="179">
        <f t="shared" si="0"/>
        <v>1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0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1</v>
      </c>
      <c r="J3" s="179">
        <f t="shared" si="1"/>
        <v>1</v>
      </c>
      <c r="K3" s="179">
        <f t="shared" si="1"/>
        <v>1</v>
      </c>
      <c r="L3" s="179">
        <f t="shared" si="1"/>
        <v>1</v>
      </c>
      <c r="M3" s="179">
        <f t="shared" si="1"/>
        <v>1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1</v>
      </c>
      <c r="U3" s="179">
        <f t="shared" si="1"/>
        <v>1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1</v>
      </c>
      <c r="D4" s="179">
        <f t="shared" si="8"/>
        <v>1</v>
      </c>
      <c r="E4" s="179">
        <f t="shared" si="8"/>
        <v>0</v>
      </c>
      <c r="F4" s="179">
        <f t="shared" si="8"/>
        <v>0</v>
      </c>
      <c r="G4" s="179">
        <f t="shared" si="8"/>
        <v>1</v>
      </c>
      <c r="H4" s="179">
        <f t="shared" si="8"/>
        <v>1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0</v>
      </c>
      <c r="D5" s="179">
        <f t="shared" si="11"/>
        <v>0</v>
      </c>
      <c r="E5" s="179">
        <f t="shared" si="11"/>
        <v>0</v>
      </c>
      <c r="F5" s="179">
        <f t="shared" si="11"/>
        <v>0</v>
      </c>
      <c r="G5" s="179">
        <f t="shared" si="11"/>
        <v>0</v>
      </c>
      <c r="H5" s="179">
        <f t="shared" si="11"/>
        <v>0</v>
      </c>
      <c r="I5" s="179">
        <f t="shared" si="11"/>
        <v>0</v>
      </c>
      <c r="J5" s="179">
        <f t="shared" si="11"/>
        <v>0</v>
      </c>
      <c r="K5" s="179">
        <f t="shared" si="11"/>
        <v>0</v>
      </c>
      <c r="L5" s="179">
        <f t="shared" si="11"/>
        <v>1</v>
      </c>
      <c r="M5" s="179">
        <f t="shared" si="11"/>
        <v>1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1</v>
      </c>
      <c r="U5" s="179">
        <f t="shared" si="11"/>
        <v>1</v>
      </c>
      <c r="V5" s="179">
        <f t="shared" si="11"/>
        <v>1</v>
      </c>
      <c r="W5" s="179">
        <f t="shared" si="11"/>
        <v>1</v>
      </c>
      <c r="X5" s="179">
        <f t="shared" si="11"/>
        <v>1</v>
      </c>
      <c r="Y5" s="179">
        <f t="shared" si="11"/>
        <v>1</v>
      </c>
      <c r="Z5" s="179">
        <f t="shared" si="11"/>
        <v>0</v>
      </c>
      <c r="AI5" s="40" t="s">
        <v>742</v>
      </c>
      <c r="AJ5" s="30">
        <f>MAX(C203:Z203)</f>
        <v>6</v>
      </c>
      <c r="AO5" s="14" t="s">
        <v>741</v>
      </c>
      <c r="AP5" s="30">
        <f>BI31</f>
        <v>2318</v>
      </c>
      <c r="AQ5">
        <f>+BK31</f>
        <v>7.8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BL31</f>
        <v>9.4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4</v>
      </c>
      <c r="J8" s="179">
        <f>(J3+J4)*[1]Protect!$B$12</f>
        <v>4</v>
      </c>
      <c r="K8" s="179">
        <f>(K3+K4)*[1]Protect!$B$12</f>
        <v>4</v>
      </c>
      <c r="L8" s="179">
        <f>(L3+L4)*[1]Protect!$B$12</f>
        <v>2</v>
      </c>
      <c r="M8" s="179">
        <f>(M3+M4)*[1]Protect!$B$12</f>
        <v>2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2</v>
      </c>
      <c r="U8" s="179">
        <f>(U3+U4)*[1]Protect!$B$12</f>
        <v>2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6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0</v>
      </c>
      <c r="D9" s="179">
        <f>D5*[1]Protect!$B$13</f>
        <v>0</v>
      </c>
      <c r="E9" s="179">
        <f>E5*[1]Protect!$B$13</f>
        <v>0</v>
      </c>
      <c r="F9" s="179">
        <f>F5*[1]Protect!$B$13</f>
        <v>0</v>
      </c>
      <c r="G9" s="179">
        <f>G5*[1]Protect!$B$13</f>
        <v>0</v>
      </c>
      <c r="H9" s="179">
        <f>H5*[1]Protect!$B$13</f>
        <v>0</v>
      </c>
      <c r="I9" s="179">
        <f>I5*[1]Protect!$B$13</f>
        <v>0</v>
      </c>
      <c r="J9" s="179">
        <f>J5*[1]Protect!$B$13</f>
        <v>0</v>
      </c>
      <c r="K9" s="179">
        <f>K5*[1]Protect!$B$13</f>
        <v>0</v>
      </c>
      <c r="L9" s="179">
        <f>L5*[1]Protect!$B$13</f>
        <v>3</v>
      </c>
      <c r="M9" s="179">
        <f>M5*[1]Protect!$B$13</f>
        <v>3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3</v>
      </c>
      <c r="U9" s="179">
        <f>U5*[1]Protect!$B$13</f>
        <v>3</v>
      </c>
      <c r="V9" s="179">
        <f>V5*[1]Protect!$B$13</f>
        <v>3</v>
      </c>
      <c r="W9" s="179">
        <f>W5*[1]Protect!$B$13</f>
        <v>3</v>
      </c>
      <c r="X9" s="179">
        <f>X5*[1]Protect!$B$13</f>
        <v>3</v>
      </c>
      <c r="Y9" s="179">
        <f>Y5*[1]Protect!$B$13</f>
        <v>3</v>
      </c>
      <c r="Z9" s="179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2</v>
      </c>
      <c r="D11" s="179">
        <f t="shared" si="14"/>
        <v>2</v>
      </c>
      <c r="E11" s="179">
        <f t="shared" si="14"/>
        <v>2</v>
      </c>
      <c r="F11" s="179">
        <f t="shared" si="14"/>
        <v>4</v>
      </c>
      <c r="G11" s="179">
        <f t="shared" si="14"/>
        <v>4</v>
      </c>
      <c r="H11" s="179">
        <f t="shared" si="14"/>
        <v>4</v>
      </c>
      <c r="I11" s="179">
        <f t="shared" si="14"/>
        <v>4</v>
      </c>
      <c r="J11" s="179">
        <f t="shared" si="14"/>
        <v>4</v>
      </c>
      <c r="K11" s="179">
        <f t="shared" si="14"/>
        <v>4</v>
      </c>
      <c r="L11" s="179">
        <f t="shared" si="14"/>
        <v>5</v>
      </c>
      <c r="M11" s="179">
        <f t="shared" si="14"/>
        <v>5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5</v>
      </c>
      <c r="U11" s="179">
        <f t="shared" si="14"/>
        <v>5</v>
      </c>
      <c r="V11" s="179">
        <f t="shared" si="14"/>
        <v>3</v>
      </c>
      <c r="W11" s="179">
        <f t="shared" si="14"/>
        <v>3</v>
      </c>
      <c r="X11" s="179">
        <f t="shared" si="14"/>
        <v>3</v>
      </c>
      <c r="Y11" s="179">
        <f t="shared" si="14"/>
        <v>3</v>
      </c>
      <c r="Z11" s="179">
        <f t="shared" si="14"/>
        <v>2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2</v>
      </c>
      <c r="D13" s="179">
        <f t="shared" si="15"/>
        <v>2</v>
      </c>
      <c r="E13" s="179">
        <f t="shared" si="15"/>
        <v>2</v>
      </c>
      <c r="F13" s="179">
        <f t="shared" si="15"/>
        <v>4</v>
      </c>
      <c r="G13" s="179">
        <f t="shared" si="15"/>
        <v>4</v>
      </c>
      <c r="H13" s="179">
        <f t="shared" si="15"/>
        <v>4</v>
      </c>
      <c r="I13" s="179">
        <f t="shared" si="15"/>
        <v>4</v>
      </c>
      <c r="J13" s="179">
        <f t="shared" si="15"/>
        <v>4</v>
      </c>
      <c r="K13" s="179">
        <f t="shared" si="15"/>
        <v>4</v>
      </c>
      <c r="L13" s="179">
        <f t="shared" si="15"/>
        <v>5</v>
      </c>
      <c r="M13" s="179">
        <f t="shared" si="15"/>
        <v>5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5</v>
      </c>
      <c r="U13" s="179">
        <f t="shared" si="15"/>
        <v>5</v>
      </c>
      <c r="V13" s="179">
        <f t="shared" si="15"/>
        <v>3</v>
      </c>
      <c r="W13" s="179">
        <f t="shared" si="15"/>
        <v>3</v>
      </c>
      <c r="X13" s="179">
        <f t="shared" si="15"/>
        <v>3</v>
      </c>
      <c r="Y13" s="179">
        <f t="shared" si="15"/>
        <v>3</v>
      </c>
      <c r="Z13" s="179">
        <f t="shared" si="15"/>
        <v>2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0</v>
      </c>
      <c r="D15" s="169">
        <f t="shared" si="16"/>
        <v>0</v>
      </c>
      <c r="E15" s="169">
        <f t="shared" si="16"/>
        <v>0</v>
      </c>
      <c r="F15" s="169">
        <f t="shared" si="16"/>
        <v>0</v>
      </c>
      <c r="G15" s="169">
        <f t="shared" si="16"/>
        <v>0</v>
      </c>
      <c r="H15" s="169">
        <f t="shared" si="16"/>
        <v>0</v>
      </c>
      <c r="I15" s="169">
        <f t="shared" si="16"/>
        <v>0</v>
      </c>
      <c r="J15" s="169">
        <f t="shared" si="16"/>
        <v>0</v>
      </c>
      <c r="K15" s="169">
        <f t="shared" si="16"/>
        <v>0</v>
      </c>
      <c r="L15" s="169">
        <f t="shared" si="16"/>
        <v>0</v>
      </c>
      <c r="M15" s="169">
        <f t="shared" si="16"/>
        <v>1</v>
      </c>
      <c r="N15" s="169">
        <f t="shared" si="16"/>
        <v>0</v>
      </c>
      <c r="O15" s="169">
        <f t="shared" si="16"/>
        <v>0</v>
      </c>
      <c r="P15" s="169">
        <f t="shared" si="16"/>
        <v>0</v>
      </c>
      <c r="Q15" s="169">
        <f t="shared" si="16"/>
        <v>0</v>
      </c>
      <c r="R15" s="169">
        <f t="shared" si="16"/>
        <v>0</v>
      </c>
      <c r="S15" s="169">
        <f t="shared" si="16"/>
        <v>0</v>
      </c>
      <c r="T15" s="169">
        <f t="shared" si="16"/>
        <v>0</v>
      </c>
      <c r="U15" s="169">
        <f t="shared" si="16"/>
        <v>0</v>
      </c>
      <c r="V15" s="169">
        <f t="shared" si="16"/>
        <v>0</v>
      </c>
      <c r="W15" s="169">
        <f t="shared" si="16"/>
        <v>0</v>
      </c>
      <c r="X15" s="169">
        <f t="shared" si="16"/>
        <v>0</v>
      </c>
      <c r="Y15" s="169">
        <f t="shared" si="16"/>
        <v>0</v>
      </c>
      <c r="Z15" s="169">
        <f t="shared" si="16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3</v>
      </c>
      <c r="D16" s="169">
        <f t="shared" si="17"/>
        <v>3</v>
      </c>
      <c r="E16" s="169">
        <f t="shared" si="17"/>
        <v>3</v>
      </c>
      <c r="F16" s="169">
        <f t="shared" si="17"/>
        <v>2</v>
      </c>
      <c r="G16" s="169">
        <f t="shared" si="17"/>
        <v>2</v>
      </c>
      <c r="H16" s="169">
        <f t="shared" si="17"/>
        <v>2</v>
      </c>
      <c r="I16" s="169">
        <f t="shared" si="17"/>
        <v>2</v>
      </c>
      <c r="J16" s="169">
        <f t="shared" si="17"/>
        <v>2</v>
      </c>
      <c r="K16" s="169">
        <f t="shared" si="17"/>
        <v>2</v>
      </c>
      <c r="L16" s="169">
        <f t="shared" si="17"/>
        <v>2</v>
      </c>
      <c r="M16" s="169">
        <f t="shared" si="17"/>
        <v>2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2</v>
      </c>
      <c r="U16" s="169">
        <f t="shared" si="17"/>
        <v>2</v>
      </c>
      <c r="V16" s="169">
        <f t="shared" si="17"/>
        <v>2</v>
      </c>
      <c r="W16" s="169">
        <f t="shared" si="17"/>
        <v>2</v>
      </c>
      <c r="X16" s="169">
        <f t="shared" si="17"/>
        <v>2</v>
      </c>
      <c r="Y16" s="169">
        <f t="shared" si="17"/>
        <v>3</v>
      </c>
      <c r="Z16" s="169">
        <f t="shared" si="17"/>
        <v>3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1</v>
      </c>
      <c r="D17" s="169">
        <f t="shared" si="18"/>
        <v>1</v>
      </c>
      <c r="E17" s="169">
        <f t="shared" si="18"/>
        <v>1</v>
      </c>
      <c r="F17" s="169">
        <f t="shared" si="18"/>
        <v>2</v>
      </c>
      <c r="G17" s="169">
        <f t="shared" si="18"/>
        <v>2</v>
      </c>
      <c r="H17" s="169">
        <f t="shared" si="18"/>
        <v>2</v>
      </c>
      <c r="I17" s="169">
        <f t="shared" si="18"/>
        <v>2</v>
      </c>
      <c r="J17" s="169">
        <f t="shared" si="18"/>
        <v>2</v>
      </c>
      <c r="K17" s="169">
        <f t="shared" si="18"/>
        <v>2</v>
      </c>
      <c r="L17" s="169">
        <f t="shared" si="18"/>
        <v>2</v>
      </c>
      <c r="M17" s="169">
        <f t="shared" si="18"/>
        <v>1</v>
      </c>
      <c r="N17" s="169">
        <f t="shared" si="18"/>
        <v>1</v>
      </c>
      <c r="O17" s="169">
        <f t="shared" si="18"/>
        <v>1</v>
      </c>
      <c r="P17" s="169">
        <f t="shared" si="18"/>
        <v>1</v>
      </c>
      <c r="Q17" s="169">
        <f t="shared" si="18"/>
        <v>1</v>
      </c>
      <c r="R17" s="169">
        <f t="shared" si="18"/>
        <v>1</v>
      </c>
      <c r="S17" s="169">
        <f t="shared" si="18"/>
        <v>1</v>
      </c>
      <c r="T17" s="169">
        <f t="shared" si="18"/>
        <v>2</v>
      </c>
      <c r="U17" s="169">
        <f t="shared" si="18"/>
        <v>2</v>
      </c>
      <c r="V17" s="169">
        <f t="shared" si="18"/>
        <v>1</v>
      </c>
      <c r="W17" s="169">
        <f t="shared" si="18"/>
        <v>1</v>
      </c>
      <c r="X17" s="169">
        <f t="shared" si="18"/>
        <v>1</v>
      </c>
      <c r="Y17" s="169">
        <f t="shared" si="18"/>
        <v>1</v>
      </c>
      <c r="Z17" s="169">
        <f t="shared" si="18"/>
        <v>1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1</v>
      </c>
      <c r="D18" s="62">
        <f t="shared" si="19"/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2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240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5848</v>
      </c>
      <c r="AE20" s="64">
        <v>0</v>
      </c>
      <c r="AF20" s="64">
        <f>SUM(AD20:AE20)</f>
        <v>5848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240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5848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1</v>
      </c>
      <c r="D22" s="62">
        <f t="shared" si="22"/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2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720</v>
      </c>
      <c r="AD22" s="64">
        <f>IF(AND(Scénario!K88=1,Troupeau!B3="OL"),Protection!AP6,0)</f>
        <v>2713</v>
      </c>
      <c r="AE22" s="64">
        <f>IF(AND(LEFT(Scénario!K12,2)="OL",Troupeau!C3&lt;&gt;"",Scénario!K91=1),Protection!AP5+Protection!AP3,0)</f>
        <v>0</v>
      </c>
      <c r="AF22" s="64">
        <f>SUM(AD22:AE22)</f>
        <v>2713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5848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22.200000000000003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0.5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0.5</v>
      </c>
      <c r="D69" s="169">
        <f>IF($AA69=0,99,IF(D82&gt;3,CdTrp1!C77,CdTrp1!C53))</f>
        <v>0.5</v>
      </c>
      <c r="E69" s="169">
        <f>IF($AA69=0,99,IF(E82&gt;3,CdTrp1!D77,CdTrp1!D53))</f>
        <v>0.5</v>
      </c>
      <c r="F69" s="169">
        <f>IF($AA69=0,99,IF(F82&gt;3,CdTrp1!E77,CdTrp1!E53))</f>
        <v>0.5</v>
      </c>
      <c r="G69" s="169">
        <f>IF($AA69=0,99,IF(G82&gt;3,CdTrp1!F77,CdTrp1!F53))</f>
        <v>0.5</v>
      </c>
      <c r="H69" s="169">
        <f>IF($AA69=0,99,IF(H82&gt;3,CdTrp1!G77,CdTrp1!G53))</f>
        <v>0.5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0.5</v>
      </c>
      <c r="X69" s="169">
        <f>IF($AA69=0,99,IF(X82&gt;3,CdTrp1!W77,CdTrp1!W53))</f>
        <v>0.5</v>
      </c>
      <c r="Y69" s="169">
        <f>IF($AA69=0,99,IF(Y82&gt;3,CdTrp1!X77,CdTrp1!X53))</f>
        <v>0.5</v>
      </c>
      <c r="Z69" s="169">
        <f>IF($AA69=0,99,IF(Z82&gt;3,CdTrp1!Y77,CdTrp1!Y53))</f>
        <v>0.5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1</v>
      </c>
      <c r="M70" s="169">
        <f>IF($AA70=0,99,IF(M83&gt;3,CdTrp1!L78,CdTrp1!L54))</f>
        <v>1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1</v>
      </c>
      <c r="U70" s="169">
        <f>IF($AA70=0,99,IF(U83&gt;3,CdTrp1!T78,CdTrp1!T54))</f>
        <v>1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1</v>
      </c>
      <c r="I71" s="169">
        <f>IF($AA71=0,99,IF(I84&gt;3,CdTrp1!H79,CdTrp1!H55))</f>
        <v>1</v>
      </c>
      <c r="J71" s="169">
        <f>IF($AA71=0,99,IF(J84&gt;3,CdTrp1!I79,CdTrp1!I55))</f>
        <v>1</v>
      </c>
      <c r="K71" s="169">
        <f>IF($AA71=0,99,IF(K84&gt;3,CdTrp1!J79,CdTrp1!J55))</f>
        <v>1</v>
      </c>
      <c r="L71" s="169">
        <f>IF($AA71=0,99,IF(L84&gt;3,CdTrp1!K79,CdTrp1!K55))</f>
        <v>1</v>
      </c>
      <c r="M71" s="169">
        <f>IF($AA71=0,99,IF(M84&gt;3,CdTrp1!L79,CdTrp1!L55))</f>
        <v>1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1</v>
      </c>
      <c r="U71" s="169">
        <f>IF($AA71=0,99,IF(U84&gt;3,CdTrp1!T79,CdTrp1!T55))</f>
        <v>1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0.5</v>
      </c>
      <c r="O72" s="169">
        <f>IF($AA72=0,99,IF(O85&gt;3,CdTrp1!N80,CdTrp1!N56))</f>
        <v>0.5</v>
      </c>
      <c r="P72" s="169">
        <f>IF($AA72=0,99,IF(P85&gt;3,CdTrp1!O80,CdTrp1!O56))</f>
        <v>0.5</v>
      </c>
      <c r="Q72" s="169">
        <f>IF($AA72=0,99,IF(Q85&gt;3,CdTrp1!P80,CdTrp1!P56))</f>
        <v>0.5</v>
      </c>
      <c r="R72" s="169">
        <f>IF($AA72=0,99,IF(R85&gt;3,CdTrp1!Q80,CdTrp1!Q56))</f>
        <v>0.5</v>
      </c>
      <c r="S72" s="169">
        <f>IF($AA72=0,99,IF(S85&gt;3,CdTrp1!R80,CdTrp1!R56))</f>
        <v>0.5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2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0</v>
      </c>
      <c r="M83" s="169">
        <f>CdTrp1!L78</f>
        <v>0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0</v>
      </c>
      <c r="U83" s="169">
        <f>CdTrp1!T78</f>
        <v>0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0</v>
      </c>
      <c r="I84" s="169">
        <f>CdTrp1!H79</f>
        <v>0</v>
      </c>
      <c r="J84" s="169">
        <f>CdTrp1!I79</f>
        <v>0</v>
      </c>
      <c r="K84" s="169">
        <f>CdTrp1!J79</f>
        <v>0</v>
      </c>
      <c r="L84" s="169">
        <f>CdTrp1!K79</f>
        <v>0</v>
      </c>
      <c r="M84" s="169">
        <f>CdTrp1!L79</f>
        <v>0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0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1</v>
      </c>
      <c r="D180" s="169">
        <f>IF(Troupeau!$B$3="OL",Protection!D18,0)</f>
        <v>1</v>
      </c>
      <c r="E180" s="169">
        <f>IF(Troupeau!$B$3="OL",Protection!E18,0)</f>
        <v>1</v>
      </c>
      <c r="F180" s="169">
        <f>IF(Troupeau!$B$3="OL",Protection!F18,0)</f>
        <v>1</v>
      </c>
      <c r="G180" s="169">
        <f>IF(Troupeau!$B$3="OL",Protection!G18,0)</f>
        <v>1</v>
      </c>
      <c r="H180" s="169">
        <f>IF(Troupeau!$B$3="OL",Protection!H18,0)</f>
        <v>1</v>
      </c>
      <c r="I180" s="169">
        <f>IF(Troupeau!$B$3="OL",Protection!I18,0)</f>
        <v>1</v>
      </c>
      <c r="J180" s="169">
        <f>IF(Troupeau!$B$3="OL",Protection!J18,0)</f>
        <v>1</v>
      </c>
      <c r="K180" s="169">
        <f>IF(Troupeau!$B$3="OL",Protection!K18,0)</f>
        <v>1</v>
      </c>
      <c r="L180" s="169">
        <f>IF(Troupeau!$B$3="OL",Protection!L18,0)</f>
        <v>1</v>
      </c>
      <c r="M180" s="169">
        <f>IF(Troupeau!$B$3="OL",Protection!M18,0)</f>
        <v>2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1</v>
      </c>
      <c r="U180" s="169">
        <f>IF(Troupeau!$B$3="OL",Protection!U18,0)</f>
        <v>1</v>
      </c>
      <c r="V180" s="169">
        <f>IF(Troupeau!$B$3="OL",Protection!V18,0)</f>
        <v>1</v>
      </c>
      <c r="W180" s="169">
        <f>IF(Troupeau!$B$3="OL",Protection!W18,0)</f>
        <v>1</v>
      </c>
      <c r="X180" s="169">
        <f>IF(Troupeau!$B$3="OL",Protection!X18,0)</f>
        <v>1</v>
      </c>
      <c r="Y180" s="169">
        <f>IF(Troupeau!$B$3="OL",Protection!Y18,0)</f>
        <v>1</v>
      </c>
      <c r="Z180" s="169">
        <f>IF(Troupeau!$B$3="OL",Protection!Z18,0)</f>
        <v>1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1</v>
      </c>
      <c r="D195" s="169">
        <f t="shared" si="50"/>
        <v>1</v>
      </c>
      <c r="E195" s="169">
        <f t="shared" si="50"/>
        <v>1</v>
      </c>
      <c r="F195" s="169">
        <f t="shared" si="50"/>
        <v>1</v>
      </c>
      <c r="G195" s="169">
        <f t="shared" si="50"/>
        <v>1</v>
      </c>
      <c r="H195" s="169">
        <f t="shared" si="50"/>
        <v>1</v>
      </c>
      <c r="I195" s="169">
        <f t="shared" si="50"/>
        <v>1</v>
      </c>
      <c r="J195" s="169">
        <f t="shared" si="50"/>
        <v>1</v>
      </c>
      <c r="K195" s="169">
        <f t="shared" si="50"/>
        <v>1</v>
      </c>
      <c r="L195" s="169">
        <f t="shared" si="50"/>
        <v>1</v>
      </c>
      <c r="M195" s="169">
        <f t="shared" si="50"/>
        <v>2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1</v>
      </c>
      <c r="U195" s="169">
        <f t="shared" si="50"/>
        <v>1</v>
      </c>
      <c r="V195" s="169">
        <f t="shared" si="50"/>
        <v>1</v>
      </c>
      <c r="W195" s="169">
        <f t="shared" si="50"/>
        <v>1</v>
      </c>
      <c r="X195" s="169">
        <f t="shared" si="50"/>
        <v>1</v>
      </c>
      <c r="Y195" s="169">
        <f t="shared" si="50"/>
        <v>1</v>
      </c>
      <c r="Z195" s="169">
        <f t="shared" si="50"/>
        <v>1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2</v>
      </c>
      <c r="D201" s="169">
        <f>IF(Troupeau!$B$3="OL",D8+D9,0)</f>
        <v>2</v>
      </c>
      <c r="E201" s="169">
        <f>IF(Troupeau!$B$3="OL",E8+E9,0)</f>
        <v>2</v>
      </c>
      <c r="F201" s="169">
        <f>IF(Troupeau!$B$3="OL",F8+F9,0)</f>
        <v>4</v>
      </c>
      <c r="G201" s="169">
        <f>IF(Troupeau!$B$3="OL",G8+G9,0)</f>
        <v>4</v>
      </c>
      <c r="H201" s="169">
        <f>IF(Troupeau!$B$3="OL",H8+H9,0)</f>
        <v>4</v>
      </c>
      <c r="I201" s="169">
        <f>IF(Troupeau!$B$3="OL",I8+I9,0)</f>
        <v>4</v>
      </c>
      <c r="J201" s="169">
        <f>IF(Troupeau!$B$3="OL",J8+J9,0)</f>
        <v>4</v>
      </c>
      <c r="K201" s="169">
        <f>IF(Troupeau!$B$3="OL",K8+K9,0)</f>
        <v>4</v>
      </c>
      <c r="L201" s="169">
        <f>IF(Troupeau!$B$3="OL",L8+L9,0)</f>
        <v>5</v>
      </c>
      <c r="M201" s="169">
        <f>IF(Troupeau!$B$3="OL",M8+M9,0)</f>
        <v>5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5</v>
      </c>
      <c r="U201" s="169">
        <f>IF(Troupeau!$B$3="OL",U8+U9,0)</f>
        <v>5</v>
      </c>
      <c r="V201" s="169">
        <f>IF(Troupeau!$B$3="OL",V8+V9,0)</f>
        <v>3</v>
      </c>
      <c r="W201" s="169">
        <f>IF(Troupeau!$B$3="OL",W8+W9,0)</f>
        <v>3</v>
      </c>
      <c r="X201" s="169">
        <f>IF(Troupeau!$B$3="OL",X8+X9,0)</f>
        <v>3</v>
      </c>
      <c r="Y201" s="169">
        <f>IF(Troupeau!$B$3="OL",Y8+Y9,0)</f>
        <v>3</v>
      </c>
      <c r="Z201" s="169">
        <f>IF(Troupeau!$B$3="OL",Z8+Z9,0)</f>
        <v>2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2</v>
      </c>
      <c r="D203" s="169">
        <f t="shared" si="52"/>
        <v>2</v>
      </c>
      <c r="E203" s="169">
        <f t="shared" si="52"/>
        <v>2</v>
      </c>
      <c r="F203" s="169">
        <f t="shared" si="52"/>
        <v>4</v>
      </c>
      <c r="G203" s="169">
        <f t="shared" si="52"/>
        <v>4</v>
      </c>
      <c r="H203" s="169">
        <f t="shared" si="52"/>
        <v>4</v>
      </c>
      <c r="I203" s="169">
        <f t="shared" si="52"/>
        <v>4</v>
      </c>
      <c r="J203" s="169">
        <f t="shared" si="52"/>
        <v>4</v>
      </c>
      <c r="K203" s="169">
        <f t="shared" si="52"/>
        <v>4</v>
      </c>
      <c r="L203" s="169">
        <f t="shared" si="52"/>
        <v>5</v>
      </c>
      <c r="M203" s="169">
        <f t="shared" si="52"/>
        <v>5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5</v>
      </c>
      <c r="U203" s="169">
        <f t="shared" si="52"/>
        <v>5</v>
      </c>
      <c r="V203" s="169">
        <f t="shared" si="52"/>
        <v>3</v>
      </c>
      <c r="W203" s="169">
        <f t="shared" si="52"/>
        <v>3</v>
      </c>
      <c r="X203" s="169">
        <f t="shared" si="52"/>
        <v>3</v>
      </c>
      <c r="Y203" s="169">
        <f t="shared" si="52"/>
        <v>3</v>
      </c>
      <c r="Z203" s="169">
        <f t="shared" si="52"/>
        <v>2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2</v>
      </c>
      <c r="D212" s="169">
        <f t="shared" si="53"/>
        <v>2</v>
      </c>
      <c r="E212" s="169">
        <f t="shared" si="53"/>
        <v>2</v>
      </c>
      <c r="F212" s="169">
        <f t="shared" si="53"/>
        <v>4</v>
      </c>
      <c r="G212" s="169">
        <f t="shared" si="53"/>
        <v>4</v>
      </c>
      <c r="H212" s="169">
        <f t="shared" si="53"/>
        <v>4</v>
      </c>
      <c r="I212" s="169">
        <f t="shared" si="53"/>
        <v>4</v>
      </c>
      <c r="J212" s="169">
        <f t="shared" si="53"/>
        <v>4</v>
      </c>
      <c r="K212" s="169">
        <f t="shared" si="53"/>
        <v>4</v>
      </c>
      <c r="L212" s="169">
        <f t="shared" si="53"/>
        <v>5</v>
      </c>
      <c r="M212" s="169">
        <f t="shared" si="53"/>
        <v>5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5</v>
      </c>
      <c r="U212" s="169">
        <f t="shared" si="53"/>
        <v>5</v>
      </c>
      <c r="V212" s="169">
        <f t="shared" si="53"/>
        <v>3</v>
      </c>
      <c r="W212" s="169">
        <f t="shared" si="53"/>
        <v>3</v>
      </c>
      <c r="X212" s="169">
        <f t="shared" si="53"/>
        <v>3</v>
      </c>
      <c r="Y212" s="169">
        <f t="shared" si="53"/>
        <v>3</v>
      </c>
      <c r="Z212" s="169">
        <f t="shared" si="53"/>
        <v>2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2</v>
      </c>
      <c r="D214" s="169">
        <f t="shared" si="55"/>
        <v>2</v>
      </c>
      <c r="E214" s="169">
        <f t="shared" si="55"/>
        <v>2</v>
      </c>
      <c r="F214" s="169">
        <f t="shared" si="55"/>
        <v>4</v>
      </c>
      <c r="G214" s="169">
        <f t="shared" si="55"/>
        <v>4</v>
      </c>
      <c r="H214" s="169">
        <f t="shared" si="55"/>
        <v>4</v>
      </c>
      <c r="I214" s="169">
        <f t="shared" si="55"/>
        <v>4</v>
      </c>
      <c r="J214" s="169">
        <f t="shared" si="55"/>
        <v>4</v>
      </c>
      <c r="K214" s="169">
        <f t="shared" si="55"/>
        <v>4</v>
      </c>
      <c r="L214" s="169">
        <f t="shared" si="55"/>
        <v>5</v>
      </c>
      <c r="M214" s="169">
        <f t="shared" si="55"/>
        <v>5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5</v>
      </c>
      <c r="U214" s="169">
        <f t="shared" si="55"/>
        <v>5</v>
      </c>
      <c r="V214" s="169">
        <f t="shared" si="55"/>
        <v>3</v>
      </c>
      <c r="W214" s="169">
        <f t="shared" si="55"/>
        <v>3</v>
      </c>
      <c r="X214" s="169">
        <f t="shared" si="55"/>
        <v>3</v>
      </c>
      <c r="Y214" s="169">
        <f t="shared" si="55"/>
        <v>3</v>
      </c>
      <c r="Z214" s="169">
        <f t="shared" si="55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9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602</v>
      </c>
      <c r="G5" s="169">
        <f t="shared" ref="G5:AD5" si="1">AV117</f>
        <v>21</v>
      </c>
      <c r="H5" s="169">
        <f t="shared" si="1"/>
        <v>21</v>
      </c>
      <c r="I5" s="169">
        <f t="shared" si="1"/>
        <v>14</v>
      </c>
      <c r="J5" s="169">
        <f t="shared" si="1"/>
        <v>28</v>
      </c>
      <c r="K5" s="169">
        <f t="shared" si="1"/>
        <v>35</v>
      </c>
      <c r="L5" s="169">
        <f t="shared" si="1"/>
        <v>35</v>
      </c>
      <c r="M5" s="169">
        <f t="shared" si="1"/>
        <v>35</v>
      </c>
      <c r="N5" s="169">
        <f t="shared" si="1"/>
        <v>35</v>
      </c>
      <c r="O5" s="169">
        <f t="shared" si="1"/>
        <v>35</v>
      </c>
      <c r="P5" s="169">
        <f t="shared" si="1"/>
        <v>35</v>
      </c>
      <c r="Q5" s="169">
        <f t="shared" si="1"/>
        <v>42</v>
      </c>
      <c r="R5" s="169">
        <f t="shared" si="1"/>
        <v>21</v>
      </c>
      <c r="S5" s="169">
        <f t="shared" si="1"/>
        <v>14</v>
      </c>
      <c r="T5" s="169">
        <f t="shared" si="1"/>
        <v>14</v>
      </c>
      <c r="U5" s="169">
        <f t="shared" si="1"/>
        <v>14</v>
      </c>
      <c r="V5" s="169">
        <f t="shared" si="1"/>
        <v>14</v>
      </c>
      <c r="W5" s="169">
        <f t="shared" si="1"/>
        <v>14</v>
      </c>
      <c r="X5" s="169">
        <f t="shared" si="1"/>
        <v>35</v>
      </c>
      <c r="Y5" s="169">
        <f t="shared" si="1"/>
        <v>35</v>
      </c>
      <c r="Z5" s="169">
        <f t="shared" si="1"/>
        <v>21</v>
      </c>
      <c r="AA5" s="169">
        <f t="shared" si="1"/>
        <v>21</v>
      </c>
      <c r="AB5" s="169">
        <f t="shared" si="1"/>
        <v>21</v>
      </c>
      <c r="AC5" s="169">
        <f t="shared" si="1"/>
        <v>21</v>
      </c>
      <c r="AD5" s="169">
        <f t="shared" si="1"/>
        <v>21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1042.8486250000001</v>
      </c>
      <c r="G9" s="30">
        <f t="shared" ref="G9:AD9" si="4">AV102</f>
        <v>51.681874999999998</v>
      </c>
      <c r="H9" s="30">
        <f t="shared" si="4"/>
        <v>51.623249999999999</v>
      </c>
      <c r="I9" s="30">
        <f t="shared" si="4"/>
        <v>51.564624999999999</v>
      </c>
      <c r="J9" s="30">
        <f t="shared" si="4"/>
        <v>51.506</v>
      </c>
      <c r="K9" s="30">
        <f t="shared" si="4"/>
        <v>51.447375000000001</v>
      </c>
      <c r="L9" s="30">
        <f t="shared" si="4"/>
        <v>51.418062499999998</v>
      </c>
      <c r="M9" s="30">
        <f t="shared" si="4"/>
        <v>51.388750000000002</v>
      </c>
      <c r="N9" s="30">
        <f t="shared" si="4"/>
        <v>51.359437499999999</v>
      </c>
      <c r="O9" s="30">
        <f t="shared" si="4"/>
        <v>51.330125000000002</v>
      </c>
      <c r="P9" s="30">
        <f t="shared" si="4"/>
        <v>51.300812499999999</v>
      </c>
      <c r="Q9" s="30">
        <f t="shared" si="4"/>
        <v>48.9558125</v>
      </c>
      <c r="R9" s="30">
        <f t="shared" si="4"/>
        <v>21</v>
      </c>
      <c r="S9" s="30">
        <f t="shared" si="4"/>
        <v>21</v>
      </c>
      <c r="T9" s="30">
        <f t="shared" si="4"/>
        <v>21</v>
      </c>
      <c r="U9" s="30">
        <f t="shared" si="4"/>
        <v>21</v>
      </c>
      <c r="V9" s="30">
        <f t="shared" si="4"/>
        <v>21</v>
      </c>
      <c r="W9" s="30">
        <f t="shared" si="4"/>
        <v>21</v>
      </c>
      <c r="X9" s="30">
        <f t="shared" si="4"/>
        <v>50.245562499999998</v>
      </c>
      <c r="Y9" s="30">
        <f t="shared" si="4"/>
        <v>50.245562499999998</v>
      </c>
      <c r="Z9" s="30">
        <f t="shared" si="4"/>
        <v>49.805875</v>
      </c>
      <c r="AA9" s="30">
        <f t="shared" si="4"/>
        <v>49.805875</v>
      </c>
      <c r="AB9" s="30">
        <f t="shared" si="4"/>
        <v>49.805875</v>
      </c>
      <c r="AC9" s="30">
        <f t="shared" si="4"/>
        <v>51.681874999999998</v>
      </c>
      <c r="AD9" s="30">
        <f t="shared" si="4"/>
        <v>51.681874999999998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1644.8486250000001</v>
      </c>
      <c r="G13" s="30">
        <f t="shared" ref="G13:AD13" si="7">SUM(G5:G11)</f>
        <v>72.681874999999991</v>
      </c>
      <c r="H13" s="30">
        <f t="shared" si="7"/>
        <v>72.623249999999999</v>
      </c>
      <c r="I13" s="30">
        <f t="shared" si="7"/>
        <v>65.564625000000007</v>
      </c>
      <c r="J13" s="30">
        <f t="shared" si="7"/>
        <v>79.506</v>
      </c>
      <c r="K13" s="30">
        <f t="shared" si="7"/>
        <v>86.447374999999994</v>
      </c>
      <c r="L13" s="30">
        <f t="shared" si="7"/>
        <v>86.418062499999991</v>
      </c>
      <c r="M13" s="30">
        <f t="shared" si="7"/>
        <v>86.388750000000002</v>
      </c>
      <c r="N13" s="30">
        <f t="shared" si="7"/>
        <v>86.359437499999999</v>
      </c>
      <c r="O13" s="30">
        <f t="shared" si="7"/>
        <v>86.33012500000001</v>
      </c>
      <c r="P13" s="30">
        <f t="shared" si="7"/>
        <v>86.300812500000006</v>
      </c>
      <c r="Q13" s="30">
        <f t="shared" si="7"/>
        <v>90.955812500000008</v>
      </c>
      <c r="R13" s="30">
        <f t="shared" si="7"/>
        <v>42</v>
      </c>
      <c r="S13" s="30">
        <f t="shared" si="7"/>
        <v>35</v>
      </c>
      <c r="T13" s="30">
        <f t="shared" si="7"/>
        <v>35</v>
      </c>
      <c r="U13" s="30">
        <f t="shared" si="7"/>
        <v>35</v>
      </c>
      <c r="V13" s="30">
        <f t="shared" si="7"/>
        <v>35</v>
      </c>
      <c r="W13" s="30">
        <f t="shared" si="7"/>
        <v>35</v>
      </c>
      <c r="X13" s="30">
        <f t="shared" si="7"/>
        <v>85.245562500000005</v>
      </c>
      <c r="Y13" s="30">
        <f t="shared" si="7"/>
        <v>85.245562500000005</v>
      </c>
      <c r="Z13" s="30">
        <f t="shared" si="7"/>
        <v>70.805875</v>
      </c>
      <c r="AA13" s="30">
        <f t="shared" si="7"/>
        <v>70.805875</v>
      </c>
      <c r="AB13" s="30">
        <f t="shared" si="7"/>
        <v>70.805875</v>
      </c>
      <c r="AC13" s="30">
        <f t="shared" si="7"/>
        <v>72.681874999999991</v>
      </c>
      <c r="AD13" s="30">
        <f t="shared" si="7"/>
        <v>72.681874999999991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5</v>
      </c>
      <c r="C16" s="186">
        <f>VALUE(LEFT(Scénario!K57,1))</f>
        <v>4</v>
      </c>
      <c r="D16" s="186">
        <f>IF(B16&gt;0,VLOOKUP(C16,[1]Trav!$A$86:$D$90,4),0)</f>
        <v>112</v>
      </c>
      <c r="E16" s="186">
        <f>Scénario!K54*2</f>
        <v>6</v>
      </c>
      <c r="F16" s="169">
        <f>IF(B16&gt;0,D16*E16/B16,0)</f>
        <v>134.4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fort</v>
      </c>
      <c r="AV27" s="169">
        <f t="shared" si="41"/>
        <v>2</v>
      </c>
      <c r="AW27" s="169">
        <f t="shared" si="41"/>
        <v>2</v>
      </c>
      <c r="AX27" s="169">
        <f t="shared" si="41"/>
        <v>2</v>
      </c>
      <c r="AY27" s="169">
        <f t="shared" si="41"/>
        <v>2</v>
      </c>
      <c r="AZ27" s="169">
        <f t="shared" si="41"/>
        <v>2</v>
      </c>
      <c r="BA27" s="169">
        <f t="shared" si="41"/>
        <v>2</v>
      </c>
      <c r="BB27" s="169">
        <f t="shared" si="41"/>
        <v>2</v>
      </c>
      <c r="BC27" s="169">
        <f t="shared" si="41"/>
        <v>2</v>
      </c>
      <c r="BD27" s="169">
        <f t="shared" si="41"/>
        <v>2</v>
      </c>
      <c r="BE27" s="169">
        <f t="shared" si="41"/>
        <v>2</v>
      </c>
      <c r="BF27" s="169">
        <f t="shared" si="42"/>
        <v>2</v>
      </c>
      <c r="BG27" s="169">
        <f t="shared" si="42"/>
        <v>2</v>
      </c>
      <c r="BH27" s="169">
        <f t="shared" si="42"/>
        <v>2</v>
      </c>
      <c r="BI27" s="169">
        <f t="shared" si="42"/>
        <v>2</v>
      </c>
      <c r="BJ27" s="169">
        <f t="shared" si="42"/>
        <v>2</v>
      </c>
      <c r="BK27" s="169">
        <f t="shared" si="42"/>
        <v>2</v>
      </c>
      <c r="BL27" s="169">
        <f t="shared" si="42"/>
        <v>2</v>
      </c>
      <c r="BM27" s="169">
        <f t="shared" si="42"/>
        <v>2</v>
      </c>
      <c r="BN27" s="169">
        <f t="shared" si="42"/>
        <v>2</v>
      </c>
      <c r="BO27" s="169">
        <f t="shared" si="42"/>
        <v>2</v>
      </c>
      <c r="BP27" s="169">
        <f t="shared" si="42"/>
        <v>2</v>
      </c>
      <c r="BQ27" s="169">
        <f t="shared" si="42"/>
        <v>2</v>
      </c>
      <c r="BR27" s="169">
        <f t="shared" si="42"/>
        <v>2</v>
      </c>
      <c r="BS27" s="169">
        <f t="shared" si="42"/>
        <v>2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fort</v>
      </c>
      <c r="AV29" s="169">
        <f t="shared" si="41"/>
        <v>2</v>
      </c>
      <c r="AW29" s="169">
        <f t="shared" si="41"/>
        <v>2</v>
      </c>
      <c r="AX29" s="169">
        <f t="shared" si="41"/>
        <v>2</v>
      </c>
      <c r="AY29" s="169">
        <f t="shared" si="41"/>
        <v>2</v>
      </c>
      <c r="AZ29" s="169">
        <f t="shared" si="41"/>
        <v>2</v>
      </c>
      <c r="BA29" s="169">
        <f t="shared" si="41"/>
        <v>2</v>
      </c>
      <c r="BB29" s="169">
        <f t="shared" si="41"/>
        <v>2</v>
      </c>
      <c r="BC29" s="169">
        <f t="shared" si="41"/>
        <v>2</v>
      </c>
      <c r="BD29" s="169">
        <f t="shared" si="41"/>
        <v>2</v>
      </c>
      <c r="BE29" s="169">
        <f t="shared" si="41"/>
        <v>2</v>
      </c>
      <c r="BF29" s="169">
        <f t="shared" si="42"/>
        <v>2</v>
      </c>
      <c r="BG29" s="169">
        <f t="shared" si="42"/>
        <v>2</v>
      </c>
      <c r="BH29" s="169">
        <f t="shared" si="42"/>
        <v>2</v>
      </c>
      <c r="BI29" s="169">
        <f t="shared" si="42"/>
        <v>2</v>
      </c>
      <c r="BJ29" s="169">
        <f t="shared" si="42"/>
        <v>2</v>
      </c>
      <c r="BK29" s="169">
        <f t="shared" si="42"/>
        <v>2</v>
      </c>
      <c r="BL29" s="169">
        <f t="shared" si="42"/>
        <v>2</v>
      </c>
      <c r="BM29" s="169">
        <f t="shared" si="42"/>
        <v>2</v>
      </c>
      <c r="BN29" s="169">
        <f t="shared" si="42"/>
        <v>2</v>
      </c>
      <c r="BO29" s="169">
        <f t="shared" si="42"/>
        <v>2</v>
      </c>
      <c r="BP29" s="169">
        <f t="shared" si="42"/>
        <v>2</v>
      </c>
      <c r="BQ29" s="169">
        <f t="shared" si="42"/>
        <v>2</v>
      </c>
      <c r="BR29" s="169">
        <f t="shared" si="42"/>
        <v>2</v>
      </c>
      <c r="BS29" s="169">
        <f t="shared" si="42"/>
        <v>2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fort</v>
      </c>
      <c r="AV30" s="169">
        <f t="shared" si="41"/>
        <v>2</v>
      </c>
      <c r="AW30" s="169">
        <f t="shared" si="41"/>
        <v>2</v>
      </c>
      <c r="AX30" s="169">
        <f t="shared" si="41"/>
        <v>2</v>
      </c>
      <c r="AY30" s="169">
        <f t="shared" si="41"/>
        <v>2</v>
      </c>
      <c r="AZ30" s="169">
        <f t="shared" si="41"/>
        <v>2</v>
      </c>
      <c r="BA30" s="169">
        <f t="shared" si="41"/>
        <v>2</v>
      </c>
      <c r="BB30" s="169">
        <f t="shared" si="41"/>
        <v>2</v>
      </c>
      <c r="BC30" s="169">
        <f t="shared" si="41"/>
        <v>2</v>
      </c>
      <c r="BD30" s="169">
        <f t="shared" si="41"/>
        <v>2</v>
      </c>
      <c r="BE30" s="169">
        <f t="shared" si="41"/>
        <v>2</v>
      </c>
      <c r="BF30" s="169">
        <f t="shared" si="42"/>
        <v>2</v>
      </c>
      <c r="BG30" s="169">
        <f t="shared" si="42"/>
        <v>2</v>
      </c>
      <c r="BH30" s="169">
        <f t="shared" si="42"/>
        <v>2</v>
      </c>
      <c r="BI30" s="169">
        <f t="shared" si="42"/>
        <v>2</v>
      </c>
      <c r="BJ30" s="169">
        <f t="shared" si="42"/>
        <v>2</v>
      </c>
      <c r="BK30" s="169">
        <f t="shared" si="42"/>
        <v>2</v>
      </c>
      <c r="BL30" s="169">
        <f t="shared" si="42"/>
        <v>2</v>
      </c>
      <c r="BM30" s="169">
        <f t="shared" si="42"/>
        <v>2</v>
      </c>
      <c r="BN30" s="169">
        <f t="shared" si="42"/>
        <v>2</v>
      </c>
      <c r="BO30" s="169">
        <f t="shared" si="42"/>
        <v>2</v>
      </c>
      <c r="BP30" s="169">
        <f t="shared" si="42"/>
        <v>2</v>
      </c>
      <c r="BQ30" s="169">
        <f t="shared" si="42"/>
        <v>2</v>
      </c>
      <c r="BR30" s="169">
        <f t="shared" si="42"/>
        <v>2</v>
      </c>
      <c r="BS30" s="169">
        <f t="shared" si="42"/>
        <v>2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2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2</v>
      </c>
      <c r="AW38" s="169">
        <f>IF(CdTrp1!C53=1,3,IF(CdTrp1!C53=0.5,2,IF(CdTrp1!C53=0,1,0)))</f>
        <v>2</v>
      </c>
      <c r="AX38" s="169">
        <f>IF(CdTrp1!D53=1,3,IF(CdTrp1!D53=0.5,2,IF(CdTrp1!D53=0,1,0)))</f>
        <v>2</v>
      </c>
      <c r="AY38" s="169">
        <f>IF(CdTrp1!E53=1,3,IF(CdTrp1!E53=0.5,2,IF(CdTrp1!E53=0,1,0)))</f>
        <v>2</v>
      </c>
      <c r="AZ38" s="169">
        <f>IF(CdTrp1!F53=1,3,IF(CdTrp1!F53=0.5,2,IF(CdTrp1!F53=0,1,0)))</f>
        <v>2</v>
      </c>
      <c r="BA38" s="169">
        <f>IF(CdTrp1!G53=1,3,IF(CdTrp1!G53=0.5,2,IF(CdTrp1!G53=0,1,0)))</f>
        <v>2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1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2</v>
      </c>
      <c r="BQ38" s="169">
        <f>IF(CdTrp1!W53=1,3,IF(CdTrp1!W53=0.5,2,IF(CdTrp1!W53=0,1,0)))</f>
        <v>2</v>
      </c>
      <c r="BR38" s="169">
        <f>IF(CdTrp1!X53=1,3,IF(CdTrp1!X53=0.5,2,IF(CdTrp1!X53=0,1,0)))</f>
        <v>2</v>
      </c>
      <c r="BS38" s="169">
        <f>IF(CdTrp1!Y53=1,3,IF(CdTrp1!Y53=0.5,2,IF(CdTrp1!Y53=0,1,0)))</f>
        <v>2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3</v>
      </c>
      <c r="BF39" s="169">
        <f>IF(CdTrp1!L54=1,3,IF(CdTrp1!L54=0.5,2,IF(CdTrp1!L54=0,1,0)))</f>
        <v>3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3</v>
      </c>
      <c r="BN39" s="169">
        <f>IF(CdTrp1!T54=1,3,IF(CdTrp1!T54=0.5,2,IF(CdTrp1!T54=0,1,0)))</f>
        <v>3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3</v>
      </c>
      <c r="BB40" s="169">
        <f>IF(CdTrp1!H55=1,3,IF(CdTrp1!H55=0.5,2,IF(CdTrp1!H55=0,1,0)))</f>
        <v>3</v>
      </c>
      <c r="BC40" s="169">
        <f>IF(CdTrp1!I55=1,3,IF(CdTrp1!I55=0.5,2,IF(CdTrp1!I55=0,1,0)))</f>
        <v>3</v>
      </c>
      <c r="BD40" s="169">
        <f>IF(CdTrp1!J55=1,3,IF(CdTrp1!J55=0.5,2,IF(CdTrp1!J55=0,1,0)))</f>
        <v>3</v>
      </c>
      <c r="BE40" s="169">
        <f>IF(CdTrp1!K55=1,3,IF(CdTrp1!K55=0.5,2,IF(CdTrp1!K55=0,1,0)))</f>
        <v>3</v>
      </c>
      <c r="BF40" s="169">
        <f>IF(CdTrp1!L55=1,3,IF(CdTrp1!L55=0.5,2,IF(CdTrp1!L55=0,1,0)))</f>
        <v>3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3</v>
      </c>
      <c r="BN40" s="169">
        <f>IF(CdTrp1!T55=1,3,IF(CdTrp1!T55=0.5,2,IF(CdTrp1!T55=0,1,0)))</f>
        <v>3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2</v>
      </c>
      <c r="BH41" s="169">
        <f>IF(CdTrp1!N56=1,3,IF(CdTrp1!N56=0.5,2,IF(CdTrp1!N56=0,1,0)))</f>
        <v>2</v>
      </c>
      <c r="BI41" s="169">
        <f>IF(CdTrp1!O56=1,3,IF(CdTrp1!O56=0.5,2,IF(CdTrp1!O56=0,1,0)))</f>
        <v>2</v>
      </c>
      <c r="BJ41" s="169">
        <f>IF(CdTrp1!P56=1,3,IF(CdTrp1!P56=0.5,2,IF(CdTrp1!P56=0,1,0)))</f>
        <v>2</v>
      </c>
      <c r="BK41" s="169">
        <f>IF(CdTrp1!Q56=1,3,IF(CdTrp1!Q56=0.5,2,IF(CdTrp1!Q56=0,1,0)))</f>
        <v>2</v>
      </c>
      <c r="BL41" s="169">
        <f>IF(CdTrp1!R56=1,3,IF(CdTrp1!R56=0.5,2,IF(CdTrp1!R56=0,1,0)))</f>
        <v>2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2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0</v>
      </c>
      <c r="BF50" s="169">
        <f>IF(CdTrp1!L78=1,1,IF(CdTrp1!L78=2,2,IF(CdTrp1!L78=3,2,0)))</f>
        <v>0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0</v>
      </c>
      <c r="BN50" s="169">
        <f>IF(CdTrp1!T78=1,1,IF(CdTrp1!T78=2,2,IF(CdTrp1!T78=3,2,0)))</f>
        <v>0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0</v>
      </c>
      <c r="BB51" s="169">
        <f>IF(CdTrp1!H79=1,1,IF(CdTrp1!H79=2,2,IF(CdTrp1!H79=3,2,0)))</f>
        <v>0</v>
      </c>
      <c r="BC51" s="169">
        <f>IF(CdTrp1!I79=1,1,IF(CdTrp1!I79=2,2,IF(CdTrp1!I79=3,2,0)))</f>
        <v>0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4.5</v>
      </c>
      <c r="C57" s="186">
        <f>IF(B57&gt;[1]Trav!E121,[1]Trav!C121,[1]Trav!B121)</f>
        <v>7.2</v>
      </c>
      <c r="D57"/>
      <c r="E57" s="168"/>
      <c r="F57" s="169">
        <f t="shared" si="54"/>
        <v>32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221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222</v>
      </c>
      <c r="AW61" s="169">
        <f>IF(AW16=0,0,IF(AW38=3,0,VALUE(CONCATENATE(Travail!AW27,Travail!AW38,Travail!AW49))))</f>
        <v>222</v>
      </c>
      <c r="AX61" s="169">
        <f>IF(AX16=0,0,IF(AX38=3,0,VALUE(CONCATENATE(Travail!AX27,Travail!AX38,Travail!AX49))))</f>
        <v>221</v>
      </c>
      <c r="AY61" s="169">
        <f>IF(AY16=0,0,IF(AY38=3,0,VALUE(CONCATENATE(Travail!AY27,Travail!AY38,Travail!AY49))))</f>
        <v>221</v>
      </c>
      <c r="AZ61" s="169">
        <f>IF(AZ16=0,0,IF(AZ38=3,0,VALUE(CONCATENATE(Travail!AZ27,Travail!AZ38,Travail!AZ49))))</f>
        <v>222</v>
      </c>
      <c r="BA61" s="169">
        <f>IF(BA16=0,0,IF(BA38=3,0,VALUE(CONCATENATE(Travail!BA27,Travail!BA38,Travail!BA49))))</f>
        <v>222</v>
      </c>
      <c r="BB61" s="169">
        <f>IF(BB16=0,0,IF(BB38=3,0,VALUE(CONCATENATE(Travail!BB27,Travail!BB38,Travail!BB49))))</f>
        <v>222</v>
      </c>
      <c r="BC61" s="169">
        <f>IF(BC16=0,0,IF(BC38=3,0,VALUE(CONCATENATE(Travail!BC27,Travail!BC38,Travail!BC49))))</f>
        <v>222</v>
      </c>
      <c r="BD61" s="169">
        <f>IF(BD16=0,0,IF(BD38=3,0,VALUE(CONCATENATE(Travail!BD27,Travail!BD38,Travail!BD49))))</f>
        <v>222</v>
      </c>
      <c r="BE61" s="169">
        <f>IF(BE16=0,0,IF(BE38=3,0,VALUE(CONCATENATE(Travail!BE27,Travail!BE38,Travail!BE49))))</f>
        <v>222</v>
      </c>
      <c r="BF61" s="169">
        <f>IF(BF16=0,0,IF(BF38=3,0,VALUE(CONCATENATE(Travail!BF27,Travail!BF38,Travail!BF49))))</f>
        <v>212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222</v>
      </c>
      <c r="BN61" s="169">
        <f>IF(BN16=0,0,IF(BN38=3,0,VALUE(CONCATENATE(Travail!BN27,Travail!BN38,Travail!BN49))))</f>
        <v>222</v>
      </c>
      <c r="BO61" s="169">
        <f>IF(BO16=0,0,IF(BO38=3,0,VALUE(CONCATENATE(Travail!BO27,Travail!BO38,Travail!BO49))))</f>
        <v>222</v>
      </c>
      <c r="BP61" s="169">
        <f>IF(BP16=0,0,IF(BP38=3,0,VALUE(CONCATENATE(Travail!BP27,Travail!BP38,Travail!BP49))))</f>
        <v>222</v>
      </c>
      <c r="BQ61" s="169">
        <f>IF(BQ16=0,0,IF(BQ38=3,0,VALUE(CONCATENATE(Travail!BQ27,Travail!BQ38,Travail!BQ49))))</f>
        <v>222</v>
      </c>
      <c r="BR61" s="169">
        <f>IF(BR16=0,0,IF(BR38=3,0,VALUE(CONCATENATE(Travail!BR27,Travail!BR38,Travail!BR49))))</f>
        <v>222</v>
      </c>
      <c r="BS61" s="169">
        <f>IF(BS16=0,0,IF(BS38=3,0,VALUE(CONCATENATE(Travail!BS27,Travail!BS38,Travail!BS49))))</f>
        <v>222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0</v>
      </c>
      <c r="BF62" s="169">
        <f>IF(BF17=0,0,IF(BF39=3,0,VALUE(CONCATENATE(Travail!BF28,Travail!BF39,Travail!BF50))))</f>
        <v>0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0</v>
      </c>
      <c r="BN62" s="169">
        <f>IF(BN17=0,0,IF(BN39=3,0,VALUE(CONCATENATE(Travail!BN28,Travail!BN39,Travail!BN50))))</f>
        <v>0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0</v>
      </c>
      <c r="BB63" s="169">
        <f>IF(BB18=0,0,IF(BB40=3,0,VALUE(CONCATENATE(Travail!BB29,Travail!BB40,Travail!BB51))))</f>
        <v>0</v>
      </c>
      <c r="BC63" s="169">
        <f>IF(BC18=0,0,IF(BC40=3,0,VALUE(CONCATENATE(Travail!BC29,Travail!BC40,Travail!BC51))))</f>
        <v>0</v>
      </c>
      <c r="BD63" s="169">
        <f>IF(BD18=0,0,IF(BD40=3,0,VALUE(CONCATENATE(Travail!BD29,Travail!BD40,Travail!BD51))))</f>
        <v>0</v>
      </c>
      <c r="BE63" s="169">
        <f>IF(BE18=0,0,IF(BE40=3,0,VALUE(CONCATENATE(Travail!BE29,Travail!BE40,Travail!BE51))))</f>
        <v>0</v>
      </c>
      <c r="BF63" s="169">
        <f>IF(BF18=0,0,IF(BF40=3,0,VALUE(CONCATENATE(Travail!BF29,Travail!BF40,Travail!BF51))))</f>
        <v>0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0</v>
      </c>
      <c r="BN63" s="169">
        <f>IF(BN18=0,0,IF(BN40=3,0,VALUE(CONCATENATE(Travail!BN29,Travail!BN40,Travail!BN51))))</f>
        <v>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222</v>
      </c>
      <c r="BH64" s="169">
        <f>IF(BH19=0,0,IF(BH41=3,0,VALUE(CONCATENATE(Travail!BH30,Travail!BH41,Travail!BH52))))</f>
        <v>221</v>
      </c>
      <c r="BI64" s="169">
        <f>IF(BI19=0,0,IF(BI41=3,0,VALUE(CONCATENATE(Travail!BI30,Travail!BI41,Travail!BI52))))</f>
        <v>221</v>
      </c>
      <c r="BJ64" s="169">
        <f>IF(BJ19=0,0,IF(BJ41=3,0,VALUE(CONCATENATE(Travail!BJ30,Travail!BJ41,Travail!BJ52))))</f>
        <v>221</v>
      </c>
      <c r="BK64" s="169">
        <f>IF(BK19=0,0,IF(BK41=3,0,VALUE(CONCATENATE(Travail!BK30,Travail!BK41,Travail!BK52))))</f>
        <v>221</v>
      </c>
      <c r="BL64" s="169">
        <f>IF(BL19=0,0,IF(BL41=3,0,VALUE(CONCATENATE(Travail!BL30,Travail!BL41,Travail!BL52))))</f>
        <v>221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22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22</v>
      </c>
      <c r="BN71" s="169">
        <f t="shared" si="59"/>
        <v>22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170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5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22</v>
      </c>
      <c r="AW72" s="169">
        <f t="shared" si="64"/>
        <v>22</v>
      </c>
      <c r="AX72" s="169">
        <f t="shared" si="64"/>
        <v>22</v>
      </c>
      <c r="AY72" s="169">
        <f t="shared" si="64"/>
        <v>22</v>
      </c>
      <c r="AZ72" s="169">
        <f t="shared" si="64"/>
        <v>22</v>
      </c>
      <c r="BA72" s="169">
        <f t="shared" si="64"/>
        <v>22</v>
      </c>
      <c r="BB72" s="169">
        <f t="shared" si="64"/>
        <v>22</v>
      </c>
      <c r="BC72" s="169">
        <f t="shared" si="64"/>
        <v>22</v>
      </c>
      <c r="BD72" s="169">
        <f t="shared" si="64"/>
        <v>22</v>
      </c>
      <c r="BE72" s="169">
        <f t="shared" si="64"/>
        <v>22</v>
      </c>
      <c r="BF72" s="169">
        <f t="shared" si="64"/>
        <v>21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22</v>
      </c>
      <c r="BN72" s="169">
        <f t="shared" si="64"/>
        <v>22</v>
      </c>
      <c r="BO72" s="169">
        <f t="shared" si="64"/>
        <v>22</v>
      </c>
      <c r="BP72" s="169">
        <f t="shared" si="64"/>
        <v>22</v>
      </c>
      <c r="BQ72" s="169">
        <f t="shared" si="64"/>
        <v>22</v>
      </c>
      <c r="BR72" s="169">
        <f t="shared" si="64"/>
        <v>22</v>
      </c>
      <c r="BS72" s="169">
        <f t="shared" si="64"/>
        <v>22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23</v>
      </c>
      <c r="BC73" s="169">
        <f t="shared" si="67"/>
        <v>23</v>
      </c>
      <c r="BD73" s="169">
        <f t="shared" si="67"/>
        <v>23</v>
      </c>
      <c r="BE73" s="169">
        <f t="shared" si="67"/>
        <v>23</v>
      </c>
      <c r="BF73" s="169">
        <f t="shared" si="67"/>
        <v>23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23</v>
      </c>
      <c r="BN73" s="169">
        <f t="shared" si="67"/>
        <v>23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23</v>
      </c>
      <c r="AW74" s="169">
        <f t="shared" si="70"/>
        <v>23</v>
      </c>
      <c r="AX74" s="169">
        <f t="shared" si="70"/>
        <v>23</v>
      </c>
      <c r="AY74" s="169">
        <f t="shared" si="70"/>
        <v>23</v>
      </c>
      <c r="AZ74" s="169">
        <f t="shared" si="70"/>
        <v>23</v>
      </c>
      <c r="BA74" s="169">
        <f t="shared" si="70"/>
        <v>23</v>
      </c>
      <c r="BB74" s="169">
        <f t="shared" si="70"/>
        <v>23</v>
      </c>
      <c r="BC74" s="169">
        <f t="shared" si="70"/>
        <v>23</v>
      </c>
      <c r="BD74" s="169">
        <f t="shared" si="70"/>
        <v>23</v>
      </c>
      <c r="BE74" s="169">
        <f t="shared" si="70"/>
        <v>23</v>
      </c>
      <c r="BF74" s="169">
        <f t="shared" si="70"/>
        <v>23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23</v>
      </c>
      <c r="BN74" s="169">
        <f t="shared" si="70"/>
        <v>23</v>
      </c>
      <c r="BO74" s="169">
        <f t="shared" si="70"/>
        <v>23</v>
      </c>
      <c r="BP74" s="169">
        <f t="shared" si="70"/>
        <v>23</v>
      </c>
      <c r="BQ74" s="169">
        <f t="shared" si="70"/>
        <v>23</v>
      </c>
      <c r="BR74" s="169">
        <f t="shared" si="70"/>
        <v>23</v>
      </c>
      <c r="BS74" s="169">
        <f t="shared" si="70"/>
        <v>23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87.5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7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22</v>
      </c>
      <c r="BH75" s="169">
        <f t="shared" si="73"/>
        <v>22</v>
      </c>
      <c r="BI75" s="169">
        <f t="shared" si="73"/>
        <v>22</v>
      </c>
      <c r="BJ75" s="169">
        <f t="shared" si="73"/>
        <v>22</v>
      </c>
      <c r="BK75" s="169">
        <f t="shared" si="73"/>
        <v>22</v>
      </c>
      <c r="BL75" s="169">
        <f t="shared" si="73"/>
        <v>22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278.5</v>
      </c>
      <c r="G77" s="46">
        <f t="shared" ref="G77:AD77" si="79">+SUM(G69:G76)</f>
        <v>8.5</v>
      </c>
      <c r="H77" s="46">
        <f t="shared" si="79"/>
        <v>8.5</v>
      </c>
      <c r="I77" s="46">
        <f t="shared" si="79"/>
        <v>8.5</v>
      </c>
      <c r="J77" s="46">
        <f t="shared" si="79"/>
        <v>13.5</v>
      </c>
      <c r="K77" s="46">
        <f t="shared" si="79"/>
        <v>13.5</v>
      </c>
      <c r="L77" s="46">
        <f t="shared" si="79"/>
        <v>13.5</v>
      </c>
      <c r="M77" s="46">
        <f t="shared" si="79"/>
        <v>13.5</v>
      </c>
      <c r="N77" s="46">
        <f t="shared" si="79"/>
        <v>13.5</v>
      </c>
      <c r="O77" s="46">
        <f t="shared" si="79"/>
        <v>13.5</v>
      </c>
      <c r="P77" s="46">
        <f t="shared" si="79"/>
        <v>13.5</v>
      </c>
      <c r="Q77" s="46">
        <f t="shared" si="79"/>
        <v>17</v>
      </c>
      <c r="R77" s="46">
        <f t="shared" si="79"/>
        <v>12</v>
      </c>
      <c r="S77" s="46">
        <f t="shared" si="79"/>
        <v>12</v>
      </c>
      <c r="T77" s="46">
        <f t="shared" si="79"/>
        <v>12</v>
      </c>
      <c r="U77" s="46">
        <f t="shared" si="79"/>
        <v>12</v>
      </c>
      <c r="V77" s="46">
        <f t="shared" si="79"/>
        <v>12</v>
      </c>
      <c r="W77" s="46">
        <f t="shared" si="79"/>
        <v>12</v>
      </c>
      <c r="X77" s="46">
        <f t="shared" si="79"/>
        <v>13.5</v>
      </c>
      <c r="Y77" s="46">
        <f t="shared" si="79"/>
        <v>13.5</v>
      </c>
      <c r="Z77" s="46">
        <f t="shared" si="79"/>
        <v>8.5</v>
      </c>
      <c r="AA77" s="46">
        <f t="shared" si="79"/>
        <v>8.5</v>
      </c>
      <c r="AB77" s="46">
        <f t="shared" si="79"/>
        <v>8.5</v>
      </c>
      <c r="AC77" s="46">
        <f t="shared" si="79"/>
        <v>8.5</v>
      </c>
      <c r="AD77" s="46">
        <f t="shared" si="79"/>
        <v>8.5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0.86</v>
      </c>
      <c r="C81" s="186">
        <f>[1]Protect!$B$10</f>
        <v>4</v>
      </c>
      <c r="D81" s="168"/>
      <c r="E81" s="168"/>
      <c r="F81" s="169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3</v>
      </c>
      <c r="AW81" s="169">
        <f t="shared" si="92"/>
        <v>3</v>
      </c>
      <c r="AX81" s="169">
        <f t="shared" si="92"/>
        <v>3</v>
      </c>
      <c r="AY81" s="169">
        <f t="shared" si="92"/>
        <v>2</v>
      </c>
      <c r="AZ81" s="169">
        <f t="shared" si="92"/>
        <v>2</v>
      </c>
      <c r="BA81" s="169">
        <f t="shared" si="92"/>
        <v>2</v>
      </c>
      <c r="BB81" s="169">
        <f t="shared" si="92"/>
        <v>2</v>
      </c>
      <c r="BC81" s="169">
        <f t="shared" si="92"/>
        <v>2</v>
      </c>
      <c r="BD81" s="169">
        <f t="shared" si="92"/>
        <v>2</v>
      </c>
      <c r="BE81" s="169">
        <f t="shared" si="92"/>
        <v>2</v>
      </c>
      <c r="BF81" s="169">
        <f t="shared" si="92"/>
        <v>2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2</v>
      </c>
      <c r="BN81" s="169">
        <f t="shared" si="92"/>
        <v>2</v>
      </c>
      <c r="BO81" s="169">
        <f t="shared" si="92"/>
        <v>2</v>
      </c>
      <c r="BP81" s="169">
        <f t="shared" si="92"/>
        <v>2</v>
      </c>
      <c r="BQ81" s="169">
        <f t="shared" si="92"/>
        <v>2</v>
      </c>
      <c r="BR81" s="169">
        <f t="shared" si="92"/>
        <v>3</v>
      </c>
      <c r="BS81" s="169">
        <f t="shared" si="92"/>
        <v>3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5.8479999999999999</v>
      </c>
      <c r="C83" s="186">
        <f>[1]Protect!$B$24+[1]Protect!$B$26</f>
        <v>0.33</v>
      </c>
      <c r="D83" s="168"/>
      <c r="E83" s="168"/>
      <c r="F83" s="169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1</v>
      </c>
      <c r="AW83" s="169">
        <f t="shared" si="98"/>
        <v>1</v>
      </c>
      <c r="AX83" s="169">
        <f t="shared" si="98"/>
        <v>1</v>
      </c>
      <c r="AY83" s="169">
        <f t="shared" si="98"/>
        <v>2</v>
      </c>
      <c r="AZ83" s="169">
        <f t="shared" si="98"/>
        <v>2</v>
      </c>
      <c r="BA83" s="169">
        <f t="shared" si="98"/>
        <v>2</v>
      </c>
      <c r="BB83" s="169">
        <f t="shared" si="98"/>
        <v>2</v>
      </c>
      <c r="BC83" s="169">
        <f t="shared" si="98"/>
        <v>2</v>
      </c>
      <c r="BD83" s="169">
        <f t="shared" si="98"/>
        <v>2</v>
      </c>
      <c r="BE83" s="169">
        <f t="shared" si="98"/>
        <v>2</v>
      </c>
      <c r="BF83" s="169">
        <f t="shared" si="98"/>
        <v>1</v>
      </c>
      <c r="BG83" s="169">
        <f t="shared" si="98"/>
        <v>1</v>
      </c>
      <c r="BH83" s="169">
        <f t="shared" si="98"/>
        <v>1</v>
      </c>
      <c r="BI83" s="169">
        <f t="shared" si="98"/>
        <v>1</v>
      </c>
      <c r="BJ83" s="169">
        <f t="shared" si="98"/>
        <v>1</v>
      </c>
      <c r="BK83" s="169">
        <f t="shared" si="98"/>
        <v>1</v>
      </c>
      <c r="BL83" s="169">
        <f t="shared" si="98"/>
        <v>1</v>
      </c>
      <c r="BM83" s="169">
        <f t="shared" si="98"/>
        <v>2</v>
      </c>
      <c r="BN83" s="169">
        <f t="shared" si="98"/>
        <v>2</v>
      </c>
      <c r="BO83" s="169">
        <f t="shared" si="98"/>
        <v>1</v>
      </c>
      <c r="BP83" s="169">
        <f t="shared" si="98"/>
        <v>1</v>
      </c>
      <c r="BQ83" s="169">
        <f t="shared" si="98"/>
        <v>1</v>
      </c>
      <c r="BR83" s="169">
        <f t="shared" si="98"/>
        <v>1</v>
      </c>
      <c r="BS83" s="169">
        <f t="shared" si="98"/>
        <v>1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4.7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23</v>
      </c>
      <c r="BC85" s="62">
        <f t="shared" si="104"/>
        <v>23</v>
      </c>
      <c r="BD85" s="62">
        <f t="shared" si="104"/>
        <v>23</v>
      </c>
      <c r="BE85" s="62">
        <f t="shared" si="104"/>
        <v>23</v>
      </c>
      <c r="BF85" s="62">
        <f t="shared" si="104"/>
        <v>23</v>
      </c>
      <c r="BG85" s="62">
        <f t="shared" si="104"/>
        <v>22</v>
      </c>
      <c r="BH85" s="62">
        <f t="shared" si="104"/>
        <v>22</v>
      </c>
      <c r="BI85" s="62">
        <f t="shared" si="104"/>
        <v>22</v>
      </c>
      <c r="BJ85" s="62">
        <f t="shared" si="104"/>
        <v>22</v>
      </c>
      <c r="BK85" s="62">
        <f t="shared" si="104"/>
        <v>22</v>
      </c>
      <c r="BL85" s="62">
        <f t="shared" si="104"/>
        <v>22</v>
      </c>
      <c r="BM85" s="62">
        <f t="shared" si="104"/>
        <v>23</v>
      </c>
      <c r="BN85" s="62">
        <f t="shared" si="104"/>
        <v>23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0.60000000000000009</v>
      </c>
      <c r="C86" s="170"/>
      <c r="D86" s="170"/>
      <c r="E86" s="170"/>
      <c r="F86" s="169">
        <f>B86*[1]Eco!$B$108*[1]Eco!$B$109</f>
        <v>144.00000000000003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42</v>
      </c>
      <c r="BC86" s="186">
        <f>IF(BC85=0,0,HLOOKUP(BC85,[1]Trav!$C$39:$G$59,$AU$105))</f>
        <v>42</v>
      </c>
      <c r="BD86" s="186">
        <f>IF(BD85=0,0,HLOOKUP(BD85,[1]Trav!$C$39:$G$59,$AU$105))</f>
        <v>42</v>
      </c>
      <c r="BE86" s="186">
        <f>IF(BE85=0,0,HLOOKUP(BE85,[1]Trav!$C$39:$G$59,$AU$105))</f>
        <v>42</v>
      </c>
      <c r="BF86" s="186">
        <f>IF(BF85=0,0,HLOOKUP(BF85,[1]Trav!$C$39:$G$59,$AU$105))</f>
        <v>42</v>
      </c>
      <c r="BG86" s="186">
        <f>IF(BG85=0,0,HLOOKUP(BG85,[1]Trav!$C$39:$G$59,$AU$105))</f>
        <v>21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21</v>
      </c>
      <c r="BM86" s="186">
        <f>IF(BM85=0,0,HLOOKUP(BM85,[1]Trav!$C$39:$G$59,$AU$105))</f>
        <v>42</v>
      </c>
      <c r="BN86" s="186">
        <f>IF(BN85=0,0,HLOOKUP(BN85,[1]Trav!$C$39:$G$59,$AU$105))</f>
        <v>42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1.75</v>
      </c>
      <c r="BH87" s="186">
        <f>IF(BH85=0,0,HLOOKUP(BH85,[1]Trav!$C$62:$G$82,$AU$105))</f>
        <v>1.75</v>
      </c>
      <c r="BI87" s="186">
        <f>IF(BI85=0,0,HLOOKUP(BI85,[1]Trav!$C$62:$G$82,$AU$105))</f>
        <v>1.75</v>
      </c>
      <c r="BJ87" s="186">
        <f>IF(BJ85=0,0,HLOOKUP(BJ85,[1]Trav!$C$62:$G$82,$AU$105))</f>
        <v>1.75</v>
      </c>
      <c r="BK87" s="186">
        <f>IF(BK85=0,0,HLOOKUP(BK85,[1]Trav!$C$62:$G$82,$AU$105))</f>
        <v>1.75</v>
      </c>
      <c r="BL87" s="186">
        <f>IF(BL85=0,0,HLOOKUP(BL85,[1]Trav!$C$62:$G$82,$AU$105))</f>
        <v>1.75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190.11250000000001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177.55</v>
      </c>
      <c r="BN90" s="169">
        <f t="shared" si="108"/>
        <v>177.55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1644.8486250000001</v>
      </c>
      <c r="C91" s="5"/>
      <c r="D91" s="184">
        <f>B91/Troupeau!$B$17</f>
        <v>6.1374948694029854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66.162499999999994</v>
      </c>
      <c r="AW91" s="169">
        <f t="shared" si="113"/>
        <v>66.162499999999994</v>
      </c>
      <c r="AX91" s="169">
        <f t="shared" si="113"/>
        <v>66.162499999999994</v>
      </c>
      <c r="AY91" s="169">
        <f t="shared" si="113"/>
        <v>66.162499999999994</v>
      </c>
      <c r="AZ91" s="169">
        <f t="shared" si="113"/>
        <v>66.162499999999994</v>
      </c>
      <c r="BA91" s="169">
        <f t="shared" si="113"/>
        <v>66.162499999999994</v>
      </c>
      <c r="BB91" s="169">
        <f t="shared" si="113"/>
        <v>66.162499999999994</v>
      </c>
      <c r="BC91" s="169">
        <f t="shared" si="113"/>
        <v>66.162499999999994</v>
      </c>
      <c r="BD91" s="169">
        <f t="shared" si="113"/>
        <v>66.162499999999994</v>
      </c>
      <c r="BE91" s="169">
        <f t="shared" si="113"/>
        <v>66.162499999999994</v>
      </c>
      <c r="BF91" s="169">
        <f t="shared" si="113"/>
        <v>0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53.6</v>
      </c>
      <c r="BN91" s="169">
        <f t="shared" si="113"/>
        <v>53.6</v>
      </c>
      <c r="BO91" s="169">
        <f t="shared" si="113"/>
        <v>53.6</v>
      </c>
      <c r="BP91" s="169">
        <f t="shared" si="113"/>
        <v>66.162499999999994</v>
      </c>
      <c r="BQ91" s="169">
        <f t="shared" si="113"/>
        <v>66.162499999999994</v>
      </c>
      <c r="BR91" s="169">
        <f t="shared" si="113"/>
        <v>66.162499999999994</v>
      </c>
      <c r="BS91" s="169">
        <f t="shared" si="113"/>
        <v>66.162499999999994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5.0250000000000004</v>
      </c>
      <c r="AW93" s="169">
        <f t="shared" si="119"/>
        <v>5.0250000000000004</v>
      </c>
      <c r="AX93" s="169">
        <f t="shared" si="119"/>
        <v>5.0250000000000004</v>
      </c>
      <c r="AY93" s="169">
        <f t="shared" si="119"/>
        <v>5.0250000000000004</v>
      </c>
      <c r="AZ93" s="169">
        <f t="shared" si="119"/>
        <v>5.0250000000000004</v>
      </c>
      <c r="BA93" s="169">
        <f t="shared" si="119"/>
        <v>5.0250000000000004</v>
      </c>
      <c r="BB93" s="169">
        <f t="shared" si="119"/>
        <v>5.0250000000000004</v>
      </c>
      <c r="BC93" s="169">
        <f t="shared" si="119"/>
        <v>5.0250000000000004</v>
      </c>
      <c r="BD93" s="169">
        <f t="shared" si="119"/>
        <v>5.0250000000000004</v>
      </c>
      <c r="BE93" s="169">
        <f t="shared" si="119"/>
        <v>5.0250000000000004</v>
      </c>
      <c r="BF93" s="169">
        <f t="shared" si="119"/>
        <v>5.0250000000000004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0.83750000000000002</v>
      </c>
      <c r="BN93" s="169">
        <f t="shared" si="119"/>
        <v>0.83750000000000002</v>
      </c>
      <c r="BO93" s="169">
        <f t="shared" si="119"/>
        <v>5.0250000000000004</v>
      </c>
      <c r="BP93" s="169">
        <f t="shared" si="119"/>
        <v>5.0250000000000004</v>
      </c>
      <c r="BQ93" s="169">
        <f t="shared" si="119"/>
        <v>5.0250000000000004</v>
      </c>
      <c r="BR93" s="169">
        <f t="shared" si="119"/>
        <v>5.0250000000000004</v>
      </c>
      <c r="BS93" s="169">
        <f t="shared" si="119"/>
        <v>5.0250000000000004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1644.8486250000001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16.75</v>
      </c>
      <c r="BH94" s="169">
        <f t="shared" si="122"/>
        <v>16.75</v>
      </c>
      <c r="BI94" s="169">
        <f t="shared" si="122"/>
        <v>16.75</v>
      </c>
      <c r="BJ94" s="169">
        <f t="shared" si="122"/>
        <v>16.75</v>
      </c>
      <c r="BK94" s="169">
        <f t="shared" si="122"/>
        <v>16.75</v>
      </c>
      <c r="BL94" s="169">
        <f t="shared" si="122"/>
        <v>16.75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134.4</v>
      </c>
      <c r="C95" s="5"/>
      <c r="D95" s="184">
        <f>B95/Troupeau!$B$17</f>
        <v>0.50149253731343291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134.4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326.625</v>
      </c>
      <c r="AW99" s="62">
        <f t="shared" si="137"/>
        <v>324.95</v>
      </c>
      <c r="AX99" s="62">
        <f t="shared" si="137"/>
        <v>323.27499999999998</v>
      </c>
      <c r="AY99" s="62">
        <f t="shared" si="137"/>
        <v>321.60000000000002</v>
      </c>
      <c r="AZ99" s="62">
        <f t="shared" si="137"/>
        <v>319.92499999999995</v>
      </c>
      <c r="BA99" s="62">
        <f t="shared" si="137"/>
        <v>319.08749999999998</v>
      </c>
      <c r="BB99" s="62">
        <f t="shared" si="137"/>
        <v>318.25</v>
      </c>
      <c r="BC99" s="62">
        <f t="shared" si="137"/>
        <v>317.41250000000002</v>
      </c>
      <c r="BD99" s="62">
        <f t="shared" si="137"/>
        <v>316.57499999999999</v>
      </c>
      <c r="BE99" s="62">
        <f t="shared" si="137"/>
        <v>315.73749999999995</v>
      </c>
      <c r="BF99" s="62">
        <f t="shared" si="137"/>
        <v>248.73750000000001</v>
      </c>
      <c r="BG99" s="62">
        <f t="shared" si="137"/>
        <v>16.75</v>
      </c>
      <c r="BH99" s="62">
        <f t="shared" si="137"/>
        <v>16.75</v>
      </c>
      <c r="BI99" s="62">
        <f t="shared" si="137"/>
        <v>16.75</v>
      </c>
      <c r="BJ99" s="62">
        <f t="shared" si="137"/>
        <v>16.75</v>
      </c>
      <c r="BK99" s="62">
        <f t="shared" si="137"/>
        <v>16.75</v>
      </c>
      <c r="BL99" s="62">
        <f t="shared" si="137"/>
        <v>16.75</v>
      </c>
      <c r="BM99" s="62">
        <f t="shared" si="137"/>
        <v>285.58749999999998</v>
      </c>
      <c r="BN99" s="62">
        <f t="shared" si="137"/>
        <v>285.58749999999998</v>
      </c>
      <c r="BO99" s="62">
        <f t="shared" si="137"/>
        <v>273.02499999999998</v>
      </c>
      <c r="BP99" s="62">
        <f t="shared" si="137"/>
        <v>273.02499999999998</v>
      </c>
      <c r="BQ99" s="62">
        <f t="shared" si="137"/>
        <v>273.02499999999998</v>
      </c>
      <c r="BR99" s="62">
        <f t="shared" si="137"/>
        <v>326.625</v>
      </c>
      <c r="BS99" s="62">
        <f t="shared" si="137"/>
        <v>326.625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6.5324999999999998</v>
      </c>
      <c r="AW100" s="169">
        <f t="shared" si="140"/>
        <v>6.4989999999999997</v>
      </c>
      <c r="AX100" s="169">
        <f t="shared" si="140"/>
        <v>6.4654999999999996</v>
      </c>
      <c r="AY100" s="169">
        <f t="shared" si="140"/>
        <v>6.4320000000000004</v>
      </c>
      <c r="AZ100" s="169">
        <f t="shared" si="140"/>
        <v>6.3984999999999994</v>
      </c>
      <c r="BA100" s="169">
        <f t="shared" si="140"/>
        <v>6.3817499999999994</v>
      </c>
      <c r="BB100" s="169">
        <f t="shared" si="140"/>
        <v>6.3650000000000002</v>
      </c>
      <c r="BC100" s="169">
        <f t="shared" si="140"/>
        <v>6.3482500000000002</v>
      </c>
      <c r="BD100" s="169">
        <f t="shared" si="140"/>
        <v>6.3315000000000001</v>
      </c>
      <c r="BE100" s="169">
        <f t="shared" si="140"/>
        <v>6.3147499999999992</v>
      </c>
      <c r="BF100" s="169">
        <f t="shared" si="140"/>
        <v>4.9747500000000002</v>
      </c>
      <c r="BG100" s="169">
        <f t="shared" si="140"/>
        <v>0.33500000000000002</v>
      </c>
      <c r="BH100" s="169">
        <f t="shared" si="140"/>
        <v>0.33500000000000002</v>
      </c>
      <c r="BI100" s="169">
        <f t="shared" si="140"/>
        <v>0.33500000000000002</v>
      </c>
      <c r="BJ100" s="169">
        <f t="shared" si="140"/>
        <v>0.33500000000000002</v>
      </c>
      <c r="BK100" s="169">
        <f t="shared" si="140"/>
        <v>0.33500000000000002</v>
      </c>
      <c r="BL100" s="169">
        <f t="shared" si="140"/>
        <v>0.33500000000000002</v>
      </c>
      <c r="BM100" s="169">
        <f t="shared" si="140"/>
        <v>5.7117499999999994</v>
      </c>
      <c r="BN100" s="169">
        <f t="shared" si="140"/>
        <v>5.7117499999999994</v>
      </c>
      <c r="BO100" s="169">
        <f t="shared" si="140"/>
        <v>5.4604999999999997</v>
      </c>
      <c r="BP100" s="169">
        <f t="shared" si="140"/>
        <v>5.4604999999999997</v>
      </c>
      <c r="BQ100" s="169">
        <f t="shared" si="140"/>
        <v>5.4604999999999997</v>
      </c>
      <c r="BR100" s="169">
        <f t="shared" si="140"/>
        <v>6.5324999999999998</v>
      </c>
      <c r="BS100" s="169">
        <f t="shared" si="140"/>
        <v>6.5324999999999998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5.5324999999999998</v>
      </c>
      <c r="AW101" s="169">
        <f t="shared" si="143"/>
        <v>5.4989999999999997</v>
      </c>
      <c r="AX101" s="169">
        <f t="shared" si="143"/>
        <v>5.4654999999999996</v>
      </c>
      <c r="AY101" s="169">
        <f t="shared" si="143"/>
        <v>5.4320000000000004</v>
      </c>
      <c r="AZ101" s="169">
        <f t="shared" si="143"/>
        <v>5.3984999999999994</v>
      </c>
      <c r="BA101" s="169">
        <f t="shared" si="143"/>
        <v>5.3817499999999994</v>
      </c>
      <c r="BB101" s="169">
        <f t="shared" si="143"/>
        <v>5.3650000000000002</v>
      </c>
      <c r="BC101" s="169">
        <f t="shared" si="143"/>
        <v>5.3482500000000002</v>
      </c>
      <c r="BD101" s="169">
        <f t="shared" si="143"/>
        <v>5.3315000000000001</v>
      </c>
      <c r="BE101" s="169">
        <f t="shared" si="143"/>
        <v>5.3147499999999992</v>
      </c>
      <c r="BF101" s="169">
        <f t="shared" si="143"/>
        <v>3.9747500000000002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4.7117499999999994</v>
      </c>
      <c r="BN101" s="169">
        <f t="shared" si="143"/>
        <v>4.7117499999999994</v>
      </c>
      <c r="BO101" s="169">
        <f t="shared" si="143"/>
        <v>4.4604999999999997</v>
      </c>
      <c r="BP101" s="169">
        <f t="shared" si="143"/>
        <v>4.4604999999999997</v>
      </c>
      <c r="BQ101" s="169">
        <f t="shared" si="143"/>
        <v>4.4604999999999997</v>
      </c>
      <c r="BR101" s="169">
        <f t="shared" si="143"/>
        <v>5.5324999999999998</v>
      </c>
      <c r="BS101" s="169">
        <f t="shared" si="143"/>
        <v>5.5324999999999998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51.681874999999998</v>
      </c>
      <c r="AW102" s="62">
        <f t="shared" si="146"/>
        <v>51.623249999999999</v>
      </c>
      <c r="AX102" s="62">
        <f t="shared" si="146"/>
        <v>51.564624999999999</v>
      </c>
      <c r="AY102" s="62">
        <f t="shared" si="146"/>
        <v>51.506</v>
      </c>
      <c r="AZ102" s="62">
        <f t="shared" si="146"/>
        <v>51.447375000000001</v>
      </c>
      <c r="BA102" s="62">
        <f t="shared" si="146"/>
        <v>51.418062499999998</v>
      </c>
      <c r="BB102" s="62">
        <f t="shared" si="146"/>
        <v>51.388750000000002</v>
      </c>
      <c r="BC102" s="62">
        <f t="shared" si="146"/>
        <v>51.359437499999999</v>
      </c>
      <c r="BD102" s="62">
        <f t="shared" si="146"/>
        <v>51.330125000000002</v>
      </c>
      <c r="BE102" s="62">
        <f t="shared" si="146"/>
        <v>51.300812499999999</v>
      </c>
      <c r="BF102" s="62">
        <f t="shared" si="146"/>
        <v>48.9558125</v>
      </c>
      <c r="BG102" s="62">
        <f t="shared" si="146"/>
        <v>21</v>
      </c>
      <c r="BH102" s="62">
        <f t="shared" si="146"/>
        <v>21</v>
      </c>
      <c r="BI102" s="62">
        <f t="shared" si="146"/>
        <v>21</v>
      </c>
      <c r="BJ102" s="62">
        <f t="shared" si="146"/>
        <v>21</v>
      </c>
      <c r="BK102" s="62">
        <f t="shared" si="146"/>
        <v>21</v>
      </c>
      <c r="BL102" s="62">
        <f t="shared" si="146"/>
        <v>21</v>
      </c>
      <c r="BM102" s="62">
        <f t="shared" si="146"/>
        <v>50.245562499999998</v>
      </c>
      <c r="BN102" s="62">
        <f t="shared" si="146"/>
        <v>50.245562499999998</v>
      </c>
      <c r="BO102" s="62">
        <f t="shared" si="146"/>
        <v>49.805875</v>
      </c>
      <c r="BP102" s="62">
        <f t="shared" si="146"/>
        <v>49.805875</v>
      </c>
      <c r="BQ102" s="62">
        <f t="shared" si="146"/>
        <v>49.805875</v>
      </c>
      <c r="BR102" s="62">
        <f t="shared" si="146"/>
        <v>51.681874999999998</v>
      </c>
      <c r="BS102" s="62">
        <f t="shared" si="146"/>
        <v>51.681874999999998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14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14</v>
      </c>
      <c r="BN106" s="186">
        <f>IF(BN60&gt;0,HLOOKUP(BN60,[1]Trav!$C$11:$O$31,$AU$105),0)</f>
        <v>14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21</v>
      </c>
      <c r="AW107" s="186">
        <f>IF(AW61&gt;0,HLOOKUP(AW61,[1]Trav!$C$11:$O$31,$AU$105),0)</f>
        <v>21</v>
      </c>
      <c r="AX107" s="186">
        <f>IF(AX61&gt;0,HLOOKUP(AX61,[1]Trav!$C$11:$O$31,$AU$105),0)</f>
        <v>14</v>
      </c>
      <c r="AY107" s="186">
        <f>IF(AY61&gt;0,HLOOKUP(AY61,[1]Trav!$C$11:$O$31,$AU$105),0)</f>
        <v>14</v>
      </c>
      <c r="AZ107" s="186">
        <f>IF(AZ61&gt;0,HLOOKUP(AZ61,[1]Trav!$C$11:$O$31,$AU$105),0)</f>
        <v>21</v>
      </c>
      <c r="BA107" s="186">
        <f>IF(BA61&gt;0,HLOOKUP(BA61,[1]Trav!$C$11:$O$31,$AU$105),0)</f>
        <v>21</v>
      </c>
      <c r="BB107" s="186">
        <f>IF(BB61&gt;0,HLOOKUP(BB61,[1]Trav!$C$11:$O$31,$AU$105),0)</f>
        <v>21</v>
      </c>
      <c r="BC107" s="186">
        <f>IF(BC61&gt;0,HLOOKUP(BC61,[1]Trav!$C$11:$O$31,$AU$105),0)</f>
        <v>21</v>
      </c>
      <c r="BD107" s="186">
        <f>IF(BD61&gt;0,HLOOKUP(BD61,[1]Trav!$C$11:$O$31,$AU$105),0)</f>
        <v>21</v>
      </c>
      <c r="BE107" s="186">
        <f>IF(BE61&gt;0,HLOOKUP(BE61,[1]Trav!$C$11:$O$31,$AU$105),0)</f>
        <v>21</v>
      </c>
      <c r="BF107" s="186">
        <f>IF(BF61&gt;0,HLOOKUP(BF61,[1]Trav!$C$11:$O$31,$AU$105),0)</f>
        <v>28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21</v>
      </c>
      <c r="BN107" s="186">
        <f>IF(BN61&gt;0,HLOOKUP(BN61,[1]Trav!$C$11:$O$31,$AU$105),0)</f>
        <v>21</v>
      </c>
      <c r="BO107" s="186">
        <f>IF(BO61&gt;0,HLOOKUP(BO61,[1]Trav!$C$11:$O$31,$AU$105),0)</f>
        <v>21</v>
      </c>
      <c r="BP107" s="186">
        <f>IF(BP61&gt;0,HLOOKUP(BP61,[1]Trav!$C$11:$O$31,$AU$105),0)</f>
        <v>21</v>
      </c>
      <c r="BQ107" s="186">
        <f>IF(BQ61&gt;0,HLOOKUP(BQ61,[1]Trav!$C$11:$O$31,$AU$105),0)</f>
        <v>21</v>
      </c>
      <c r="BR107" s="186">
        <f>IF(BR61&gt;0,HLOOKUP(BR61,[1]Trav!$C$11:$O$31,$AU$105),0)</f>
        <v>21</v>
      </c>
      <c r="BS107" s="186">
        <f>IF(BS61&gt;0,HLOOKUP(BS61,[1]Trav!$C$11:$O$31,$AU$105),0)</f>
        <v>21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228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0</v>
      </c>
      <c r="BC108" s="186">
        <f>IF(BC62&gt;0,HLOOKUP(BC62,[1]Trav!$C$11:$O$31,$AU$105),0)</f>
        <v>0</v>
      </c>
      <c r="BD108" s="186">
        <f>IF(BD62&gt;0,HLOOKUP(BD62,[1]Trav!$C$11:$O$31,$AU$105),0)</f>
        <v>0</v>
      </c>
      <c r="BE108" s="186">
        <f>IF(BE62&gt;0,HLOOKUP(BE62,[1]Trav!$C$11:$O$31,$AU$105),0)</f>
        <v>0</v>
      </c>
      <c r="BF108" s="186">
        <f>IF(BF62&gt;0,HLOOKUP(BF62,[1]Trav!$C$11:$O$31,$AU$105),0)</f>
        <v>0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0</v>
      </c>
      <c r="BN108" s="186">
        <f>IF(BN62&gt;0,HLOOKUP(BN62,[1]Trav!$C$11:$O$31,$AU$105),0)</f>
        <v>0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170</v>
      </c>
      <c r="D109" s="185"/>
      <c r="AT109" s="187" t="str">
        <f t="shared" si="149"/>
        <v>Béliers</v>
      </c>
      <c r="AV109" s="186">
        <f>IF(AV63&gt;0,HLOOKUP(AV63,[1]Trav!$C$11:$O$31,$AU$105),0)</f>
        <v>0</v>
      </c>
      <c r="AW109" s="186">
        <f>IF(AW63&gt;0,HLOOKUP(AW63,[1]Trav!$C$11:$O$31,$AU$105),0)</f>
        <v>0</v>
      </c>
      <c r="AX109" s="186">
        <f>IF(AX63&gt;0,HLOOKUP(AX63,[1]Trav!$C$11:$O$31,$AU$105),0)</f>
        <v>0</v>
      </c>
      <c r="AY109" s="186">
        <f>IF(AY63&gt;0,HLOOKUP(AY63,[1]Trav!$C$11:$O$31,$AU$105),0)</f>
        <v>0</v>
      </c>
      <c r="AZ109" s="186">
        <f>IF(AZ63&gt;0,HLOOKUP(AZ63,[1]Trav!$C$11:$O$31,$AU$105),0)</f>
        <v>0</v>
      </c>
      <c r="BA109" s="186">
        <f>IF(BA63&gt;0,HLOOKUP(BA63,[1]Trav!$C$11:$O$31,$AU$105),0)</f>
        <v>0</v>
      </c>
      <c r="BB109" s="186">
        <f>IF(BB63&gt;0,HLOOKUP(BB63,[1]Trav!$C$11:$O$31,$AU$105),0)</f>
        <v>0</v>
      </c>
      <c r="BC109" s="186">
        <f>IF(BC63&gt;0,HLOOKUP(BC63,[1]Trav!$C$11:$O$31,$AU$105),0)</f>
        <v>0</v>
      </c>
      <c r="BD109" s="186">
        <f>IF(BD63&gt;0,HLOOKUP(BD63,[1]Trav!$C$11:$O$31,$AU$105),0)</f>
        <v>0</v>
      </c>
      <c r="BE109" s="186">
        <f>IF(BE63&gt;0,HLOOKUP(BE63,[1]Trav!$C$11:$O$31,$AU$105),0)</f>
        <v>0</v>
      </c>
      <c r="BF109" s="186">
        <f>IF(BF63&gt;0,HLOOKUP(BF63,[1]Trav!$C$11:$O$31,$AU$105),0)</f>
        <v>0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0</v>
      </c>
      <c r="BN109" s="186">
        <f>IF(BN63&gt;0,HLOOKUP(BN63,[1]Trav!$C$11:$O$31,$AU$105),0)</f>
        <v>0</v>
      </c>
      <c r="BO109" s="186">
        <f>IF(BO63&gt;0,HLOOKUP(BO63,[1]Trav!$C$11:$O$31,$AU$105),0)</f>
        <v>0</v>
      </c>
      <c r="BP109" s="186">
        <f>IF(BP63&gt;0,HLOOKUP(BP63,[1]Trav!$C$11:$O$31,$AU$105),0)</f>
        <v>0</v>
      </c>
      <c r="BQ109" s="186">
        <f>IF(BQ63&gt;0,HLOOKUP(BQ63,[1]Trav!$C$11:$O$31,$AU$105),0)</f>
        <v>0</v>
      </c>
      <c r="BR109" s="186">
        <f>IF(BR63&gt;0,HLOOKUP(BR63,[1]Trav!$C$11:$O$31,$AU$105),0)</f>
        <v>0</v>
      </c>
      <c r="BS109" s="186">
        <f>IF(BS63&gt;0,HLOOKUP(BS63,[1]Trav!$C$11:$O$31,$AU$105),0)</f>
        <v>0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21</v>
      </c>
      <c r="BH110" s="186">
        <f>IF(BH64&gt;0,HLOOKUP(BH64,[1]Trav!$C$11:$O$31,$AU$105),0)</f>
        <v>14</v>
      </c>
      <c r="BI110" s="186">
        <f>IF(BI64&gt;0,HLOOKUP(BI64,[1]Trav!$C$11:$O$31,$AU$105),0)</f>
        <v>14</v>
      </c>
      <c r="BJ110" s="186">
        <f>IF(BJ64&gt;0,HLOOKUP(BJ64,[1]Trav!$C$11:$O$31,$AU$105),0)</f>
        <v>14</v>
      </c>
      <c r="BK110" s="186">
        <f>IF(BK64&gt;0,HLOOKUP(BK64,[1]Trav!$C$11:$O$31,$AU$105),0)</f>
        <v>14</v>
      </c>
      <c r="BL110" s="186">
        <f>IF(BL64&gt;0,HLOOKUP(BL64,[1]Trav!$C$11:$O$31,$AU$105),0)</f>
        <v>14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170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21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28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6.6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144.00000000000003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21</v>
      </c>
      <c r="AW117" s="169">
        <f t="shared" si="152"/>
        <v>21</v>
      </c>
      <c r="AX117" s="169">
        <f t="shared" si="152"/>
        <v>14</v>
      </c>
      <c r="AY117" s="169">
        <f t="shared" si="152"/>
        <v>28</v>
      </c>
      <c r="AZ117" s="169">
        <f t="shared" si="152"/>
        <v>35</v>
      </c>
      <c r="BA117" s="169">
        <f t="shared" si="152"/>
        <v>35</v>
      </c>
      <c r="BB117" s="169">
        <f t="shared" si="152"/>
        <v>35</v>
      </c>
      <c r="BC117" s="169">
        <f t="shared" si="152"/>
        <v>35</v>
      </c>
      <c r="BD117" s="169">
        <f t="shared" si="152"/>
        <v>35</v>
      </c>
      <c r="BE117" s="169">
        <f t="shared" si="152"/>
        <v>35</v>
      </c>
      <c r="BF117" s="169">
        <f t="shared" si="152"/>
        <v>42</v>
      </c>
      <c r="BG117" s="169">
        <f t="shared" si="152"/>
        <v>21</v>
      </c>
      <c r="BH117" s="169">
        <f t="shared" si="152"/>
        <v>14</v>
      </c>
      <c r="BI117" s="169">
        <f t="shared" si="152"/>
        <v>14</v>
      </c>
      <c r="BJ117" s="169">
        <f t="shared" si="152"/>
        <v>14</v>
      </c>
      <c r="BK117" s="169">
        <f t="shared" si="152"/>
        <v>14</v>
      </c>
      <c r="BL117" s="169">
        <f t="shared" si="152"/>
        <v>14</v>
      </c>
      <c r="BM117" s="169">
        <f t="shared" si="152"/>
        <v>35</v>
      </c>
      <c r="BN117" s="169">
        <f t="shared" si="152"/>
        <v>35</v>
      </c>
      <c r="BO117" s="169">
        <f t="shared" si="152"/>
        <v>21</v>
      </c>
      <c r="BP117" s="169">
        <f t="shared" si="152"/>
        <v>21</v>
      </c>
      <c r="BQ117" s="169">
        <f t="shared" si="152"/>
        <v>21</v>
      </c>
      <c r="BR117" s="169">
        <f t="shared" si="152"/>
        <v>21</v>
      </c>
      <c r="BS117" s="169">
        <f t="shared" si="152"/>
        <v>21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2845.1719583333334</v>
      </c>
      <c r="D118" s="184">
        <f>B118/Troupeau!$B$17</f>
        <v>10.616313277363185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2845.1719583333334</v>
      </c>
    </row>
    <row r="123" spans="1:132" x14ac:dyDescent="0.25">
      <c r="A123" s="2" t="s">
        <v>765</v>
      </c>
      <c r="B123" s="30">
        <f>B108</f>
        <v>228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191</v>
      </c>
    </row>
    <row r="126" spans="1:132" x14ac:dyDescent="0.25">
      <c r="A126" s="2" t="s">
        <v>762</v>
      </c>
      <c r="B126" s="30">
        <f>B114+B115+B116</f>
        <v>178.60000000000002</v>
      </c>
    </row>
    <row r="128" spans="1:132" x14ac:dyDescent="0.25">
      <c r="A128" s="2" t="s">
        <v>761</v>
      </c>
      <c r="B128" s="183">
        <f>SUM(B122:B126)</f>
        <v>3882.7719583333333</v>
      </c>
    </row>
    <row r="129" spans="1:2" x14ac:dyDescent="0.25">
      <c r="A129" s="2" t="s">
        <v>760</v>
      </c>
      <c r="B129" s="30">
        <f>IF(Scénario!K129=1,Travail!F77+Travail!F86,F86)</f>
        <v>422.5</v>
      </c>
    </row>
    <row r="130" spans="1:2" x14ac:dyDescent="0.25">
      <c r="A130" s="2" t="s">
        <v>759</v>
      </c>
      <c r="B130" s="183">
        <f>ROUND((B128-B129)/(Scénario!K4+Scénario!K6),0)</f>
        <v>3460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K239" zoomScale="90" zoomScaleNormal="90" workbookViewId="0">
      <selection activeCell="V265" sqref="V26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5945.6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84814.580000000016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2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0</v>
      </c>
      <c r="BC50" s="237">
        <f>IF(CdTrp1!I78=1,1,IF(CdTrp1!I78=2,2,IF(CdTrp1!I78=3,2,0)))</f>
        <v>0</v>
      </c>
      <c r="BD50" s="237">
        <f>IF(CdTrp1!J78=1,1,IF(CdTrp1!J78=2,2,IF(CdTrp1!J78=3,2,0)))</f>
        <v>0</v>
      </c>
      <c r="BE50" s="237">
        <f>IF(CdTrp1!K78=1,1,IF(CdTrp1!K78=2,2,IF(CdTrp1!K78=3,2,0)))</f>
        <v>0</v>
      </c>
      <c r="BF50" s="237">
        <f>IF(CdTrp1!L78=1,1,IF(CdTrp1!L78=2,2,IF(CdTrp1!L78=3,2,0)))</f>
        <v>0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0</v>
      </c>
      <c r="BN50" s="237">
        <f>IF(CdTrp1!T78=1,1,IF(CdTrp1!T78=2,2,IF(CdTrp1!T78=3,2,0)))</f>
        <v>0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0</v>
      </c>
      <c r="AW51" s="237">
        <f>IF(CdTrp1!C79=1,1,IF(CdTrp1!C79=2,2,IF(CdTrp1!C79=3,2,0)))</f>
        <v>0</v>
      </c>
      <c r="AX51" s="237">
        <f>IF(CdTrp1!D79=1,1,IF(CdTrp1!D79=2,2,IF(CdTrp1!D79=3,2,0)))</f>
        <v>0</v>
      </c>
      <c r="AY51" s="237">
        <f>IF(CdTrp1!E79=1,1,IF(CdTrp1!E79=2,2,IF(CdTrp1!E79=3,2,0)))</f>
        <v>0</v>
      </c>
      <c r="AZ51" s="237">
        <f>IF(CdTrp1!F79=1,1,IF(CdTrp1!F79=2,2,IF(CdTrp1!F79=3,2,0)))</f>
        <v>0</v>
      </c>
      <c r="BA51" s="237">
        <f>IF(CdTrp1!G79=1,1,IF(CdTrp1!G79=2,2,IF(CdTrp1!G79=3,2,0)))</f>
        <v>0</v>
      </c>
      <c r="BB51" s="237">
        <f>IF(CdTrp1!H79=1,1,IF(CdTrp1!H79=2,2,IF(CdTrp1!H79=3,2,0)))</f>
        <v>0</v>
      </c>
      <c r="BC51" s="237">
        <f>IF(CdTrp1!I79=1,1,IF(CdTrp1!I79=2,2,IF(CdTrp1!I79=3,2,0)))</f>
        <v>0</v>
      </c>
      <c r="BD51" s="237">
        <f>IF(CdTrp1!J79=1,1,IF(CdTrp1!J79=2,2,IF(CdTrp1!J79=3,2,0)))</f>
        <v>0</v>
      </c>
      <c r="BE51" s="237">
        <f>IF(CdTrp1!K79=1,1,IF(CdTrp1!K79=2,2,IF(CdTrp1!K79=3,2,0)))</f>
        <v>0</v>
      </c>
      <c r="BF51" s="237">
        <f>IF(CdTrp1!L79=1,1,IF(CdTrp1!L79=2,2,IF(CdTrp1!L79=3,2,0)))</f>
        <v>0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0</v>
      </c>
      <c r="BN51" s="237">
        <f>IF(CdTrp1!T79=1,1,IF(CdTrp1!T79=2,2,IF(CdTrp1!T79=3,2,0)))</f>
        <v>0</v>
      </c>
      <c r="BO51" s="237">
        <f>IF(CdTrp1!U79=1,1,IF(CdTrp1!U79=2,2,IF(CdTrp1!U79=3,2,0)))</f>
        <v>0</v>
      </c>
      <c r="BP51" s="237">
        <f>IF(CdTrp1!V79=1,1,IF(CdTrp1!V79=2,2,IF(CdTrp1!V79=3,2,0)))</f>
        <v>0</v>
      </c>
      <c r="BQ51" s="237">
        <f>IF(CdTrp1!W79=1,1,IF(CdTrp1!W79=2,2,IF(CdTrp1!W79=3,2,0)))</f>
        <v>0</v>
      </c>
      <c r="BR51" s="237">
        <f>IF(CdTrp1!X79=1,1,IF(CdTrp1!X79=2,2,IF(CdTrp1!X79=3,2,0)))</f>
        <v>0</v>
      </c>
      <c r="BS51" s="237">
        <f>IF(CdTrp1!Y79=1,1,IF(CdTrp1!Y79=2,2,IF(CdTrp1!Y79=3,2,0)))</f>
        <v>0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38.94</v>
      </c>
      <c r="C118" s="186">
        <f>IF(Scénario!$K$12="BV",[1]Eco!$B$78,IF(Scénario!$K$12="BL",[1]Eco!$B$77,[1]Eco!$B$76))</f>
        <v>223</v>
      </c>
      <c r="J118" s="169">
        <f>B118*C118</f>
        <v>8683.619999999999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15.914999999999999</v>
      </c>
      <c r="C119" s="186">
        <f>[1]Eco!$B$79</f>
        <v>80</v>
      </c>
      <c r="J119" s="169">
        <f>B119*C119</f>
        <v>1273.1999999999998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5426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566.31999999999994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42622.917999999998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4.5</v>
      </c>
      <c r="X155" t="s">
        <v>52</v>
      </c>
      <c r="Y155" s="169">
        <f>W155-Scénario!K30</f>
        <v>1</v>
      </c>
      <c r="Z155" s="169">
        <f>Y155</f>
        <v>1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1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30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144.00000000000003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1530.7200000000005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292.09999999999997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3105.0229999999997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0.7</v>
      </c>
      <c r="T168" s="169">
        <f>VLOOKUP(R168,[1]MEP!$A$4:$M$300,13)</f>
        <v>2</v>
      </c>
      <c r="U168" s="169">
        <f t="shared" si="85"/>
        <v>0.7</v>
      </c>
      <c r="V168" s="169">
        <f t="shared" si="86"/>
        <v>0.7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0.7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0.7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240</v>
      </c>
      <c r="S169" s="169">
        <f>'Alim -Surf'!R12</f>
        <v>1</v>
      </c>
      <c r="T169" s="169">
        <f>VLOOKUP(R169,[1]MEP!$A$4:$M$300,13)</f>
        <v>3</v>
      </c>
      <c r="U169" s="169">
        <f t="shared" si="85"/>
        <v>1</v>
      </c>
      <c r="V169" s="169">
        <f t="shared" si="86"/>
        <v>1</v>
      </c>
      <c r="W169" s="169">
        <f t="shared" si="87"/>
        <v>1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1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1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19805.207000000002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22386.455000000016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22386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2464.3393952707688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11922.115604729248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11922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4.5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5848</v>
      </c>
      <c r="U234" t="s">
        <v>927</v>
      </c>
      <c r="V234" s="169"/>
      <c r="W234" s="169">
        <f>[1]Protect!$B$4</f>
        <v>6</v>
      </c>
      <c r="X234" s="169">
        <f>T234*W234</f>
        <v>35088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0.2</v>
      </c>
      <c r="W235" s="169">
        <f>[1]Protect!$B$83</f>
        <v>2000</v>
      </c>
      <c r="X235" s="169">
        <f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35488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19988</v>
      </c>
      <c r="AB237" s="30">
        <f>(Scénario!K127/100)*AA237</f>
        <v>0</v>
      </c>
      <c r="AC237" s="30">
        <f>AA237-AB237</f>
        <v>19988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2464.3393952707688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6</v>
      </c>
      <c r="X245" s="169">
        <f>ROUND((([1]Protect!$B$5/[1]Protect!$B$11)+[1]Protect!$B$8)*T245,0)</f>
        <v>5426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0.60000000000000009</v>
      </c>
      <c r="W246" s="169">
        <f>[1]Eco!$B$106*[1]Eco!$B$108*[1]Eco!$B$109</f>
        <v>2551.2000000000003</v>
      </c>
      <c r="X246" s="169">
        <f>T246*W246</f>
        <v>1530.7200000000005</v>
      </c>
    </row>
    <row r="247" spans="17:31" x14ac:dyDescent="0.25">
      <c r="S247" s="14" t="s">
        <v>921</v>
      </c>
      <c r="T247" s="30">
        <f>Travail!F16/8</f>
        <v>16.8</v>
      </c>
      <c r="W247" s="169">
        <f>[1]Eco!$B$111</f>
        <v>28.3</v>
      </c>
      <c r="X247" s="169">
        <f>T247*W247</f>
        <v>475.44000000000005</v>
      </c>
    </row>
    <row r="248" spans="17:31" x14ac:dyDescent="0.25">
      <c r="W248" s="14" t="s">
        <v>920</v>
      </c>
      <c r="X248" s="169">
        <f>SUM(X245:X247)</f>
        <v>7432.16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7432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1016.6666666666667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0</v>
      </c>
      <c r="U257" s="169">
        <f>IF(T257=0,0,[1]Protect!$B77)</f>
        <v>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1</v>
      </c>
      <c r="U258" s="169">
        <f>IF(T258=0,0,[1]Protect!$B78)</f>
        <v>20000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5945.6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5945.6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5945.6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87.72</v>
      </c>
      <c r="U272" s="169"/>
      <c r="V272" s="169"/>
      <c r="W272" s="169">
        <f>W234</f>
        <v>6</v>
      </c>
      <c r="X272" s="169">
        <f>T272*W272</f>
        <v>526.31999999999994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0.4</v>
      </c>
      <c r="U274" s="169"/>
      <c r="V274" s="169"/>
      <c r="W274" s="169">
        <f>W271</f>
        <v>100</v>
      </c>
      <c r="X274" s="169">
        <f>T274*W274</f>
        <v>40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E304" sqref="E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Z1_OL_T3_C1s2</v>
      </c>
      <c r="D1" s="268" t="str">
        <f>CONCATENATE(C1,"_corr")</f>
        <v>Z1_OL_T3_C1s2_corr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5</v>
      </c>
      <c r="D25" s="179">
        <f t="shared" si="0"/>
        <v>5</v>
      </c>
    </row>
    <row r="26" spans="2:5" x14ac:dyDescent="0.25">
      <c r="B26" s="14" t="s">
        <v>567</v>
      </c>
      <c r="C26" s="179" t="str">
        <f>Scénario!K57</f>
        <v>4. présence 1 éleveur</v>
      </c>
      <c r="D26" s="179" t="str">
        <f t="shared" si="0"/>
        <v>4. présence 1 éleveur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2</v>
      </c>
      <c r="D51" s="179">
        <f t="shared" si="1"/>
        <v>2</v>
      </c>
      <c r="E51" s="14"/>
    </row>
    <row r="52" spans="1:132" x14ac:dyDescent="0.25">
      <c r="B52" s="19" t="s">
        <v>528</v>
      </c>
      <c r="C52" s="179">
        <f>Scénario!K84</f>
        <v>2</v>
      </c>
      <c r="D52" s="179">
        <f t="shared" si="1"/>
        <v>2</v>
      </c>
      <c r="E52" s="14"/>
    </row>
    <row r="53" spans="1:132" x14ac:dyDescent="0.25">
      <c r="B53" s="14" t="s">
        <v>516</v>
      </c>
      <c r="C53" s="179">
        <f>Scénario!K88</f>
        <v>1</v>
      </c>
      <c r="D53" s="179">
        <f t="shared" si="1"/>
        <v>1</v>
      </c>
      <c r="E53" s="14"/>
    </row>
    <row r="54" spans="1:132" x14ac:dyDescent="0.25">
      <c r="B54" s="14" t="s">
        <v>512</v>
      </c>
      <c r="C54" s="179">
        <f>Scénario!K89</f>
        <v>1</v>
      </c>
      <c r="D54" s="179">
        <f t="shared" si="1"/>
        <v>1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1</v>
      </c>
      <c r="D59" s="179">
        <f t="shared" si="1"/>
        <v>1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1</v>
      </c>
      <c r="D61" s="179">
        <f t="shared" si="1"/>
        <v>1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4.5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fort</v>
      </c>
      <c r="AV88" s="169">
        <f t="shared" si="38"/>
        <v>2</v>
      </c>
      <c r="AW88" s="169">
        <f t="shared" si="38"/>
        <v>2</v>
      </c>
      <c r="AX88" s="169">
        <f t="shared" si="38"/>
        <v>2</v>
      </c>
      <c r="AY88" s="169">
        <f t="shared" si="38"/>
        <v>2</v>
      </c>
      <c r="AZ88" s="169">
        <f t="shared" si="38"/>
        <v>2</v>
      </c>
      <c r="BA88" s="169">
        <f t="shared" si="38"/>
        <v>2</v>
      </c>
      <c r="BB88" s="169">
        <f t="shared" si="38"/>
        <v>2</v>
      </c>
      <c r="BC88" s="169">
        <f t="shared" si="38"/>
        <v>2</v>
      </c>
      <c r="BD88" s="169">
        <f t="shared" si="38"/>
        <v>2</v>
      </c>
      <c r="BE88" s="169">
        <f t="shared" si="38"/>
        <v>2</v>
      </c>
      <c r="BF88" s="169">
        <f t="shared" si="39"/>
        <v>2</v>
      </c>
      <c r="BG88" s="169">
        <f t="shared" si="39"/>
        <v>2</v>
      </c>
      <c r="BH88" s="169">
        <f t="shared" si="39"/>
        <v>2</v>
      </c>
      <c r="BI88" s="169">
        <f t="shared" si="39"/>
        <v>2</v>
      </c>
      <c r="BJ88" s="169">
        <f t="shared" si="39"/>
        <v>2</v>
      </c>
      <c r="BK88" s="169">
        <f t="shared" si="39"/>
        <v>2</v>
      </c>
      <c r="BL88" s="169">
        <f t="shared" si="39"/>
        <v>2</v>
      </c>
      <c r="BM88" s="169">
        <f t="shared" si="39"/>
        <v>2</v>
      </c>
      <c r="BN88" s="169">
        <f t="shared" si="39"/>
        <v>2</v>
      </c>
      <c r="BO88" s="169">
        <f t="shared" si="39"/>
        <v>2</v>
      </c>
      <c r="BP88" s="169">
        <f t="shared" si="39"/>
        <v>2</v>
      </c>
      <c r="BQ88" s="169">
        <f t="shared" si="39"/>
        <v>2</v>
      </c>
      <c r="BR88" s="169">
        <f t="shared" si="39"/>
        <v>2</v>
      </c>
      <c r="BS88" s="169">
        <f t="shared" si="39"/>
        <v>2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0</v>
      </c>
      <c r="CC88" s="169">
        <f t="shared" si="41"/>
        <v>0</v>
      </c>
      <c r="CD88" s="169">
        <f t="shared" si="41"/>
        <v>0</v>
      </c>
      <c r="CE88" s="169">
        <f t="shared" si="41"/>
        <v>0</v>
      </c>
      <c r="CF88" s="169">
        <f t="shared" si="41"/>
        <v>0</v>
      </c>
      <c r="CG88" s="169">
        <f t="shared" si="41"/>
        <v>0</v>
      </c>
      <c r="CH88" s="169">
        <f t="shared" si="41"/>
        <v>0</v>
      </c>
      <c r="CI88" s="169">
        <f t="shared" si="41"/>
        <v>0</v>
      </c>
      <c r="CJ88" s="169">
        <f t="shared" si="41"/>
        <v>0</v>
      </c>
      <c r="CK88" s="169">
        <f t="shared" si="41"/>
        <v>0</v>
      </c>
      <c r="CL88" s="169">
        <f t="shared" si="42"/>
        <v>0</v>
      </c>
      <c r="CM88" s="169">
        <f t="shared" si="42"/>
        <v>0</v>
      </c>
      <c r="CN88" s="169">
        <f t="shared" si="42"/>
        <v>0</v>
      </c>
      <c r="CO88" s="169">
        <f t="shared" si="42"/>
        <v>0</v>
      </c>
      <c r="CP88" s="169">
        <f t="shared" si="42"/>
        <v>0</v>
      </c>
      <c r="CQ88" s="169">
        <f t="shared" si="42"/>
        <v>0</v>
      </c>
      <c r="CR88" s="169">
        <f t="shared" si="42"/>
        <v>0</v>
      </c>
      <c r="CS88" s="169">
        <f t="shared" si="42"/>
        <v>0</v>
      </c>
      <c r="CT88" s="169">
        <f t="shared" si="42"/>
        <v>0</v>
      </c>
      <c r="CU88" s="169">
        <f t="shared" si="42"/>
        <v>0</v>
      </c>
      <c r="CV88" s="169">
        <f t="shared" si="42"/>
        <v>0</v>
      </c>
      <c r="CW88" s="169">
        <f t="shared" si="42"/>
        <v>0</v>
      </c>
      <c r="CX88" s="169">
        <f t="shared" si="42"/>
        <v>0</v>
      </c>
      <c r="CY88" s="169">
        <f t="shared" si="42"/>
        <v>0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fort</v>
      </c>
      <c r="AV90" s="169">
        <f t="shared" si="38"/>
        <v>2</v>
      </c>
      <c r="AW90" s="169">
        <f t="shared" si="38"/>
        <v>2</v>
      </c>
      <c r="AX90" s="169">
        <f t="shared" si="38"/>
        <v>2</v>
      </c>
      <c r="AY90" s="169">
        <f t="shared" si="38"/>
        <v>2</v>
      </c>
      <c r="AZ90" s="169">
        <f t="shared" si="38"/>
        <v>2</v>
      </c>
      <c r="BA90" s="169">
        <f t="shared" si="38"/>
        <v>2</v>
      </c>
      <c r="BB90" s="169">
        <f t="shared" si="38"/>
        <v>2</v>
      </c>
      <c r="BC90" s="169">
        <f t="shared" si="38"/>
        <v>2</v>
      </c>
      <c r="BD90" s="169">
        <f t="shared" si="38"/>
        <v>2</v>
      </c>
      <c r="BE90" s="169">
        <f t="shared" si="38"/>
        <v>2</v>
      </c>
      <c r="BF90" s="169">
        <f t="shared" si="39"/>
        <v>2</v>
      </c>
      <c r="BG90" s="169">
        <f t="shared" si="39"/>
        <v>2</v>
      </c>
      <c r="BH90" s="169">
        <f t="shared" si="39"/>
        <v>2</v>
      </c>
      <c r="BI90" s="169">
        <f t="shared" si="39"/>
        <v>2</v>
      </c>
      <c r="BJ90" s="169">
        <f t="shared" si="39"/>
        <v>2</v>
      </c>
      <c r="BK90" s="169">
        <f t="shared" si="39"/>
        <v>2</v>
      </c>
      <c r="BL90" s="169">
        <f t="shared" si="39"/>
        <v>2</v>
      </c>
      <c r="BM90" s="169">
        <f t="shared" si="39"/>
        <v>2</v>
      </c>
      <c r="BN90" s="169">
        <f t="shared" si="39"/>
        <v>2</v>
      </c>
      <c r="BO90" s="169">
        <f t="shared" si="39"/>
        <v>2</v>
      </c>
      <c r="BP90" s="169">
        <f t="shared" si="39"/>
        <v>2</v>
      </c>
      <c r="BQ90" s="169">
        <f t="shared" si="39"/>
        <v>2</v>
      </c>
      <c r="BR90" s="169">
        <f t="shared" si="39"/>
        <v>2</v>
      </c>
      <c r="BS90" s="169">
        <f t="shared" si="39"/>
        <v>2</v>
      </c>
      <c r="BZ90" s="187" t="str">
        <f t="shared" si="40"/>
        <v>lot4</v>
      </c>
      <c r="CA90" s="197">
        <f>Scénario!K109</f>
        <v>0</v>
      </c>
      <c r="CB90" s="169">
        <f t="shared" si="41"/>
        <v>0</v>
      </c>
      <c r="CC90" s="169">
        <f t="shared" si="41"/>
        <v>0</v>
      </c>
      <c r="CD90" s="169">
        <f t="shared" si="41"/>
        <v>0</v>
      </c>
      <c r="CE90" s="169">
        <f t="shared" si="41"/>
        <v>0</v>
      </c>
      <c r="CF90" s="169">
        <f t="shared" si="41"/>
        <v>0</v>
      </c>
      <c r="CG90" s="169">
        <f t="shared" si="41"/>
        <v>0</v>
      </c>
      <c r="CH90" s="169">
        <f t="shared" si="41"/>
        <v>0</v>
      </c>
      <c r="CI90" s="169">
        <f t="shared" si="41"/>
        <v>0</v>
      </c>
      <c r="CJ90" s="169">
        <f t="shared" si="41"/>
        <v>0</v>
      </c>
      <c r="CK90" s="169">
        <f t="shared" si="41"/>
        <v>0</v>
      </c>
      <c r="CL90" s="169">
        <f t="shared" si="42"/>
        <v>0</v>
      </c>
      <c r="CM90" s="169">
        <f t="shared" si="42"/>
        <v>0</v>
      </c>
      <c r="CN90" s="169">
        <f t="shared" si="42"/>
        <v>0</v>
      </c>
      <c r="CO90" s="169">
        <f t="shared" si="42"/>
        <v>0</v>
      </c>
      <c r="CP90" s="169">
        <f t="shared" si="42"/>
        <v>0</v>
      </c>
      <c r="CQ90" s="169">
        <f t="shared" si="42"/>
        <v>0</v>
      </c>
      <c r="CR90" s="169">
        <f t="shared" si="42"/>
        <v>0</v>
      </c>
      <c r="CS90" s="169">
        <f t="shared" si="42"/>
        <v>0</v>
      </c>
      <c r="CT90" s="169">
        <f t="shared" si="42"/>
        <v>0</v>
      </c>
      <c r="CU90" s="169">
        <f t="shared" si="42"/>
        <v>0</v>
      </c>
      <c r="CV90" s="169">
        <f t="shared" si="42"/>
        <v>0</v>
      </c>
      <c r="CW90" s="169">
        <f t="shared" si="42"/>
        <v>0</v>
      </c>
      <c r="CX90" s="169">
        <f t="shared" si="42"/>
        <v>0</v>
      </c>
      <c r="CY90" s="169">
        <f t="shared" si="42"/>
        <v>0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fort</v>
      </c>
      <c r="AV91" s="169">
        <f t="shared" si="38"/>
        <v>2</v>
      </c>
      <c r="AW91" s="169">
        <f t="shared" si="38"/>
        <v>2</v>
      </c>
      <c r="AX91" s="169">
        <f t="shared" si="38"/>
        <v>2</v>
      </c>
      <c r="AY91" s="169">
        <f t="shared" si="38"/>
        <v>2</v>
      </c>
      <c r="AZ91" s="169">
        <f t="shared" si="38"/>
        <v>2</v>
      </c>
      <c r="BA91" s="169">
        <f t="shared" si="38"/>
        <v>2</v>
      </c>
      <c r="BB91" s="169">
        <f t="shared" si="38"/>
        <v>2</v>
      </c>
      <c r="BC91" s="169">
        <f t="shared" si="38"/>
        <v>2</v>
      </c>
      <c r="BD91" s="169">
        <f t="shared" si="38"/>
        <v>2</v>
      </c>
      <c r="BE91" s="169">
        <f t="shared" si="38"/>
        <v>2</v>
      </c>
      <c r="BF91" s="169">
        <f t="shared" si="39"/>
        <v>2</v>
      </c>
      <c r="BG91" s="169">
        <f t="shared" si="39"/>
        <v>2</v>
      </c>
      <c r="BH91" s="169">
        <f t="shared" si="39"/>
        <v>2</v>
      </c>
      <c r="BI91" s="169">
        <f t="shared" si="39"/>
        <v>2</v>
      </c>
      <c r="BJ91" s="169">
        <f t="shared" si="39"/>
        <v>2</v>
      </c>
      <c r="BK91" s="169">
        <f t="shared" si="39"/>
        <v>2</v>
      </c>
      <c r="BL91" s="169">
        <f t="shared" si="39"/>
        <v>2</v>
      </c>
      <c r="BM91" s="169">
        <f t="shared" si="39"/>
        <v>2</v>
      </c>
      <c r="BN91" s="169">
        <f t="shared" si="39"/>
        <v>2</v>
      </c>
      <c r="BO91" s="169">
        <f t="shared" si="39"/>
        <v>2</v>
      </c>
      <c r="BP91" s="169">
        <f t="shared" si="39"/>
        <v>2</v>
      </c>
      <c r="BQ91" s="169">
        <f t="shared" si="39"/>
        <v>2</v>
      </c>
      <c r="BR91" s="169">
        <f t="shared" si="39"/>
        <v>2</v>
      </c>
      <c r="BS91" s="169">
        <f t="shared" si="39"/>
        <v>2</v>
      </c>
      <c r="BZ91" s="187" t="str">
        <f t="shared" si="40"/>
        <v>lot5</v>
      </c>
      <c r="CA91" s="197">
        <f>Scénario!K110</f>
        <v>0</v>
      </c>
      <c r="CB91" s="169">
        <f t="shared" si="41"/>
        <v>0</v>
      </c>
      <c r="CC91" s="169">
        <f t="shared" si="41"/>
        <v>0</v>
      </c>
      <c r="CD91" s="169">
        <f t="shared" si="41"/>
        <v>0</v>
      </c>
      <c r="CE91" s="169">
        <f t="shared" si="41"/>
        <v>0</v>
      </c>
      <c r="CF91" s="169">
        <f t="shared" si="41"/>
        <v>0</v>
      </c>
      <c r="CG91" s="169">
        <f t="shared" si="41"/>
        <v>0</v>
      </c>
      <c r="CH91" s="169">
        <f t="shared" si="41"/>
        <v>0</v>
      </c>
      <c r="CI91" s="169">
        <f t="shared" si="41"/>
        <v>0</v>
      </c>
      <c r="CJ91" s="169">
        <f t="shared" si="41"/>
        <v>0</v>
      </c>
      <c r="CK91" s="169">
        <f t="shared" si="41"/>
        <v>0</v>
      </c>
      <c r="CL91" s="169">
        <f t="shared" si="42"/>
        <v>0</v>
      </c>
      <c r="CM91" s="169">
        <f t="shared" si="42"/>
        <v>0</v>
      </c>
      <c r="CN91" s="169">
        <f t="shared" si="42"/>
        <v>0</v>
      </c>
      <c r="CO91" s="169">
        <f t="shared" si="42"/>
        <v>0</v>
      </c>
      <c r="CP91" s="169">
        <f t="shared" si="42"/>
        <v>0</v>
      </c>
      <c r="CQ91" s="169">
        <f t="shared" si="42"/>
        <v>0</v>
      </c>
      <c r="CR91" s="169">
        <f t="shared" si="42"/>
        <v>0</v>
      </c>
      <c r="CS91" s="169">
        <f t="shared" si="42"/>
        <v>0</v>
      </c>
      <c r="CT91" s="169">
        <f t="shared" si="42"/>
        <v>0</v>
      </c>
      <c r="CU91" s="169">
        <f t="shared" si="42"/>
        <v>0</v>
      </c>
      <c r="CV91" s="169">
        <f t="shared" si="42"/>
        <v>0</v>
      </c>
      <c r="CW91" s="169">
        <f t="shared" si="42"/>
        <v>0</v>
      </c>
      <c r="CX91" s="169">
        <f t="shared" si="42"/>
        <v>0</v>
      </c>
      <c r="CY91" s="169">
        <f t="shared" si="42"/>
        <v>0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2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3</v>
      </c>
      <c r="D98" s="169">
        <f t="shared" ref="D98:D136" si="46">C98</f>
        <v>3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2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2</v>
      </c>
      <c r="AW99" s="169">
        <f>IF(CdTrp1!C53=1,3,IF(CdTrp1!C53=0.5,2,IF(CdTrp1!C53=0,1,0)))</f>
        <v>2</v>
      </c>
      <c r="AX99" s="169">
        <f>IF(CdTrp1!D53=1,3,IF(CdTrp1!D53=0.5,2,IF(CdTrp1!D53=0,1,0)))</f>
        <v>2</v>
      </c>
      <c r="AY99" s="169">
        <f>IF(CdTrp1!E53=1,3,IF(CdTrp1!E53=0.5,2,IF(CdTrp1!E53=0,1,0)))</f>
        <v>2</v>
      </c>
      <c r="AZ99" s="169">
        <f>IF(CdTrp1!F53=1,3,IF(CdTrp1!F53=0.5,2,IF(CdTrp1!F53=0,1,0)))</f>
        <v>2</v>
      </c>
      <c r="BA99" s="169">
        <f>IF(CdTrp1!G53=1,3,IF(CdTrp1!G53=0.5,2,IF(CdTrp1!G53=0,1,0)))</f>
        <v>2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1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2</v>
      </c>
      <c r="BQ99" s="169">
        <f>IF(CdTrp1!W53=1,3,IF(CdTrp1!W53=0.5,2,IF(CdTrp1!W53=0,1,0)))</f>
        <v>2</v>
      </c>
      <c r="BR99" s="169">
        <f>IF(CdTrp1!X53=1,3,IF(CdTrp1!X53=0.5,2,IF(CdTrp1!X53=0,1,0)))</f>
        <v>2</v>
      </c>
      <c r="BS99" s="169">
        <f>IF(CdTrp1!Y53=1,3,IF(CdTrp1!Y53=0.5,2,IF(CdTrp1!Y53=0,1,0)))</f>
        <v>2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3</v>
      </c>
      <c r="BF100" s="169">
        <f>IF(CdTrp1!L54=1,3,IF(CdTrp1!L54=0.5,2,IF(CdTrp1!L54=0,1,0)))</f>
        <v>3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3</v>
      </c>
      <c r="BN100" s="169">
        <f>IF(CdTrp1!T54=1,3,IF(CdTrp1!T54=0.5,2,IF(CdTrp1!T54=0,1,0)))</f>
        <v>3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3</v>
      </c>
      <c r="D101" s="169">
        <f t="shared" si="46"/>
        <v>3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3</v>
      </c>
      <c r="BB101" s="169">
        <f>IF(CdTrp1!H55=1,3,IF(CdTrp1!H55=0.5,2,IF(CdTrp1!H55=0,1,0)))</f>
        <v>3</v>
      </c>
      <c r="BC101" s="169">
        <f>IF(CdTrp1!I55=1,3,IF(CdTrp1!I55=0.5,2,IF(CdTrp1!I55=0,1,0)))</f>
        <v>3</v>
      </c>
      <c r="BD101" s="169">
        <f>IF(CdTrp1!J55=1,3,IF(CdTrp1!J55=0.5,2,IF(CdTrp1!J55=0,1,0)))</f>
        <v>3</v>
      </c>
      <c r="BE101" s="169">
        <f>IF(CdTrp1!K55=1,3,IF(CdTrp1!K55=0.5,2,IF(CdTrp1!K55=0,1,0)))</f>
        <v>3</v>
      </c>
      <c r="BF101" s="169">
        <f>IF(CdTrp1!L55=1,3,IF(CdTrp1!L55=0.5,2,IF(CdTrp1!L55=0,1,0)))</f>
        <v>3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3</v>
      </c>
      <c r="BN101" s="169">
        <f>IF(CdTrp1!T55=1,3,IF(CdTrp1!T55=0.5,2,IF(CdTrp1!T55=0,1,0)))</f>
        <v>3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2</v>
      </c>
      <c r="BH102" s="169">
        <f>IF(CdTrp1!N56=1,3,IF(CdTrp1!N56=0.5,2,IF(CdTrp1!N56=0,1,0)))</f>
        <v>2</v>
      </c>
      <c r="BI102" s="169">
        <f>IF(CdTrp1!O56=1,3,IF(CdTrp1!O56=0.5,2,IF(CdTrp1!O56=0,1,0)))</f>
        <v>2</v>
      </c>
      <c r="BJ102" s="169">
        <f>IF(CdTrp1!P56=1,3,IF(CdTrp1!P56=0.5,2,IF(CdTrp1!P56=0,1,0)))</f>
        <v>2</v>
      </c>
      <c r="BK102" s="169">
        <f>IF(CdTrp1!Q56=1,3,IF(CdTrp1!Q56=0.5,2,IF(CdTrp1!Q56=0,1,0)))</f>
        <v>2</v>
      </c>
      <c r="BL102" s="169">
        <f>IF(CdTrp1!R56=1,3,IF(CdTrp1!R56=0.5,2,IF(CdTrp1!R56=0,1,0)))</f>
        <v>2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23</v>
      </c>
      <c r="D106" s="169">
        <f t="shared" si="46"/>
        <v>23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23</v>
      </c>
      <c r="D109" s="169">
        <f t="shared" si="46"/>
        <v>23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8.5</v>
      </c>
      <c r="D110" s="169">
        <f t="shared" si="46"/>
        <v>8.5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2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0</v>
      </c>
      <c r="BF111" s="169">
        <f>IF(CdTrp1!L78=1,1,IF(CdTrp1!L78=2,2,IF(CdTrp1!L78=3,2,IF(CdTrp1!L78=4,4,0))))</f>
        <v>0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0</v>
      </c>
      <c r="BN111" s="169">
        <f>IF(CdTrp1!T78=1,1,IF(CdTrp1!T78=2,2,IF(CdTrp1!T78=3,2,IF(CdTrp1!T78=4,4,0))))</f>
        <v>0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0</v>
      </c>
      <c r="BB112" s="169">
        <f>IF(CdTrp1!H79=1,1,IF(CdTrp1!H79=2,2,IF(CdTrp1!H79=3,2,IF(CdTrp1!H79=4,4,0))))</f>
        <v>0</v>
      </c>
      <c r="BC112" s="169">
        <f>IF(CdTrp1!I79=1,1,IF(CdTrp1!I79=2,2,IF(CdTrp1!I79=3,2,IF(CdTrp1!I79=4,4,0))))</f>
        <v>0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4.5</v>
      </c>
      <c r="D113" s="169">
        <f t="shared" si="46"/>
        <v>4.5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4</v>
      </c>
      <c r="D116" s="169">
        <f t="shared" si="46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1</v>
      </c>
      <c r="I129">
        <f t="shared" si="56"/>
        <v>1</v>
      </c>
      <c r="J129">
        <f t="shared" si="56"/>
        <v>1</v>
      </c>
      <c r="K129">
        <f t="shared" si="56"/>
        <v>2</v>
      </c>
      <c r="L129">
        <f t="shared" si="56"/>
        <v>2</v>
      </c>
      <c r="M129">
        <f t="shared" si="56"/>
        <v>2</v>
      </c>
      <c r="N129">
        <f t="shared" si="56"/>
        <v>2</v>
      </c>
      <c r="O129">
        <f t="shared" si="56"/>
        <v>2</v>
      </c>
      <c r="P129">
        <f t="shared" si="56"/>
        <v>2</v>
      </c>
      <c r="Q129">
        <f t="shared" si="56"/>
        <v>2</v>
      </c>
      <c r="R129">
        <f t="shared" si="56"/>
        <v>2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2</v>
      </c>
      <c r="Z129">
        <f t="shared" si="56"/>
        <v>2</v>
      </c>
      <c r="AA129">
        <f t="shared" si="56"/>
        <v>1</v>
      </c>
      <c r="AB129">
        <f t="shared" si="56"/>
        <v>1</v>
      </c>
      <c r="AC129">
        <f t="shared" si="56"/>
        <v>1</v>
      </c>
      <c r="AD129">
        <f t="shared" si="56"/>
        <v>1</v>
      </c>
      <c r="AE129">
        <f t="shared" si="56"/>
        <v>1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1</v>
      </c>
      <c r="I132">
        <f t="shared" si="59"/>
        <v>1</v>
      </c>
      <c r="J132">
        <f t="shared" si="59"/>
        <v>1</v>
      </c>
      <c r="K132">
        <f t="shared" si="59"/>
        <v>2</v>
      </c>
      <c r="L132">
        <f t="shared" si="59"/>
        <v>2</v>
      </c>
      <c r="M132">
        <f t="shared" si="59"/>
        <v>2</v>
      </c>
      <c r="N132">
        <f t="shared" si="59"/>
        <v>2</v>
      </c>
      <c r="O132">
        <f t="shared" si="59"/>
        <v>2</v>
      </c>
      <c r="P132">
        <f t="shared" si="59"/>
        <v>2</v>
      </c>
      <c r="Q132">
        <f t="shared" si="59"/>
        <v>2</v>
      </c>
      <c r="R132">
        <f t="shared" si="59"/>
        <v>2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2</v>
      </c>
      <c r="Z132">
        <f t="shared" si="59"/>
        <v>2</v>
      </c>
      <c r="AA132">
        <f t="shared" si="59"/>
        <v>1</v>
      </c>
      <c r="AB132">
        <f t="shared" si="59"/>
        <v>1</v>
      </c>
      <c r="AC132">
        <f t="shared" si="59"/>
        <v>1</v>
      </c>
      <c r="AD132">
        <f t="shared" si="59"/>
        <v>1</v>
      </c>
      <c r="AE132">
        <f t="shared" si="59"/>
        <v>1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0.5</v>
      </c>
      <c r="D133" s="262">
        <f t="shared" si="46"/>
        <v>0.5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0.5</v>
      </c>
      <c r="D136" s="262">
        <f t="shared" si="46"/>
        <v>0.5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80.71824118112508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98.255689962587496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62.519999999999996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52.085827830125012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59.36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98.3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10.434172169874984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83.3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-38.94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38.94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74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5848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22.200000000000003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263</v>
      </c>
      <c r="D185" s="169">
        <f t="shared" ref="D185:D191" si="165">C185</f>
        <v>263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0.2</v>
      </c>
      <c r="D187" s="169">
        <f t="shared" si="165"/>
        <v>0.2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6</v>
      </c>
      <c r="D189" s="169">
        <f t="shared" si="165"/>
        <v>6</v>
      </c>
      <c r="AH189" s="15"/>
      <c r="AJ189" s="14" t="s">
        <v>923</v>
      </c>
      <c r="AK189" s="30">
        <f>D189</f>
        <v>6</v>
      </c>
      <c r="AO189" s="169">
        <f>ROUND((([1]Protect!$B$5/[1]Protect!$B$11)+[1]Protect!$B$8)*AK189,0)</f>
        <v>5426</v>
      </c>
    </row>
    <row r="190" spans="1:132" x14ac:dyDescent="0.25">
      <c r="B190" s="14" t="s">
        <v>1245</v>
      </c>
      <c r="C190" s="169">
        <f>'Calcul éco'!T246*(30)</f>
        <v>18.000000000000004</v>
      </c>
      <c r="D190" s="169">
        <f t="shared" si="165"/>
        <v>18.000000000000004</v>
      </c>
      <c r="AH190" s="15"/>
      <c r="AJ190" s="14" t="s">
        <v>922</v>
      </c>
      <c r="AK190" s="30">
        <f>D190/30</f>
        <v>0.60000000000000009</v>
      </c>
      <c r="AN190" s="169">
        <f>[1]Eco!$B$106*[1]Eco!$B$108*[1]Eco!$B$109</f>
        <v>2551.2000000000003</v>
      </c>
      <c r="AO190" s="169">
        <f>AK190*AN190</f>
        <v>1530.7200000000005</v>
      </c>
    </row>
    <row r="191" spans="1:132" x14ac:dyDescent="0.25">
      <c r="B191" s="14" t="s">
        <v>1244</v>
      </c>
      <c r="C191" s="193">
        <f>ROUND(SUM(Travail!F69:F74)/8,1)</f>
        <v>21.3</v>
      </c>
      <c r="D191" s="169">
        <f t="shared" si="165"/>
        <v>21.3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16.8</v>
      </c>
      <c r="AN191" s="169">
        <f>[1]Eco!$B$111</f>
        <v>28.3</v>
      </c>
      <c r="AO191" s="169">
        <f>AK191*AN191</f>
        <v>475.44000000000005</v>
      </c>
    </row>
    <row r="192" spans="1:132" x14ac:dyDescent="0.25">
      <c r="B192" s="14" t="s">
        <v>1240</v>
      </c>
      <c r="C192" s="169">
        <f>(Travail!F83+Travail!F84)/8</f>
        <v>0.82499999999999996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7432.16</v>
      </c>
    </row>
    <row r="193" spans="1:43" x14ac:dyDescent="0.25">
      <c r="B193" s="14" t="s">
        <v>1238</v>
      </c>
      <c r="C193" s="169">
        <f>(Travail!F75+Travail!F76+Travail!F81)/8</f>
        <v>17.0625</v>
      </c>
      <c r="D193" s="169">
        <f>C193</f>
        <v>17.0625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5000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7432.16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5000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5946</v>
      </c>
      <c r="D210" s="252">
        <f>ROUND(AL207,0)</f>
        <v>5000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40419.4</v>
      </c>
      <c r="D211" s="252">
        <f>ROUND(SUM(D201:D210),0)</f>
        <v>5000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9956.82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0.4</v>
      </c>
      <c r="AK218" s="169"/>
      <c r="AL218" s="169"/>
      <c r="AM218" s="169">
        <f>'Calcul éco'!W274</f>
        <v>100</v>
      </c>
      <c r="AN218" s="169">
        <f>AJ218*AM218</f>
        <v>40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5426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566.31999999999994</v>
      </c>
      <c r="D220" s="252">
        <f>SUM(AN215:AN219)</f>
        <v>40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42623</v>
      </c>
      <c r="D221" s="252">
        <f>ROUND(SUM(D216:D220),0)</f>
        <v>40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0.2</v>
      </c>
      <c r="AN226" s="169">
        <f>[1]Protect!$B$83</f>
        <v>2000</v>
      </c>
      <c r="AO226" s="169">
        <f>AK226*AN226</f>
        <v>400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400</v>
      </c>
      <c r="AQ228" s="30">
        <f>IF(Scénario!K84=1,MIN(0.8*AO228,[1]Protect!$B$68),IF(Scénario!K84=2,MIN(0.8*AO228,[1]Protect!$B$67),0))</f>
        <v>320</v>
      </c>
      <c r="AR228" s="30">
        <f>AO228-AQ228</f>
        <v>80</v>
      </c>
      <c r="AS228" s="30">
        <f>(1-Scénario!K127/100)*AR228</f>
        <v>80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30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1530.7200000000005</v>
      </c>
      <c r="D234" s="169">
        <f>C234</f>
        <v>1530.7200000000005</v>
      </c>
    </row>
    <row r="235" spans="1:49" x14ac:dyDescent="0.25">
      <c r="B235" s="14" t="s">
        <v>1195</v>
      </c>
      <c r="C235" s="169">
        <f>'Calcul éco'!J167</f>
        <v>3105.0229999999997</v>
      </c>
      <c r="D235" s="252">
        <f>(D191+D192)*8*[1]Eco!$B$106</f>
        <v>1811.3520000000001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19805</v>
      </c>
      <c r="D236" s="252">
        <f>ROUND(SUM(D222:D235),0)</f>
        <v>7442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22387.399999999994</v>
      </c>
      <c r="D237" s="252">
        <f>D194+D211-D221-D236</f>
        <v>-2482</v>
      </c>
    </row>
    <row r="238" spans="1:49" x14ac:dyDescent="0.25">
      <c r="B238" s="245" t="s">
        <v>947</v>
      </c>
      <c r="C238" s="169">
        <f>ROUND(C237/Scénario!$K$4,0)</f>
        <v>22387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2464.3393952707688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11923</v>
      </c>
      <c r="D241" s="256">
        <f>ROUND(D237-D239-D240,0)</f>
        <v>-10482</v>
      </c>
    </row>
    <row r="242" spans="1:15" x14ac:dyDescent="0.25">
      <c r="B242" s="245" t="s">
        <v>943</v>
      </c>
      <c r="C242" s="169">
        <f>ROUND(C241/Scénario!K4,0)</f>
        <v>11923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35488</v>
      </c>
      <c r="D243" s="169">
        <f>C243</f>
        <v>35488</v>
      </c>
    </row>
    <row r="244" spans="1:15" x14ac:dyDescent="0.25">
      <c r="B244" s="245" t="s">
        <v>1189</v>
      </c>
      <c r="C244" s="169">
        <f>'Calcul éco'!AA237+'Calcul éco'!AA240</f>
        <v>19988</v>
      </c>
      <c r="D244" s="169">
        <f>C244</f>
        <v>19988</v>
      </c>
    </row>
    <row r="245" spans="1:15" x14ac:dyDescent="0.25">
      <c r="A245" s="2" t="s">
        <v>1188</v>
      </c>
      <c r="B245" s="14" t="s">
        <v>545</v>
      </c>
      <c r="C245" s="253">
        <f>Travail!F5</f>
        <v>602</v>
      </c>
      <c r="D245" s="169">
        <f>C245</f>
        <v>602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1042.8486250000001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134.4</v>
      </c>
      <c r="D251" s="169">
        <f>C251</f>
        <v>134.4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32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170.4</v>
      </c>
      <c r="D275" s="169">
        <f>C275</f>
        <v>170.4</v>
      </c>
    </row>
    <row r="276" spans="1:4" x14ac:dyDescent="0.25">
      <c r="A276" s="23"/>
      <c r="B276" s="32" t="s">
        <v>1178</v>
      </c>
      <c r="C276" s="253">
        <f>C192*8</f>
        <v>6.6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115.5</v>
      </c>
      <c r="D277" s="169">
        <f>C277</f>
        <v>115.5</v>
      </c>
    </row>
    <row r="278" spans="1:4" x14ac:dyDescent="0.25">
      <c r="B278" s="32" t="s">
        <v>1176</v>
      </c>
      <c r="C278" s="253">
        <f>Travail!F76</f>
        <v>21</v>
      </c>
      <c r="D278" s="169">
        <f>C278</f>
        <v>21</v>
      </c>
    </row>
    <row r="279" spans="1:4" x14ac:dyDescent="0.25">
      <c r="B279" s="32" t="s">
        <v>1175</v>
      </c>
      <c r="C279" s="253">
        <f>Travail!F86</f>
        <v>144.00000000000003</v>
      </c>
      <c r="D279" s="253">
        <f>C279</f>
        <v>144.00000000000003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2846</v>
      </c>
      <c r="D281" s="252">
        <f>ROUND(D245+D248+D251+D254+D257+D260+D261,0)</f>
        <v>956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10.62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2846</v>
      </c>
      <c r="D287" s="252">
        <f>SUM(D281:D283)</f>
        <v>956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228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292.5</v>
      </c>
      <c r="D290" s="254">
        <f>D275+D276+D277</f>
        <v>285.89999999999998</v>
      </c>
    </row>
    <row r="291" spans="2:4" x14ac:dyDescent="0.25">
      <c r="B291" s="14" t="s">
        <v>1162</v>
      </c>
      <c r="C291" s="253">
        <f>C278+C279+C280</f>
        <v>165.00000000000003</v>
      </c>
      <c r="D291" s="253">
        <f>D278+D279+D280</f>
        <v>165.00000000000003</v>
      </c>
    </row>
    <row r="292" spans="2:4" x14ac:dyDescent="0.25">
      <c r="B292" s="14" t="s">
        <v>761</v>
      </c>
      <c r="C292" s="169">
        <f>ROUND(SUM(C287:C291),0)</f>
        <v>3972</v>
      </c>
      <c r="D292" s="252">
        <f>ROUND(SUM(D287:D291),0)</f>
        <v>1847</v>
      </c>
    </row>
    <row r="293" spans="2:4" x14ac:dyDescent="0.25">
      <c r="B293" s="14" t="s">
        <v>760</v>
      </c>
      <c r="C293" s="169">
        <f>ROUND(IF(Scénario!$K$129=1,SUM(C275:C280),SUM(C278:C280)),0)</f>
        <v>458</v>
      </c>
      <c r="D293" s="169">
        <f>ROUND(IF(Scénario!$K$129=1,SUM(D275:D280),SUM(D278:D280)),0)</f>
        <v>451</v>
      </c>
    </row>
    <row r="294" spans="2:4" x14ac:dyDescent="0.25">
      <c r="B294" s="14" t="s">
        <v>759</v>
      </c>
      <c r="C294" s="169">
        <f>ROUND((C292-C293)/C83,0)</f>
        <v>3514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52.085827830125005</v>
      </c>
    </row>
    <row r="299" spans="2:4" x14ac:dyDescent="0.25">
      <c r="B299" s="14" t="s">
        <v>1436</v>
      </c>
      <c r="C299" s="169">
        <f>IF(Troupeau!$B$3="OL",CdTrp1!AA221,0)</f>
        <v>28.632413351000004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17.2</v>
      </c>
    </row>
    <row r="305" spans="2:3" x14ac:dyDescent="0.25">
      <c r="B305" s="14" t="s">
        <v>1442</v>
      </c>
      <c r="C305" s="169">
        <f>Protection!BJ31</f>
        <v>5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35088</v>
      </c>
    </row>
    <row r="308" spans="2:3" x14ac:dyDescent="0.25">
      <c r="B308" s="14" t="s">
        <v>1445</v>
      </c>
      <c r="C308" s="169">
        <f>'Calcul éco'!X235</f>
        <v>400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73" activePane="bottomLeft" state="frozen"/>
      <selection pane="bottomLeft" activeCell="M56" sqref="M56:R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1</v>
      </c>
      <c r="T54" s="60">
        <v>1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0.5</v>
      </c>
      <c r="N56" s="60">
        <v>0.5</v>
      </c>
      <c r="O56" s="60">
        <v>0.5</v>
      </c>
      <c r="P56" s="60">
        <v>0.5</v>
      </c>
      <c r="Q56" s="60">
        <v>0.5</v>
      </c>
      <c r="R56" s="60">
        <v>0.5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30.914999999999999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189.63721875000002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177.10612500000002</v>
      </c>
      <c r="T63" s="61">
        <f t="shared" si="17"/>
        <v>183.00966250000002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68.196996874999996</v>
      </c>
      <c r="C64" s="61">
        <f t="shared" si="18"/>
        <v>68.196996874999996</v>
      </c>
      <c r="D64" s="61">
        <f t="shared" si="18"/>
        <v>61.5972875</v>
      </c>
      <c r="E64" s="61">
        <f t="shared" si="18"/>
        <v>61.5972875</v>
      </c>
      <c r="F64" s="61">
        <f t="shared" si="18"/>
        <v>68.196996874999996</v>
      </c>
      <c r="G64" s="61">
        <f t="shared" si="18"/>
        <v>68.196996874999996</v>
      </c>
      <c r="H64" s="61">
        <f t="shared" si="18"/>
        <v>65.997093750000005</v>
      </c>
      <c r="I64" s="61">
        <f t="shared" si="18"/>
        <v>65.997093750000005</v>
      </c>
      <c r="J64" s="61">
        <f t="shared" si="18"/>
        <v>68.196996874999996</v>
      </c>
      <c r="K64" s="61">
        <f t="shared" si="18"/>
        <v>68.196996874999996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53.466000000000008</v>
      </c>
      <c r="T64" s="61">
        <f t="shared" si="18"/>
        <v>55.248200000000004</v>
      </c>
      <c r="U64" s="61">
        <f t="shared" si="18"/>
        <v>55.248200000000004</v>
      </c>
      <c r="V64" s="61">
        <f t="shared" si="18"/>
        <v>65.997093750000005</v>
      </c>
      <c r="W64" s="61">
        <f t="shared" si="18"/>
        <v>65.997093750000005</v>
      </c>
      <c r="X64" s="61">
        <f t="shared" si="18"/>
        <v>68.196996874999996</v>
      </c>
      <c r="Y64" s="61">
        <f t="shared" si="18"/>
        <v>68.196996874999996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21.708000000000002</v>
      </c>
      <c r="I65" s="61">
        <f t="shared" si="19"/>
        <v>21.708000000000002</v>
      </c>
      <c r="J65" s="61">
        <f t="shared" si="19"/>
        <v>22.4316</v>
      </c>
      <c r="K65" s="61">
        <f t="shared" si="19"/>
        <v>22.4316</v>
      </c>
      <c r="L65" s="61">
        <f t="shared" si="19"/>
        <v>21.708000000000002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21.708000000000002</v>
      </c>
      <c r="T65" s="61">
        <f t="shared" si="19"/>
        <v>22.4316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10.904250000000001</v>
      </c>
      <c r="C66" s="61">
        <f t="shared" si="20"/>
        <v>10.904250000000001</v>
      </c>
      <c r="D66" s="61">
        <f t="shared" si="20"/>
        <v>9.849000000000002</v>
      </c>
      <c r="E66" s="61">
        <f t="shared" si="20"/>
        <v>9.849000000000002</v>
      </c>
      <c r="F66" s="61">
        <f t="shared" si="20"/>
        <v>10.904250000000001</v>
      </c>
      <c r="G66" s="61">
        <f t="shared" si="20"/>
        <v>10.904250000000001</v>
      </c>
      <c r="H66" s="61">
        <f t="shared" si="20"/>
        <v>10.552500000000002</v>
      </c>
      <c r="I66" s="61">
        <f t="shared" si="20"/>
        <v>10.552500000000002</v>
      </c>
      <c r="J66" s="61">
        <f t="shared" si="20"/>
        <v>10.904250000000001</v>
      </c>
      <c r="K66" s="61">
        <f t="shared" si="20"/>
        <v>10.904250000000001</v>
      </c>
      <c r="L66" s="61">
        <f t="shared" si="20"/>
        <v>10.552500000000002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1.7587500000000003</v>
      </c>
      <c r="T66" s="61">
        <f t="shared" si="20"/>
        <v>1.8173750000000004</v>
      </c>
      <c r="U66" s="61">
        <f t="shared" si="20"/>
        <v>10.904250000000001</v>
      </c>
      <c r="V66" s="61">
        <f t="shared" si="20"/>
        <v>10.552500000000002</v>
      </c>
      <c r="W66" s="61">
        <f t="shared" si="20"/>
        <v>10.552500000000002</v>
      </c>
      <c r="X66" s="61">
        <f t="shared" si="20"/>
        <v>10.904250000000001</v>
      </c>
      <c r="Y66" s="61">
        <f t="shared" si="20"/>
        <v>10.904250000000001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12.5625</v>
      </c>
      <c r="N67" s="61">
        <f t="shared" si="21"/>
        <v>12.981250000000001</v>
      </c>
      <c r="O67" s="61">
        <f t="shared" si="21"/>
        <v>12.981250000000001</v>
      </c>
      <c r="P67" s="61">
        <f t="shared" si="21"/>
        <v>12.981250000000001</v>
      </c>
      <c r="Q67" s="61">
        <f t="shared" si="21"/>
        <v>12.981250000000001</v>
      </c>
      <c r="R67" s="61">
        <f t="shared" si="21"/>
        <v>12.5625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518</v>
      </c>
      <c r="C73" s="64">
        <f t="shared" ref="C73:Y73" si="27">ROUND(SUM(C63:C72),0)</f>
        <v>514</v>
      </c>
      <c r="D73" s="64">
        <f t="shared" si="27"/>
        <v>461</v>
      </c>
      <c r="E73" s="64">
        <f t="shared" si="27"/>
        <v>275</v>
      </c>
      <c r="F73" s="64">
        <f t="shared" si="27"/>
        <v>303</v>
      </c>
      <c r="G73" s="64">
        <f t="shared" si="27"/>
        <v>302</v>
      </c>
      <c r="H73" s="64">
        <f t="shared" si="27"/>
        <v>291</v>
      </c>
      <c r="I73" s="64">
        <f t="shared" si="27"/>
        <v>290</v>
      </c>
      <c r="J73" s="64">
        <f t="shared" si="27"/>
        <v>299</v>
      </c>
      <c r="K73" s="64">
        <f t="shared" si="27"/>
        <v>298</v>
      </c>
      <c r="L73" s="64">
        <f t="shared" si="27"/>
        <v>222</v>
      </c>
      <c r="M73" s="64">
        <f t="shared" si="27"/>
        <v>13</v>
      </c>
      <c r="N73" s="64">
        <f t="shared" si="27"/>
        <v>13</v>
      </c>
      <c r="O73" s="64">
        <f t="shared" si="27"/>
        <v>13</v>
      </c>
      <c r="P73" s="64">
        <f t="shared" si="27"/>
        <v>13</v>
      </c>
      <c r="Q73" s="64">
        <f t="shared" si="27"/>
        <v>13</v>
      </c>
      <c r="R73" s="64">
        <f t="shared" si="27"/>
        <v>13</v>
      </c>
      <c r="S73" s="64">
        <f t="shared" si="27"/>
        <v>254</v>
      </c>
      <c r="T73" s="64">
        <f t="shared" si="27"/>
        <v>263</v>
      </c>
      <c r="U73" s="64">
        <f t="shared" si="27"/>
        <v>508</v>
      </c>
      <c r="V73" s="64">
        <f t="shared" si="27"/>
        <v>479</v>
      </c>
      <c r="W73" s="64">
        <f t="shared" si="27"/>
        <v>479</v>
      </c>
      <c r="X73" s="64">
        <f t="shared" si="27"/>
        <v>518</v>
      </c>
      <c r="Y73" s="64">
        <f t="shared" si="27"/>
        <v>518</v>
      </c>
      <c r="Z73" s="52"/>
      <c r="AA73" s="56">
        <f>ROUND(SUM(B73:Y73),0)</f>
        <v>6870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2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23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8">COUNTIF($B$76:$Y$85,AB79)/2</f>
        <v>4.5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</v>
      </c>
      <c r="T125" s="60">
        <v>0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</v>
      </c>
      <c r="K126" s="60">
        <v>0</v>
      </c>
      <c r="L126" s="60">
        <v>0</v>
      </c>
      <c r="M126" s="60"/>
      <c r="N126" s="60"/>
      <c r="O126" s="60"/>
      <c r="P126" s="60"/>
      <c r="Q126" s="60"/>
      <c r="R126" s="60"/>
      <c r="S126" s="60">
        <v>0</v>
      </c>
      <c r="T126" s="60">
        <v>0</v>
      </c>
      <c r="U126" s="60">
        <v>0</v>
      </c>
      <c r="V126" s="60">
        <v>0</v>
      </c>
      <c r="W126" s="60">
        <v>0</v>
      </c>
      <c r="X126" s="60">
        <v>0</v>
      </c>
      <c r="Y126" s="60">
        <v>0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0.28220400000000001</v>
      </c>
      <c r="I138" s="61">
        <f t="shared" si="51"/>
        <v>0.28220400000000001</v>
      </c>
      <c r="J138" s="61">
        <f t="shared" si="51"/>
        <v>0.2916108</v>
      </c>
      <c r="K138" s="61">
        <f t="shared" si="51"/>
        <v>0.2916108</v>
      </c>
      <c r="L138" s="61">
        <f t="shared" si="51"/>
        <v>0.28220400000000001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0.28220400000000001</v>
      </c>
      <c r="T138" s="61">
        <f t="shared" si="51"/>
        <v>0.2916108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4.2800940000000001</v>
      </c>
    </row>
    <row r="139" spans="1:31" x14ac:dyDescent="0.25">
      <c r="A139" s="127" t="str">
        <f>A$18</f>
        <v>Béliers</v>
      </c>
      <c r="B139" s="61">
        <f t="shared" si="51"/>
        <v>0.14175525000000003</v>
      </c>
      <c r="C139" s="61">
        <f t="shared" si="51"/>
        <v>0.14175525000000003</v>
      </c>
      <c r="D139" s="61">
        <f t="shared" si="51"/>
        <v>0.12803700000000004</v>
      </c>
      <c r="E139" s="61">
        <f t="shared" si="51"/>
        <v>0.12803700000000004</v>
      </c>
      <c r="F139" s="61">
        <f t="shared" si="51"/>
        <v>0.14175525000000003</v>
      </c>
      <c r="G139" s="61">
        <f t="shared" si="51"/>
        <v>0.14175525000000003</v>
      </c>
      <c r="H139" s="61">
        <f t="shared" si="51"/>
        <v>0.13718250000000004</v>
      </c>
      <c r="I139" s="61">
        <f t="shared" si="51"/>
        <v>0.13718250000000004</v>
      </c>
      <c r="J139" s="61">
        <f t="shared" si="51"/>
        <v>0.14175525000000003</v>
      </c>
      <c r="K139" s="61">
        <f t="shared" si="51"/>
        <v>0.14175525000000003</v>
      </c>
      <c r="L139" s="61">
        <f t="shared" si="51"/>
        <v>0.13718250000000004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2.2863750000000002E-2</v>
      </c>
      <c r="T139" s="61">
        <f t="shared" si="51"/>
        <v>2.3625875000000005E-2</v>
      </c>
      <c r="U139" s="61">
        <f t="shared" si="51"/>
        <v>0.14175525000000003</v>
      </c>
      <c r="V139" s="61">
        <f t="shared" si="51"/>
        <v>0.13718250000000004</v>
      </c>
      <c r="W139" s="61">
        <f t="shared" si="51"/>
        <v>0.13718250000000004</v>
      </c>
      <c r="X139" s="61">
        <f t="shared" si="51"/>
        <v>0.14175525000000003</v>
      </c>
      <c r="Y139" s="61">
        <f t="shared" si="51"/>
        <v>0.14175525000000003</v>
      </c>
      <c r="AA139" s="61">
        <f t="shared" si="52"/>
        <v>2.2642733750000006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85.439730402250007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98.255689962587496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</v>
      </c>
      <c r="I151" s="61">
        <f t="shared" si="56"/>
        <v>0</v>
      </c>
      <c r="J151" s="61">
        <f t="shared" si="56"/>
        <v>0</v>
      </c>
      <c r="K151" s="61">
        <f t="shared" si="56"/>
        <v>0</v>
      </c>
      <c r="L151" s="61">
        <f t="shared" si="56"/>
        <v>0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</v>
      </c>
      <c r="T151" s="61">
        <f t="shared" si="56"/>
        <v>0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0</v>
      </c>
      <c r="H152" s="61">
        <f t="shared" si="57"/>
        <v>0</v>
      </c>
      <c r="I152" s="61">
        <f t="shared" si="57"/>
        <v>0</v>
      </c>
      <c r="J152" s="61">
        <f t="shared" si="57"/>
        <v>0</v>
      </c>
      <c r="K152" s="61">
        <f t="shared" si="57"/>
        <v>0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80.71824118112508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</v>
      </c>
      <c r="I164" s="61">
        <f t="shared" si="66"/>
        <v>0</v>
      </c>
      <c r="J164" s="61">
        <f t="shared" si="66"/>
        <v>0</v>
      </c>
      <c r="K164" s="61">
        <f t="shared" si="66"/>
        <v>0</v>
      </c>
      <c r="L164" s="61">
        <f t="shared" si="66"/>
        <v>0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</v>
      </c>
      <c r="T164" s="61">
        <f t="shared" si="66"/>
        <v>0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3.1243274803125005</v>
      </c>
      <c r="I172" s="61">
        <f t="shared" si="74"/>
        <v>1.9348844156250002</v>
      </c>
      <c r="J172" s="61">
        <f t="shared" si="74"/>
        <v>1.9906876038437502</v>
      </c>
      <c r="K172" s="61">
        <f t="shared" si="74"/>
        <v>1.9819946448749999</v>
      </c>
      <c r="L172" s="61">
        <f t="shared" si="74"/>
        <v>1.9096467928125003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1.7834586787500002</v>
      </c>
      <c r="T172" s="61">
        <f t="shared" si="74"/>
        <v>1.4476064303750003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24.731582892624999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1.7731219187499998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1.7731219187499998</v>
      </c>
      <c r="C185" s="61">
        <f>SUM(CdTrp1!C175:C184)</f>
        <v>1.7731219187499998</v>
      </c>
      <c r="D185" s="61">
        <f>SUM(CdTrp1!D175:D184)</f>
        <v>0</v>
      </c>
      <c r="E185" s="61">
        <f>SUM(CdTrp1!E175:E184)</f>
        <v>0</v>
      </c>
      <c r="F185" s="61">
        <f>SUM(CdTrp1!F175:F184)</f>
        <v>1.7731219187499998</v>
      </c>
      <c r="G185" s="61">
        <f>SUM(CdTrp1!G175:G184)</f>
        <v>1.7731219187499998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14.3972053875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1.7731219187499998</v>
      </c>
      <c r="L198" s="61">
        <f t="shared" si="95"/>
        <v>1.7159244375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1.3901160000000001</v>
      </c>
      <c r="T198" s="61">
        <f t="shared" si="95"/>
        <v>1.4364532000000001</v>
      </c>
      <c r="U198" s="61">
        <f t="shared" si="95"/>
        <v>1.4364532000000001</v>
      </c>
      <c r="V198" s="61">
        <f t="shared" si="95"/>
        <v>1.7159244375</v>
      </c>
      <c r="W198" s="61">
        <f t="shared" si="95"/>
        <v>1.7159244375</v>
      </c>
      <c r="X198" s="61">
        <f t="shared" si="95"/>
        <v>1.7731219187499998</v>
      </c>
      <c r="Y198" s="61">
        <f t="shared" si="95"/>
        <v>0</v>
      </c>
      <c r="AA198" s="64">
        <f>SUM(B198:Y198)</f>
        <v>12.957039550000001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0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3.1243274803125005</v>
      </c>
      <c r="I215" s="61">
        <f t="shared" si="107"/>
        <v>1.9348844156250002</v>
      </c>
      <c r="J215" s="61">
        <f t="shared" si="107"/>
        <v>1.9906876038437502</v>
      </c>
      <c r="K215" s="61">
        <f t="shared" si="107"/>
        <v>1.9819946448749999</v>
      </c>
      <c r="L215" s="61">
        <f t="shared" si="107"/>
        <v>1.9096467928125003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1.7834586787500002</v>
      </c>
      <c r="T215" s="61">
        <f t="shared" si="107"/>
        <v>1.4476064303750003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1.7731219187499998</v>
      </c>
      <c r="C216" s="61">
        <f t="shared" ref="C216:Y216" si="108">C185</f>
        <v>1.7731219187499998</v>
      </c>
      <c r="D216" s="61">
        <f t="shared" si="108"/>
        <v>0</v>
      </c>
      <c r="E216" s="61">
        <f t="shared" si="108"/>
        <v>0</v>
      </c>
      <c r="F216" s="61">
        <f t="shared" si="108"/>
        <v>1.7731219187499998</v>
      </c>
      <c r="G216" s="61">
        <f t="shared" si="108"/>
        <v>1.7731219187499998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1.7731219187499998</v>
      </c>
      <c r="L217" s="61">
        <f t="shared" si="109"/>
        <v>1.7159244375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1.3901160000000001</v>
      </c>
      <c r="T217" s="61">
        <f t="shared" si="109"/>
        <v>1.4364532000000001</v>
      </c>
      <c r="U217" s="61">
        <f t="shared" si="109"/>
        <v>1.4364532000000001</v>
      </c>
      <c r="V217" s="61">
        <f t="shared" si="109"/>
        <v>1.7159244375</v>
      </c>
      <c r="W217" s="61">
        <f t="shared" si="109"/>
        <v>1.7159244375</v>
      </c>
      <c r="X217" s="61">
        <f t="shared" si="109"/>
        <v>1.7731219187499998</v>
      </c>
      <c r="Y217" s="61">
        <f t="shared" si="109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80.718241181125023</v>
      </c>
      <c r="AB219" t="s">
        <v>224</v>
      </c>
    </row>
    <row r="220" spans="1:28" x14ac:dyDescent="0.25">
      <c r="AA220" s="30">
        <f>SUM(B215:Y217)</f>
        <v>52.085827830125005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2023-01-09T09:36:14Z</dcterms:modified>
</cp:coreProperties>
</file>