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4000" windowHeight="9135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troupeau bovin " sheetId="27" r:id="rId16"/>
  </sheets>
  <externalReferences>
    <externalReference r:id="rId17"/>
  </externalReferences>
  <calcPr calcId="162913"/>
  <pivotCaches>
    <pivotCache cacheId="42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K3" i="7" l="1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" i="7"/>
  <c r="T41" i="31"/>
  <c r="AV4" i="29"/>
  <c r="AW4" i="29"/>
  <c r="BD4" i="29" s="1"/>
  <c r="BE4" i="29" s="1"/>
  <c r="BF4" i="29" s="1"/>
  <c r="AX4" i="29"/>
  <c r="AY4" i="29"/>
  <c r="AZ4" i="29"/>
  <c r="AV5" i="29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AV7" i="29"/>
  <c r="AW7" i="29"/>
  <c r="BD7" i="29" s="1"/>
  <c r="BE7" i="29" s="1"/>
  <c r="BF7" i="29" s="1"/>
  <c r="AX7" i="29"/>
  <c r="AY7" i="29"/>
  <c r="AZ7" i="29"/>
  <c r="AV8" i="29"/>
  <c r="AW8" i="29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BD11" i="29" s="1"/>
  <c r="BE11" i="29" s="1"/>
  <c r="BF11" i="29" s="1"/>
  <c r="AZ11" i="29"/>
  <c r="AV12" i="29"/>
  <c r="AW12" i="29"/>
  <c r="AX12" i="29"/>
  <c r="AY12" i="29"/>
  <c r="AZ12" i="29"/>
  <c r="AV13" i="29"/>
  <c r="AW13" i="29"/>
  <c r="BD13" i="29" s="1"/>
  <c r="BE13" i="29" s="1"/>
  <c r="BF13" i="29" s="1"/>
  <c r="AX13" i="29"/>
  <c r="AY13" i="29"/>
  <c r="AZ13" i="29"/>
  <c r="AV14" i="29"/>
  <c r="AW14" i="29"/>
  <c r="AX14" i="29"/>
  <c r="AY14" i="29"/>
  <c r="AZ14" i="29"/>
  <c r="AV15" i="29"/>
  <c r="AW15" i="29"/>
  <c r="AX15" i="29"/>
  <c r="AY15" i="29"/>
  <c r="AZ15" i="29"/>
  <c r="BD15" i="29"/>
  <c r="BE15" i="29" s="1"/>
  <c r="AV16" i="29"/>
  <c r="AW16" i="29"/>
  <c r="AX16" i="29"/>
  <c r="AY16" i="29"/>
  <c r="AZ16" i="29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BD19" i="29" s="1"/>
  <c r="BE19" i="29" s="1"/>
  <c r="BF19" i="29" s="1"/>
  <c r="AX19" i="29"/>
  <c r="AY19" i="29"/>
  <c r="AZ19" i="29"/>
  <c r="AV20" i="29"/>
  <c r="AW20" i="29"/>
  <c r="AX20" i="29"/>
  <c r="AY20" i="29"/>
  <c r="AZ20" i="29"/>
  <c r="AV21" i="29"/>
  <c r="AW21" i="29"/>
  <c r="AX21" i="29"/>
  <c r="AY21" i="29"/>
  <c r="AZ21" i="29"/>
  <c r="BD21" i="29"/>
  <c r="BE21" i="29" s="1"/>
  <c r="BF21" i="29" s="1"/>
  <c r="AV22" i="29"/>
  <c r="AW22" i="29"/>
  <c r="AX22" i="29"/>
  <c r="AY22" i="29"/>
  <c r="AZ22" i="29"/>
  <c r="AV23" i="29"/>
  <c r="AW23" i="29"/>
  <c r="BK23" i="29" s="1"/>
  <c r="AX23" i="29"/>
  <c r="AY23" i="29"/>
  <c r="AZ23" i="29"/>
  <c r="BH23" i="29"/>
  <c r="AV24" i="29"/>
  <c r="AW24" i="29"/>
  <c r="BD24" i="29" s="1"/>
  <c r="BE24" i="29" s="1"/>
  <c r="BF24" i="29" s="1"/>
  <c r="AX24" i="29"/>
  <c r="AY24" i="29"/>
  <c r="AZ24" i="29"/>
  <c r="AV25" i="29"/>
  <c r="AW25" i="29"/>
  <c r="BK25" i="29" s="1"/>
  <c r="AX25" i="29"/>
  <c r="AY25" i="29"/>
  <c r="BD25" i="29" s="1"/>
  <c r="BE25" i="29" s="1"/>
  <c r="BF25" i="29" s="1"/>
  <c r="AZ25" i="29"/>
  <c r="BH25" i="29"/>
  <c r="BJ25" i="29"/>
  <c r="AV26" i="29"/>
  <c r="AW26" i="29"/>
  <c r="BH26" i="29" s="1"/>
  <c r="AX26" i="29"/>
  <c r="AY26" i="29"/>
  <c r="AZ26" i="29"/>
  <c r="BG26" i="29"/>
  <c r="BI26" i="29"/>
  <c r="AV27" i="29"/>
  <c r="AW27" i="29"/>
  <c r="BG27" i="29" s="1"/>
  <c r="AX27" i="29"/>
  <c r="AY27" i="29"/>
  <c r="AZ27" i="29"/>
  <c r="BH27" i="29"/>
  <c r="AV28" i="29"/>
  <c r="AW28" i="29"/>
  <c r="AX28" i="29"/>
  <c r="AY28" i="29"/>
  <c r="AZ28" i="29"/>
  <c r="AV29" i="29"/>
  <c r="AW29" i="29"/>
  <c r="BH29" i="29" s="1"/>
  <c r="AX29" i="29"/>
  <c r="AY29" i="29"/>
  <c r="AZ29" i="29"/>
  <c r="BD29" i="29"/>
  <c r="BE29" i="29" s="1"/>
  <c r="BF29" i="29" s="1"/>
  <c r="BG29" i="29"/>
  <c r="BI29" i="29"/>
  <c r="BJ29" i="29"/>
  <c r="BL29" i="29"/>
  <c r="AV30" i="29"/>
  <c r="AW30" i="29"/>
  <c r="BJ30" i="29" s="1"/>
  <c r="AX30" i="29"/>
  <c r="AY30" i="29"/>
  <c r="AZ30" i="29"/>
  <c r="B202" i="18"/>
  <c r="C202" i="18"/>
  <c r="D202" i="18"/>
  <c r="E202" i="18"/>
  <c r="F202" i="18"/>
  <c r="G202" i="18"/>
  <c r="H202" i="18"/>
  <c r="I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V201" i="18"/>
  <c r="W201" i="18"/>
  <c r="X201" i="18"/>
  <c r="Y201" i="18"/>
  <c r="B201" i="18"/>
  <c r="O7" i="23"/>
  <c r="AF4" i="18"/>
  <c r="BK30" i="29" l="1"/>
  <c r="BL27" i="29"/>
  <c r="BI25" i="29"/>
  <c r="BG24" i="29"/>
  <c r="BD9" i="29"/>
  <c r="BE9" i="29" s="1"/>
  <c r="BF9" i="29" s="1"/>
  <c r="BJ9" i="29" s="1"/>
  <c r="BD8" i="29"/>
  <c r="BE8" i="29" s="1"/>
  <c r="BF8" i="29" s="1"/>
  <c r="BH24" i="29"/>
  <c r="BL23" i="29"/>
  <c r="BF15" i="29"/>
  <c r="BK15" i="29" s="1"/>
  <c r="BD12" i="29"/>
  <c r="BE12" i="29" s="1"/>
  <c r="BF12" i="29" s="1"/>
  <c r="BK29" i="29"/>
  <c r="BD27" i="29"/>
  <c r="BE27" i="29" s="1"/>
  <c r="BF27" i="29" s="1"/>
  <c r="BG25" i="29"/>
  <c r="BJ23" i="29"/>
  <c r="BL24" i="29"/>
  <c r="BI23" i="29"/>
  <c r="BK24" i="29"/>
  <c r="BL25" i="29"/>
  <c r="BJ24" i="29"/>
  <c r="BD23" i="29"/>
  <c r="BE23" i="29" s="1"/>
  <c r="BF23" i="29" s="1"/>
  <c r="BD17" i="29"/>
  <c r="BE17" i="29" s="1"/>
  <c r="BF17" i="29" s="1"/>
  <c r="BK17" i="29" s="1"/>
  <c r="BD16" i="29"/>
  <c r="BE16" i="29" s="1"/>
  <c r="BF16" i="29" s="1"/>
  <c r="BG16" i="29" s="1"/>
  <c r="BD28" i="29"/>
  <c r="BE28" i="29" s="1"/>
  <c r="BF28" i="29" s="1"/>
  <c r="BI24" i="29"/>
  <c r="BD20" i="29"/>
  <c r="BE20" i="29" s="1"/>
  <c r="BF20" i="29" s="1"/>
  <c r="BL20" i="29" s="1"/>
  <c r="BK21" i="29"/>
  <c r="BL21" i="29"/>
  <c r="BG21" i="29"/>
  <c r="BJ21" i="29"/>
  <c r="BI21" i="29"/>
  <c r="BG19" i="29"/>
  <c r="BG9" i="29"/>
  <c r="BK5" i="29"/>
  <c r="BL5" i="29"/>
  <c r="BG5" i="29"/>
  <c r="BJ5" i="29"/>
  <c r="BI5" i="29"/>
  <c r="BK13" i="29"/>
  <c r="BL13" i="29"/>
  <c r="BG13" i="29"/>
  <c r="BJ13" i="29"/>
  <c r="BG11" i="29"/>
  <c r="BH11" i="29"/>
  <c r="BL11" i="29"/>
  <c r="BK7" i="29"/>
  <c r="BL19" i="29"/>
  <c r="BJ7" i="29"/>
  <c r="BL7" i="29"/>
  <c r="BG4" i="29"/>
  <c r="BK4" i="29"/>
  <c r="BK12" i="29"/>
  <c r="BH30" i="29"/>
  <c r="BJ28" i="29"/>
  <c r="BK27" i="29"/>
  <c r="BL26" i="29"/>
  <c r="BD26" i="29"/>
  <c r="BE26" i="29" s="1"/>
  <c r="BF26" i="29" s="1"/>
  <c r="BG23" i="29"/>
  <c r="BK19" i="29"/>
  <c r="BD18" i="29"/>
  <c r="BE18" i="29" s="1"/>
  <c r="BF18" i="29" s="1"/>
  <c r="BJ18" i="29" s="1"/>
  <c r="BJ12" i="29"/>
  <c r="BK11" i="29"/>
  <c r="BD10" i="29"/>
  <c r="BE10" i="29" s="1"/>
  <c r="BF10" i="29" s="1"/>
  <c r="BG7" i="29"/>
  <c r="BJ4" i="29"/>
  <c r="BI30" i="29"/>
  <c r="BK28" i="29"/>
  <c r="BG30" i="29"/>
  <c r="BI28" i="29"/>
  <c r="BJ27" i="29"/>
  <c r="BK26" i="29"/>
  <c r="BJ19" i="29"/>
  <c r="BJ11" i="29"/>
  <c r="BI4" i="29"/>
  <c r="BH28" i="29"/>
  <c r="BI27" i="29"/>
  <c r="BJ26" i="29"/>
  <c r="BI19" i="29"/>
  <c r="BH12" i="29"/>
  <c r="BG28" i="29"/>
  <c r="BG12" i="29"/>
  <c r="BL30" i="29"/>
  <c r="BD30" i="29"/>
  <c r="BE30" i="29" s="1"/>
  <c r="BF30" i="29" s="1"/>
  <c r="BD22" i="29"/>
  <c r="BE22" i="29" s="1"/>
  <c r="BF22" i="29" s="1"/>
  <c r="BD14" i="29"/>
  <c r="BE14" i="29" s="1"/>
  <c r="BF14" i="29" s="1"/>
  <c r="BD6" i="29"/>
  <c r="BE6" i="29" s="1"/>
  <c r="BF6" i="29" s="1"/>
  <c r="BG6" i="29" s="1"/>
  <c r="BL28" i="29"/>
  <c r="BL12" i="29"/>
  <c r="BL4" i="29"/>
  <c r="C302" i="32"/>
  <c r="C299" i="32"/>
  <c r="C298" i="32"/>
  <c r="C297" i="32"/>
  <c r="C296" i="32"/>
  <c r="C295" i="32"/>
  <c r="BH9" i="29" l="1"/>
  <c r="BL9" i="29"/>
  <c r="BI22" i="29"/>
  <c r="BL22" i="29"/>
  <c r="BG22" i="29"/>
  <c r="BK22" i="29"/>
  <c r="BJ22" i="29"/>
  <c r="BG20" i="29"/>
  <c r="BK20" i="29"/>
  <c r="BJ20" i="29"/>
  <c r="BH20" i="29"/>
  <c r="BH15" i="29"/>
  <c r="BL15" i="29"/>
  <c r="BJ15" i="29"/>
  <c r="BG15" i="29"/>
  <c r="BL17" i="29"/>
  <c r="BJ16" i="29"/>
  <c r="BJ17" i="29"/>
  <c r="BJ8" i="29"/>
  <c r="BI8" i="29"/>
  <c r="BH16" i="29"/>
  <c r="BH17" i="29"/>
  <c r="BH8" i="29"/>
  <c r="BK16" i="29"/>
  <c r="BG17" i="29"/>
  <c r="BL16" i="29"/>
  <c r="BL8" i="29"/>
  <c r="BK9" i="29"/>
  <c r="BK8" i="29"/>
  <c r="BG10" i="29"/>
  <c r="BJ10" i="29"/>
  <c r="BH10" i="29"/>
  <c r="BL10" i="29"/>
  <c r="BK10" i="29"/>
  <c r="BK6" i="29"/>
  <c r="BI6" i="29"/>
  <c r="BL6" i="29"/>
  <c r="BG18" i="29"/>
  <c r="BI18" i="29"/>
  <c r="BK14" i="29"/>
  <c r="BI14" i="29"/>
  <c r="BL14" i="29"/>
  <c r="BG14" i="29"/>
  <c r="BK18" i="29"/>
  <c r="BJ14" i="29"/>
  <c r="BL18" i="29"/>
  <c r="BJ6" i="29"/>
  <c r="K23" i="7"/>
  <c r="L23" i="7" s="1"/>
  <c r="M23" i="7" s="1"/>
  <c r="N23" i="7"/>
  <c r="K24" i="7"/>
  <c r="L24" i="7" s="1"/>
  <c r="M24" i="7" s="1"/>
  <c r="N24" i="7"/>
  <c r="K25" i="7"/>
  <c r="L25" i="7" s="1"/>
  <c r="M25" i="7" s="1"/>
  <c r="N25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R19" i="18"/>
  <c r="S19" i="18"/>
  <c r="T19" i="18"/>
  <c r="U19" i="18"/>
  <c r="V19" i="18"/>
  <c r="W19" i="18"/>
  <c r="X19" i="18"/>
  <c r="Y19" i="18"/>
  <c r="H15" i="18"/>
  <c r="I15" i="18"/>
  <c r="J15" i="18"/>
  <c r="K15" i="18"/>
  <c r="L15" i="18"/>
  <c r="AD29" i="29"/>
  <c r="AD28" i="29"/>
  <c r="T38" i="31"/>
  <c r="AJ38" i="31" l="1"/>
  <c r="AG35" i="31"/>
  <c r="AI35" i="31" s="1"/>
  <c r="AG34" i="31"/>
  <c r="AH33" i="31"/>
  <c r="AI33" i="31" s="1"/>
  <c r="AG33" i="31"/>
  <c r="AH34" i="31" l="1"/>
  <c r="AI34" i="31" s="1"/>
  <c r="AI36" i="31" s="1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X9" i="29"/>
  <c r="T9" i="29"/>
  <c r="R9" i="29"/>
  <c r="Q9" i="29"/>
  <c r="P9" i="29"/>
  <c r="O9" i="29"/>
  <c r="N9" i="29"/>
  <c r="M9" i="29"/>
  <c r="L9" i="29"/>
  <c r="K9" i="29"/>
  <c r="G9" i="29"/>
  <c r="F9" i="29"/>
  <c r="E9" i="29"/>
  <c r="D9" i="29"/>
  <c r="C9" i="29"/>
  <c r="Z8" i="29"/>
  <c r="Y8" i="29"/>
  <c r="X8" i="29"/>
  <c r="T8" i="29"/>
  <c r="R8" i="29"/>
  <c r="Q8" i="29"/>
  <c r="P8" i="29"/>
  <c r="O8" i="29"/>
  <c r="N8" i="29"/>
  <c r="M8" i="29"/>
  <c r="L8" i="29"/>
  <c r="K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T245" i="31" l="1"/>
  <c r="X245" i="31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0" i="32" s="1"/>
  <c r="AK200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C188" i="32" s="1"/>
  <c r="D188" i="32" s="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T136" i="31" s="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D105" i="31" s="1"/>
  <c r="X103" i="31"/>
  <c r="X100" i="31"/>
  <c r="BS100" i="31" s="1"/>
  <c r="X99" i="31"/>
  <c r="BA99" i="31" s="1"/>
  <c r="X98" i="31"/>
  <c r="BO98" i="31" s="1"/>
  <c r="X97" i="31"/>
  <c r="X96" i="31"/>
  <c r="BP96" i="31" s="1"/>
  <c r="X93" i="31"/>
  <c r="BE93" i="31" s="1"/>
  <c r="X91" i="31"/>
  <c r="BU91" i="31" s="1"/>
  <c r="X89" i="31"/>
  <c r="BM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W201" i="29"/>
  <c r="V201" i="29"/>
  <c r="V203" i="29" s="1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M201" i="29"/>
  <c r="M203" i="29" s="1"/>
  <c r="L201" i="29"/>
  <c r="L203" i="29" s="1"/>
  <c r="K201" i="29"/>
  <c r="K203" i="29" s="1"/>
  <c r="J201" i="29"/>
  <c r="J203" i="29" s="1"/>
  <c r="I201" i="29"/>
  <c r="I203" i="29" s="1"/>
  <c r="H201" i="29"/>
  <c r="G201" i="29"/>
  <c r="G203" i="29" s="1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V196" i="29" s="1"/>
  <c r="Z76" i="30" s="1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F196" i="29" s="1"/>
  <c r="J76" i="30" s="1"/>
  <c r="E181" i="29"/>
  <c r="D181" i="29"/>
  <c r="C181" i="29"/>
  <c r="Z180" i="29"/>
  <c r="Y180" i="29"/>
  <c r="X180" i="29"/>
  <c r="W180" i="29"/>
  <c r="V180" i="29"/>
  <c r="U180" i="29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E180" i="29"/>
  <c r="E195" i="29" s="1"/>
  <c r="I75" i="30" s="1"/>
  <c r="D180" i="29"/>
  <c r="C180" i="29"/>
  <c r="B165" i="29"/>
  <c r="B122" i="29"/>
  <c r="B80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Y162" i="29"/>
  <c r="R162" i="29"/>
  <c r="P162" i="29"/>
  <c r="J162" i="29"/>
  <c r="H162" i="29"/>
  <c r="AA161" i="29"/>
  <c r="Z161" i="29" s="1"/>
  <c r="X161" i="29"/>
  <c r="L161" i="29"/>
  <c r="K161" i="29"/>
  <c r="H161" i="29"/>
  <c r="AA160" i="29"/>
  <c r="U160" i="29" s="1"/>
  <c r="X160" i="29"/>
  <c r="S160" i="29"/>
  <c r="P160" i="29"/>
  <c r="K160" i="29"/>
  <c r="H160" i="29"/>
  <c r="C160" i="29"/>
  <c r="AA159" i="29"/>
  <c r="Z159" i="29" s="1"/>
  <c r="X159" i="29"/>
  <c r="O159" i="29"/>
  <c r="L159" i="29"/>
  <c r="K159" i="29"/>
  <c r="H159" i="29"/>
  <c r="AA158" i="29"/>
  <c r="U158" i="29" s="1"/>
  <c r="X158" i="29"/>
  <c r="S158" i="29"/>
  <c r="P158" i="29"/>
  <c r="K158" i="29"/>
  <c r="H158" i="29"/>
  <c r="C158" i="29"/>
  <c r="AA157" i="29"/>
  <c r="X157" i="29" s="1"/>
  <c r="Q157" i="29"/>
  <c r="AA156" i="29"/>
  <c r="S156" i="29" s="1"/>
  <c r="AA155" i="29"/>
  <c r="X155" i="29" s="1"/>
  <c r="V155" i="29"/>
  <c r="U155" i="29"/>
  <c r="S155" i="29"/>
  <c r="R155" i="29"/>
  <c r="Q155" i="29"/>
  <c r="K155" i="29"/>
  <c r="J155" i="29"/>
  <c r="I155" i="29"/>
  <c r="G155" i="29"/>
  <c r="F155" i="29"/>
  <c r="AA154" i="29"/>
  <c r="X154" i="29" s="1"/>
  <c r="S154" i="29"/>
  <c r="D154" i="29"/>
  <c r="AA153" i="29"/>
  <c r="X153" i="29" s="1"/>
  <c r="Q153" i="29"/>
  <c r="F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T119" i="29" s="1"/>
  <c r="Z119" i="29"/>
  <c r="Y119" i="29"/>
  <c r="X119" i="29"/>
  <c r="W119" i="29"/>
  <c r="S119" i="29"/>
  <c r="R119" i="29"/>
  <c r="Q119" i="29"/>
  <c r="P119" i="29"/>
  <c r="O119" i="29"/>
  <c r="K119" i="29"/>
  <c r="J119" i="29"/>
  <c r="I119" i="29"/>
  <c r="H119" i="29"/>
  <c r="G119" i="29"/>
  <c r="F119" i="29"/>
  <c r="E119" i="29"/>
  <c r="D119" i="29"/>
  <c r="C119" i="29"/>
  <c r="AA118" i="29"/>
  <c r="V118" i="29"/>
  <c r="F118" i="29"/>
  <c r="AA117" i="29"/>
  <c r="Z117" i="29" s="1"/>
  <c r="X117" i="29"/>
  <c r="W117" i="29"/>
  <c r="V117" i="29"/>
  <c r="U117" i="29"/>
  <c r="S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AA116" i="29"/>
  <c r="Z116" i="29"/>
  <c r="X116" i="29"/>
  <c r="W116" i="29"/>
  <c r="V116" i="29"/>
  <c r="T116" i="29"/>
  <c r="S116" i="29"/>
  <c r="R116" i="29"/>
  <c r="P116" i="29"/>
  <c r="O116" i="29"/>
  <c r="N116" i="29"/>
  <c r="L116" i="29"/>
  <c r="K116" i="29"/>
  <c r="J116" i="29"/>
  <c r="H116" i="29"/>
  <c r="G116" i="29"/>
  <c r="F116" i="29"/>
  <c r="D116" i="29"/>
  <c r="C116" i="29"/>
  <c r="AA115" i="29"/>
  <c r="V115" i="29" s="1"/>
  <c r="U115" i="29"/>
  <c r="T115" i="29"/>
  <c r="S115" i="29"/>
  <c r="Q115" i="29"/>
  <c r="N115" i="29"/>
  <c r="L115" i="29"/>
  <c r="K115" i="29"/>
  <c r="J115" i="29"/>
  <c r="H115" i="29"/>
  <c r="F115" i="29"/>
  <c r="D115" i="29"/>
  <c r="C115" i="29"/>
  <c r="AA114" i="29"/>
  <c r="V114" i="29" s="1"/>
  <c r="P114" i="29"/>
  <c r="K114" i="29"/>
  <c r="F114" i="29"/>
  <c r="AA113" i="29"/>
  <c r="V113" i="29" s="1"/>
  <c r="Z113" i="29"/>
  <c r="Y113" i="29"/>
  <c r="W113" i="29"/>
  <c r="S113" i="29"/>
  <c r="R113" i="29"/>
  <c r="Q113" i="29"/>
  <c r="O113" i="29"/>
  <c r="K113" i="29"/>
  <c r="J113" i="29"/>
  <c r="I113" i="29"/>
  <c r="G113" i="29"/>
  <c r="C113" i="29"/>
  <c r="AA112" i="29"/>
  <c r="W112" i="29" s="1"/>
  <c r="X112" i="29"/>
  <c r="R112" i="29"/>
  <c r="P112" i="29"/>
  <c r="N112" i="29"/>
  <c r="G112" i="29"/>
  <c r="F112" i="29"/>
  <c r="D112" i="29"/>
  <c r="AA111" i="29"/>
  <c r="Y111" i="29" s="1"/>
  <c r="Z111" i="29"/>
  <c r="W111" i="29"/>
  <c r="V111" i="29"/>
  <c r="R111" i="29"/>
  <c r="N111" i="29"/>
  <c r="K111" i="29"/>
  <c r="J111" i="29"/>
  <c r="G111" i="29"/>
  <c r="F111" i="29"/>
  <c r="AA110" i="29"/>
  <c r="Z110" i="29" s="1"/>
  <c r="Y110" i="29"/>
  <c r="X110" i="29"/>
  <c r="W110" i="29"/>
  <c r="U110" i="29"/>
  <c r="T110" i="29"/>
  <c r="Q110" i="29"/>
  <c r="P110" i="29"/>
  <c r="O110" i="29"/>
  <c r="M110" i="29"/>
  <c r="L110" i="29"/>
  <c r="K110" i="29"/>
  <c r="I110" i="29"/>
  <c r="G110" i="29"/>
  <c r="E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M129" i="32" s="1"/>
  <c r="L95" i="32"/>
  <c r="K95" i="32"/>
  <c r="J95" i="32"/>
  <c r="I95" i="32"/>
  <c r="H95" i="32"/>
  <c r="AE94" i="32"/>
  <c r="AD94" i="32"/>
  <c r="AC94" i="32"/>
  <c r="AC129" i="32" s="1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Q159" i="32" s="1"/>
  <c r="BP107" i="32"/>
  <c r="BO107" i="32"/>
  <c r="BN107" i="32"/>
  <c r="BM107" i="32"/>
  <c r="BL107" i="32"/>
  <c r="BK107" i="32"/>
  <c r="BJ107" i="32"/>
  <c r="BI107" i="32"/>
  <c r="BI159" i="32" s="1"/>
  <c r="BH107" i="32"/>
  <c r="BG107" i="32"/>
  <c r="BF107" i="32"/>
  <c r="BE107" i="32"/>
  <c r="BD107" i="32"/>
  <c r="BC107" i="32"/>
  <c r="BB107" i="32"/>
  <c r="BA107" i="32"/>
  <c r="BA159" i="32" s="1"/>
  <c r="AZ107" i="32"/>
  <c r="AY107" i="32"/>
  <c r="AX107" i="32"/>
  <c r="AW107" i="32"/>
  <c r="AV107" i="32"/>
  <c r="BS106" i="32"/>
  <c r="BR106" i="32"/>
  <c r="BR158" i="32" s="1"/>
  <c r="BQ106" i="32"/>
  <c r="BP106" i="32"/>
  <c r="BO106" i="32"/>
  <c r="BN106" i="32"/>
  <c r="BN158" i="32" s="1"/>
  <c r="BM106" i="32"/>
  <c r="BL106" i="32"/>
  <c r="BK106" i="32"/>
  <c r="BJ106" i="32"/>
  <c r="BJ158" i="32" s="1"/>
  <c r="BI106" i="32"/>
  <c r="BH106" i="32"/>
  <c r="BG106" i="32"/>
  <c r="BF106" i="32"/>
  <c r="BF158" i="32" s="1"/>
  <c r="BE106" i="32"/>
  <c r="BD106" i="32"/>
  <c r="BC106" i="32"/>
  <c r="BB106" i="32"/>
  <c r="BB158" i="32" s="1"/>
  <c r="BA106" i="32"/>
  <c r="AZ106" i="32"/>
  <c r="AY106" i="32"/>
  <c r="AX106" i="32"/>
  <c r="AX158" i="32" s="1"/>
  <c r="AW106" i="32"/>
  <c r="AV106" i="32"/>
  <c r="BS105" i="32"/>
  <c r="BS157" i="32" s="1"/>
  <c r="BR105" i="32"/>
  <c r="BQ105" i="32"/>
  <c r="BP105" i="32"/>
  <c r="BO105" i="32"/>
  <c r="BO157" i="32" s="1"/>
  <c r="BN105" i="32"/>
  <c r="BM105" i="32"/>
  <c r="BL105" i="32"/>
  <c r="BK105" i="32"/>
  <c r="BK157" i="32" s="1"/>
  <c r="BJ105" i="32"/>
  <c r="BI105" i="32"/>
  <c r="BH105" i="32"/>
  <c r="BG105" i="32"/>
  <c r="BG157" i="32" s="1"/>
  <c r="BF105" i="32"/>
  <c r="BE105" i="32"/>
  <c r="BD105" i="32"/>
  <c r="BC105" i="32"/>
  <c r="BC157" i="32" s="1"/>
  <c r="BB105" i="32"/>
  <c r="BA105" i="32"/>
  <c r="AZ105" i="32"/>
  <c r="AY105" i="32"/>
  <c r="AY157" i="32" s="1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Q156" i="32" s="1"/>
  <c r="BP103" i="32"/>
  <c r="BO103" i="32"/>
  <c r="BN103" i="32"/>
  <c r="BM103" i="32"/>
  <c r="BM156" i="32" s="1"/>
  <c r="BL103" i="32"/>
  <c r="BK103" i="32"/>
  <c r="BJ103" i="32"/>
  <c r="BI103" i="32"/>
  <c r="BI156" i="32" s="1"/>
  <c r="BH103" i="32"/>
  <c r="BG103" i="32"/>
  <c r="BF103" i="32"/>
  <c r="BE103" i="32"/>
  <c r="BE156" i="32" s="1"/>
  <c r="BD103" i="32"/>
  <c r="BC103" i="32"/>
  <c r="BB103" i="32"/>
  <c r="BA103" i="32"/>
  <c r="BA156" i="32" s="1"/>
  <c r="AZ103" i="32"/>
  <c r="AY103" i="32"/>
  <c r="AX103" i="32"/>
  <c r="AW103" i="32"/>
  <c r="AW156" i="32" s="1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K155" i="32" s="1"/>
  <c r="BJ102" i="32"/>
  <c r="BJ155" i="32" s="1"/>
  <c r="BI102" i="32"/>
  <c r="BI155" i="32" s="1"/>
  <c r="BH102" i="32"/>
  <c r="BG102" i="32"/>
  <c r="BF102" i="32"/>
  <c r="BF155" i="32" s="1"/>
  <c r="BE102" i="32"/>
  <c r="BD102" i="32"/>
  <c r="BC102" i="32"/>
  <c r="BB102" i="32"/>
  <c r="BB155" i="32" s="1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K154" i="32" s="1"/>
  <c r="BJ101" i="32"/>
  <c r="BI101" i="32"/>
  <c r="BH101" i="32"/>
  <c r="BG101" i="32"/>
  <c r="BG154" i="32" s="1"/>
  <c r="BF101" i="32"/>
  <c r="BE101" i="32"/>
  <c r="BD101" i="32"/>
  <c r="BC101" i="32"/>
  <c r="BC154" i="32" s="1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M152" i="32" s="1"/>
  <c r="BL99" i="32"/>
  <c r="BK99" i="32"/>
  <c r="BJ99" i="32"/>
  <c r="BI99" i="32"/>
  <c r="BI152" i="32" s="1"/>
  <c r="BH99" i="32"/>
  <c r="BG99" i="32"/>
  <c r="BF99" i="32"/>
  <c r="BE99" i="32"/>
  <c r="BE152" i="32" s="1"/>
  <c r="BD99" i="32"/>
  <c r="BC99" i="32"/>
  <c r="BB99" i="32"/>
  <c r="BA99" i="32"/>
  <c r="BA152" i="32" s="1"/>
  <c r="AZ99" i="32"/>
  <c r="AY99" i="32"/>
  <c r="AX99" i="32"/>
  <c r="AW99" i="32"/>
  <c r="AV99" i="32"/>
  <c r="BS98" i="32"/>
  <c r="BR98" i="32"/>
  <c r="BR151" i="32" s="1"/>
  <c r="BQ98" i="32"/>
  <c r="BQ151" i="32" s="1"/>
  <c r="BP98" i="32"/>
  <c r="BP151" i="32" s="1"/>
  <c r="BO98" i="32"/>
  <c r="BN98" i="32"/>
  <c r="BN151" i="32" s="1"/>
  <c r="BM98" i="32"/>
  <c r="BL98" i="32"/>
  <c r="BK98" i="32"/>
  <c r="BK151" i="32" s="1"/>
  <c r="BJ98" i="32"/>
  <c r="BJ151" i="32" s="1"/>
  <c r="BI98" i="32"/>
  <c r="BH98" i="32"/>
  <c r="BH151" i="32" s="1"/>
  <c r="BG98" i="32"/>
  <c r="BF98" i="32"/>
  <c r="BF151" i="32" s="1"/>
  <c r="BE98" i="32"/>
  <c r="BD98" i="32"/>
  <c r="BC98" i="32"/>
  <c r="BB98" i="32"/>
  <c r="BA98" i="32"/>
  <c r="AZ98" i="32"/>
  <c r="AY98" i="32"/>
  <c r="AX98" i="32"/>
  <c r="AX151" i="32" s="1"/>
  <c r="AW98" i="32"/>
  <c r="AV98" i="32"/>
  <c r="AT96" i="32"/>
  <c r="AT85" i="32" s="1"/>
  <c r="AT95" i="32"/>
  <c r="AT94" i="32"/>
  <c r="AT93" i="32"/>
  <c r="AT92" i="32"/>
  <c r="AT156" i="32" s="1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X73" i="31" s="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Q78" i="31" s="1"/>
  <c r="BP56" i="31"/>
  <c r="BP78" i="31" s="1"/>
  <c r="BO56" i="31"/>
  <c r="BN56" i="31"/>
  <c r="BM56" i="31"/>
  <c r="BM78" i="31" s="1"/>
  <c r="BL56" i="31"/>
  <c r="BK56" i="31"/>
  <c r="BJ56" i="31"/>
  <c r="BI56" i="31"/>
  <c r="BI78" i="31" s="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R75" i="31" s="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N52" i="31"/>
  <c r="BM52" i="31"/>
  <c r="BM74" i="31" s="1"/>
  <c r="BL52" i="31"/>
  <c r="BL74" i="31" s="1"/>
  <c r="BK52" i="31"/>
  <c r="BJ52" i="31"/>
  <c r="BI52" i="31"/>
  <c r="BI74" i="31" s="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C73" i="31" s="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C72" i="31" s="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BA71" i="31" s="1"/>
  <c r="AZ49" i="31"/>
  <c r="AY49" i="31"/>
  <c r="AX49" i="31"/>
  <c r="AX71" i="31" s="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E70" i="31" s="1"/>
  <c r="BD48" i="31"/>
  <c r="BC48" i="31"/>
  <c r="BB48" i="31"/>
  <c r="BA48" i="31"/>
  <c r="BA70" i="31" s="1"/>
  <c r="AZ48" i="31"/>
  <c r="AY48" i="31"/>
  <c r="AX48" i="31"/>
  <c r="AW48" i="31"/>
  <c r="AW70" i="31" s="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M94" i="30" s="1"/>
  <c r="BL41" i="30"/>
  <c r="BK41" i="30"/>
  <c r="BK94" i="30" s="1"/>
  <c r="BJ41" i="30"/>
  <c r="BI41" i="30"/>
  <c r="BH41" i="30"/>
  <c r="BG41" i="30"/>
  <c r="BG94" i="30" s="1"/>
  <c r="BF41" i="30"/>
  <c r="BE41" i="30"/>
  <c r="BE94" i="30" s="1"/>
  <c r="BD41" i="30"/>
  <c r="BD94" i="30" s="1"/>
  <c r="BC41" i="30"/>
  <c r="BB41" i="30"/>
  <c r="BA41" i="30"/>
  <c r="AZ41" i="30"/>
  <c r="AY41" i="30"/>
  <c r="AY94" i="30" s="1"/>
  <c r="AX41" i="30"/>
  <c r="AW41" i="30"/>
  <c r="AW94" i="30" s="1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S90" i="30" s="1"/>
  <c r="BR37" i="30"/>
  <c r="BR90" i="30" s="1"/>
  <c r="BQ37" i="30"/>
  <c r="BP37" i="30"/>
  <c r="BO37" i="30"/>
  <c r="BN37" i="30"/>
  <c r="BM37" i="30"/>
  <c r="BL37" i="30"/>
  <c r="BK37" i="30"/>
  <c r="BJ37" i="30"/>
  <c r="BJ90" i="30" s="1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J15" i="30" s="1"/>
  <c r="BJ60" i="30" s="1"/>
  <c r="BJ106" i="30" s="1"/>
  <c r="BI4" i="30"/>
  <c r="BH4" i="30"/>
  <c r="BG4" i="30"/>
  <c r="BF4" i="30"/>
  <c r="BE4" i="30"/>
  <c r="BD4" i="30"/>
  <c r="BC4" i="30"/>
  <c r="BB4" i="30"/>
  <c r="BB90" i="30" s="1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V3" i="29" s="1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J20" i="29" s="1"/>
  <c r="J21" i="29" s="1"/>
  <c r="J7" i="29" s="1"/>
  <c r="J12" i="29" s="1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L70" i="29" s="1"/>
  <c r="K83" i="29"/>
  <c r="J83" i="29"/>
  <c r="I83" i="29"/>
  <c r="H83" i="29"/>
  <c r="G83" i="29"/>
  <c r="F83" i="29"/>
  <c r="E83" i="29"/>
  <c r="D83" i="29"/>
  <c r="D70" i="29" s="1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O77" i="29" s="1"/>
  <c r="K77" i="29"/>
  <c r="AA76" i="29"/>
  <c r="X76" i="29" s="1"/>
  <c r="Y76" i="29"/>
  <c r="R76" i="29"/>
  <c r="Q76" i="29"/>
  <c r="N76" i="29"/>
  <c r="I76" i="29"/>
  <c r="H76" i="29"/>
  <c r="F76" i="29"/>
  <c r="AA75" i="29"/>
  <c r="K75" i="29" s="1"/>
  <c r="AA74" i="29"/>
  <c r="X74" i="29" s="1"/>
  <c r="W74" i="29"/>
  <c r="V74" i="29"/>
  <c r="U74" i="29"/>
  <c r="R74" i="29"/>
  <c r="Q74" i="29"/>
  <c r="M74" i="29"/>
  <c r="L74" i="29"/>
  <c r="K74" i="29"/>
  <c r="I74" i="29"/>
  <c r="H74" i="29"/>
  <c r="E74" i="29"/>
  <c r="D74" i="29"/>
  <c r="C74" i="29"/>
  <c r="AA73" i="29"/>
  <c r="AA72" i="29"/>
  <c r="O72" i="29" s="1"/>
  <c r="AA71" i="29"/>
  <c r="W71" i="29" s="1"/>
  <c r="O71" i="29"/>
  <c r="AA70" i="29"/>
  <c r="X70" i="29" s="1"/>
  <c r="V70" i="29"/>
  <c r="F70" i="29"/>
  <c r="E70" i="29"/>
  <c r="AA69" i="29"/>
  <c r="W69" i="29" s="1"/>
  <c r="AA68" i="29"/>
  <c r="R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J131" i="31" s="1"/>
  <c r="C130" i="31"/>
  <c r="B130" i="3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C125" i="31"/>
  <c r="B125" i="31"/>
  <c r="D125" i="31" s="1"/>
  <c r="C124" i="31"/>
  <c r="B124" i="31"/>
  <c r="C123" i="31"/>
  <c r="B123" i="31"/>
  <c r="D123" i="31" s="1"/>
  <c r="C122" i="31"/>
  <c r="B122" i="31"/>
  <c r="T40" i="31"/>
  <c r="V40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V33" i="28" s="1"/>
  <c r="AC33" i="28" s="1"/>
  <c r="U32" i="28"/>
  <c r="T32" i="28"/>
  <c r="V32" i="28" s="1"/>
  <c r="U31" i="28"/>
  <c r="T31" i="28"/>
  <c r="V31" i="28" s="1"/>
  <c r="U30" i="28"/>
  <c r="T30" i="28"/>
  <c r="V30" i="28" s="1"/>
  <c r="AC30" i="28" s="1"/>
  <c r="U29" i="28"/>
  <c r="T29" i="28"/>
  <c r="V29" i="28" s="1"/>
  <c r="AB29" i="28" s="1"/>
  <c r="U28" i="28"/>
  <c r="T28" i="28"/>
  <c r="V28" i="28" s="1"/>
  <c r="U27" i="28"/>
  <c r="T27" i="28"/>
  <c r="V27" i="28" s="1"/>
  <c r="Z27" i="28" s="1"/>
  <c r="U26" i="28"/>
  <c r="T26" i="28"/>
  <c r="V26" i="28" s="1"/>
  <c r="U25" i="28"/>
  <c r="U34" i="28" s="1"/>
  <c r="T25" i="28"/>
  <c r="V25" i="28" s="1"/>
  <c r="Z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I153" i="32"/>
  <c r="X130" i="32"/>
  <c r="H136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P159" i="32"/>
  <c r="BO159" i="32"/>
  <c r="BN159" i="32"/>
  <c r="BM159" i="32"/>
  <c r="BL159" i="32"/>
  <c r="BK159" i="32"/>
  <c r="BJ159" i="32"/>
  <c r="BH159" i="32"/>
  <c r="BG159" i="32"/>
  <c r="BF159" i="32"/>
  <c r="BE159" i="32"/>
  <c r="BD159" i="32"/>
  <c r="BC159" i="32"/>
  <c r="BB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DC106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Q158" i="32"/>
  <c r="BP158" i="32"/>
  <c r="BO158" i="32"/>
  <c r="BM158" i="32"/>
  <c r="BL158" i="32"/>
  <c r="BK158" i="32"/>
  <c r="BI158" i="32"/>
  <c r="BH158" i="32"/>
  <c r="BG158" i="32"/>
  <c r="BE158" i="32"/>
  <c r="BD158" i="32"/>
  <c r="BC158" i="32"/>
  <c r="BA158" i="32"/>
  <c r="AZ158" i="32"/>
  <c r="AY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R157" i="32"/>
  <c r="BQ157" i="32"/>
  <c r="BP157" i="32"/>
  <c r="BN157" i="32"/>
  <c r="BM157" i="32"/>
  <c r="BL157" i="32"/>
  <c r="BJ157" i="32"/>
  <c r="BI157" i="32"/>
  <c r="BH157" i="32"/>
  <c r="BF157" i="32"/>
  <c r="BE157" i="32"/>
  <c r="BD157" i="32"/>
  <c r="BB157" i="32"/>
  <c r="BA157" i="32"/>
  <c r="AZ157" i="32"/>
  <c r="AX157" i="32"/>
  <c r="AW157" i="32"/>
  <c r="AV157" i="32"/>
  <c r="DC104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P156" i="32"/>
  <c r="BO156" i="32"/>
  <c r="BN156" i="32"/>
  <c r="BL156" i="32"/>
  <c r="BK156" i="32"/>
  <c r="BJ156" i="32"/>
  <c r="BH156" i="32"/>
  <c r="BG156" i="32"/>
  <c r="BF156" i="32"/>
  <c r="BD156" i="32"/>
  <c r="BC156" i="32"/>
  <c r="BB156" i="32"/>
  <c r="AZ156" i="32"/>
  <c r="AY156" i="32"/>
  <c r="AX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M155" i="32"/>
  <c r="BL155" i="32"/>
  <c r="BH155" i="32"/>
  <c r="BG155" i="32"/>
  <c r="BE155" i="32"/>
  <c r="BD155" i="32"/>
  <c r="BC155" i="32"/>
  <c r="BA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N154" i="32"/>
  <c r="BM154" i="32"/>
  <c r="BL154" i="32"/>
  <c r="BJ154" i="32"/>
  <c r="BI154" i="32"/>
  <c r="BH154" i="32"/>
  <c r="BF154" i="32"/>
  <c r="BE154" i="32"/>
  <c r="BD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BZ100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BN152" i="32"/>
  <c r="BL152" i="32"/>
  <c r="BK152" i="32"/>
  <c r="BJ152" i="32"/>
  <c r="BH152" i="32"/>
  <c r="BG152" i="32"/>
  <c r="BF152" i="32"/>
  <c r="BD152" i="32"/>
  <c r="BC152" i="32"/>
  <c r="BB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O151" i="32"/>
  <c r="BM151" i="32"/>
  <c r="BL151" i="32"/>
  <c r="BI151" i="32"/>
  <c r="BG151" i="32"/>
  <c r="BA151" i="32"/>
  <c r="AZ151" i="32"/>
  <c r="AY151" i="32"/>
  <c r="AW151" i="32"/>
  <c r="AV151" i="32"/>
  <c r="DP96" i="32"/>
  <c r="DI96" i="32"/>
  <c r="DD96" i="32"/>
  <c r="CK96" i="32"/>
  <c r="CG96" i="32"/>
  <c r="CA96" i="32"/>
  <c r="CS96" i="32" s="1"/>
  <c r="BZ96" i="32"/>
  <c r="BZ159" i="32" s="1"/>
  <c r="BL96" i="32"/>
  <c r="AU96" i="32"/>
  <c r="BO96" i="32" s="1"/>
  <c r="AT159" i="32"/>
  <c r="DD95" i="32"/>
  <c r="CA95" i="32"/>
  <c r="AU95" i="32"/>
  <c r="AT158" i="32"/>
  <c r="EA94" i="32"/>
  <c r="DZ94" i="32"/>
  <c r="DV94" i="32"/>
  <c r="DU94" i="32"/>
  <c r="DS94" i="32"/>
  <c r="DQ94" i="32"/>
  <c r="DO94" i="32"/>
  <c r="DK94" i="32"/>
  <c r="DJ94" i="32"/>
  <c r="DI94" i="32"/>
  <c r="DF94" i="32"/>
  <c r="DE94" i="32"/>
  <c r="DD94" i="32"/>
  <c r="EB94" i="32" s="1"/>
  <c r="DC94" i="32"/>
  <c r="DC157" i="32" s="1"/>
  <c r="CU94" i="32"/>
  <c r="CA94" i="32"/>
  <c r="CR94" i="32" s="1"/>
  <c r="BR94" i="32"/>
  <c r="BP94" i="32"/>
  <c r="BE94" i="32"/>
  <c r="AU94" i="32"/>
  <c r="BI94" i="32" s="1"/>
  <c r="DD93" i="32"/>
  <c r="CJ93" i="32"/>
  <c r="CA93" i="32"/>
  <c r="BR93" i="32"/>
  <c r="BG93" i="32"/>
  <c r="BB93" i="32"/>
  <c r="AY93" i="32"/>
  <c r="AU93" i="32"/>
  <c r="BO93" i="32" s="1"/>
  <c r="DW92" i="32"/>
  <c r="DO92" i="32"/>
  <c r="DD92" i="32"/>
  <c r="EA92" i="32" s="1"/>
  <c r="DC92" i="32"/>
  <c r="DC156" i="32" s="1"/>
  <c r="CA92" i="32"/>
  <c r="AU92" i="32"/>
  <c r="DX91" i="32"/>
  <c r="DK91" i="32"/>
  <c r="DH91" i="32"/>
  <c r="DD91" i="32"/>
  <c r="DC91" i="32"/>
  <c r="DC155" i="32" s="1"/>
  <c r="CA91" i="32"/>
  <c r="AU91" i="32"/>
  <c r="CS91" i="32" s="1"/>
  <c r="AT155" i="32"/>
  <c r="EA90" i="32"/>
  <c r="DX90" i="32"/>
  <c r="DP90" i="32"/>
  <c r="DK90" i="32"/>
  <c r="DD90" i="32"/>
  <c r="DH90" i="32" s="1"/>
  <c r="DC90" i="32"/>
  <c r="DC154" i="32" s="1"/>
  <c r="CR90" i="32"/>
  <c r="CG90" i="32"/>
  <c r="CA90" i="32"/>
  <c r="BR90" i="32"/>
  <c r="BG90" i="32"/>
  <c r="AU90" i="32"/>
  <c r="CO90" i="32" s="1"/>
  <c r="EB89" i="32"/>
  <c r="DT89" i="32"/>
  <c r="DL89" i="32"/>
  <c r="DD89" i="32"/>
  <c r="CK89" i="32"/>
  <c r="CA89" i="32"/>
  <c r="AU89" i="32"/>
  <c r="DW88" i="32"/>
  <c r="DO88" i="32"/>
  <c r="DG88" i="32"/>
  <c r="DD88" i="32"/>
  <c r="EA88" i="32" s="1"/>
  <c r="CN88" i="32"/>
  <c r="CA88" i="32"/>
  <c r="AU88" i="32"/>
  <c r="EA87" i="32"/>
  <c r="DG87" i="32"/>
  <c r="DD87" i="32"/>
  <c r="CA87" i="32"/>
  <c r="AU87" i="32"/>
  <c r="CS87" i="32" s="1"/>
  <c r="AT151" i="32"/>
  <c r="AT84" i="32"/>
  <c r="C83" i="32"/>
  <c r="DC81" i="32"/>
  <c r="DC115" i="32" s="1"/>
  <c r="BZ79" i="32"/>
  <c r="BZ113" i="32" s="1"/>
  <c r="AT79" i="32"/>
  <c r="DC78" i="32"/>
  <c r="DC112" i="32" s="1"/>
  <c r="BZ78" i="32"/>
  <c r="BZ112" i="32" s="1"/>
  <c r="AT75" i="32"/>
  <c r="DC130" i="32"/>
  <c r="BZ130" i="32"/>
  <c r="AT73" i="32"/>
  <c r="DC129" i="32"/>
  <c r="AT72" i="32"/>
  <c r="DC105" i="32"/>
  <c r="DC127" i="32"/>
  <c r="BZ127" i="32"/>
  <c r="DC126" i="32"/>
  <c r="BZ126" i="32"/>
  <c r="DC125" i="32"/>
  <c r="BZ91" i="32"/>
  <c r="BZ155" i="32" s="1"/>
  <c r="AT68" i="32"/>
  <c r="DC123" i="32"/>
  <c r="DC169" i="32" s="1"/>
  <c r="AT64" i="32"/>
  <c r="DD62" i="32"/>
  <c r="CA62" i="32"/>
  <c r="C62" i="32"/>
  <c r="D62" i="32" s="1"/>
  <c r="C61" i="32"/>
  <c r="D61" i="32" s="1"/>
  <c r="D60" i="32"/>
  <c r="C60" i="32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D52" i="32"/>
  <c r="C52" i="32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D4" i="32"/>
  <c r="C4" i="32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T246" i="31"/>
  <c r="B166" i="31" s="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C80" i="32"/>
  <c r="B167" i="31"/>
  <c r="J153" i="31"/>
  <c r="C226" i="32" s="1"/>
  <c r="B152" i="31"/>
  <c r="AI144" i="31"/>
  <c r="AI141" i="31"/>
  <c r="AI138" i="31"/>
  <c r="Z136" i="31"/>
  <c r="AA136" i="31" s="1"/>
  <c r="AI135" i="31"/>
  <c r="T135" i="31"/>
  <c r="M112" i="31"/>
  <c r="L112" i="31"/>
  <c r="Z133" i="31"/>
  <c r="AA133" i="31" s="1"/>
  <c r="AI132" i="31"/>
  <c r="Z132" i="31"/>
  <c r="AA132" i="31" s="1"/>
  <c r="AI129" i="31"/>
  <c r="Z135" i="31"/>
  <c r="AA135" i="31" s="1"/>
  <c r="AI126" i="31"/>
  <c r="X107" i="31"/>
  <c r="X106" i="31"/>
  <c r="BK106" i="31" s="1"/>
  <c r="X104" i="31"/>
  <c r="BS104" i="31" s="1"/>
  <c r="BD98" i="31"/>
  <c r="AT98" i="31"/>
  <c r="X92" i="31"/>
  <c r="AQ92" i="31" s="1"/>
  <c r="X90" i="31"/>
  <c r="AQ90" i="31" s="1"/>
  <c r="DT78" i="31"/>
  <c r="BR78" i="31"/>
  <c r="BD77" i="31"/>
  <c r="CS76" i="31"/>
  <c r="DP75" i="31"/>
  <c r="DE73" i="31"/>
  <c r="CO73" i="31"/>
  <c r="DL67" i="31"/>
  <c r="DL78" i="31" s="1"/>
  <c r="DX77" i="31"/>
  <c r="DL66" i="31"/>
  <c r="DL77" i="31" s="1"/>
  <c r="CD75" i="31"/>
  <c r="BN75" i="31"/>
  <c r="CK74" i="31"/>
  <c r="DL59" i="31"/>
  <c r="DL70" i="31" s="1"/>
  <c r="EB78" i="31"/>
  <c r="EA78" i="31"/>
  <c r="DY78" i="31"/>
  <c r="DX78" i="31"/>
  <c r="DW78" i="31"/>
  <c r="DU78" i="31"/>
  <c r="DS78" i="31"/>
  <c r="DR78" i="31"/>
  <c r="DQ78" i="31"/>
  <c r="DP78" i="31"/>
  <c r="DO78" i="31"/>
  <c r="DN78" i="31"/>
  <c r="DM78" i="3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S78" i="31"/>
  <c r="BO78" i="31"/>
  <c r="BN78" i="31"/>
  <c r="BL78" i="31"/>
  <c r="BK78" i="31"/>
  <c r="BJ78" i="31"/>
  <c r="BE78" i="31"/>
  <c r="BD78" i="31"/>
  <c r="BC78" i="31"/>
  <c r="BB78" i="31"/>
  <c r="BA78" i="31"/>
  <c r="AY78" i="31"/>
  <c r="AX78" i="31"/>
  <c r="AW78" i="31"/>
  <c r="AV78" i="31"/>
  <c r="EB77" i="31"/>
  <c r="EA77" i="31"/>
  <c r="DZ77" i="31"/>
  <c r="DY77" i="31"/>
  <c r="DW77" i="31"/>
  <c r="DU77" i="31"/>
  <c r="DT77" i="31"/>
  <c r="DS77" i="31"/>
  <c r="DQ77" i="31"/>
  <c r="DP77" i="31"/>
  <c r="DO77" i="31"/>
  <c r="DM77" i="31"/>
  <c r="DH77" i="31"/>
  <c r="DG77" i="31"/>
  <c r="DF77" i="31"/>
  <c r="DE77" i="31"/>
  <c r="CY77" i="31"/>
  <c r="CX77" i="31"/>
  <c r="CW77" i="31"/>
  <c r="CV77" i="31"/>
  <c r="CU77" i="31"/>
  <c r="CT77" i="31"/>
  <c r="CS77" i="31"/>
  <c r="CR77" i="31"/>
  <c r="CQ77" i="31"/>
  <c r="CP77" i="31"/>
  <c r="CO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L77" i="31"/>
  <c r="BK77" i="31"/>
  <c r="BJ77" i="31"/>
  <c r="BI77" i="31"/>
  <c r="BH66" i="31"/>
  <c r="BH77" i="31" s="1"/>
  <c r="BE77" i="31"/>
  <c r="BC77" i="31"/>
  <c r="BB77" i="31"/>
  <c r="AY77" i="31"/>
  <c r="AX77" i="31"/>
  <c r="AW77" i="31"/>
  <c r="EB76" i="31"/>
  <c r="EA76" i="31"/>
  <c r="DY76" i="31"/>
  <c r="DX76" i="31"/>
  <c r="DW76" i="31"/>
  <c r="DU76" i="31"/>
  <c r="DT76" i="31"/>
  <c r="DS76" i="31"/>
  <c r="DQ76" i="31"/>
  <c r="DP76" i="31"/>
  <c r="DO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D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D76" i="31"/>
  <c r="BC76" i="31"/>
  <c r="BB76" i="31"/>
  <c r="AZ76" i="31"/>
  <c r="AY76" i="31"/>
  <c r="AX76" i="31"/>
  <c r="AV76" i="31"/>
  <c r="EB75" i="31"/>
  <c r="EA75" i="31"/>
  <c r="DY75" i="31"/>
  <c r="DX75" i="31"/>
  <c r="DW75" i="31"/>
  <c r="DU75" i="31"/>
  <c r="DT75" i="31"/>
  <c r="DS75" i="31"/>
  <c r="DQ75" i="31"/>
  <c r="DO75" i="31"/>
  <c r="DM75" i="31"/>
  <c r="DL64" i="31"/>
  <c r="DL75" i="31" s="1"/>
  <c r="DH75" i="31"/>
  <c r="DG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E75" i="31"/>
  <c r="CC75" i="31"/>
  <c r="CB75" i="31"/>
  <c r="BS75" i="31"/>
  <c r="BQ75" i="31"/>
  <c r="BP75" i="31"/>
  <c r="BO75" i="31"/>
  <c r="BM75" i="31"/>
  <c r="BL75" i="31"/>
  <c r="BK75" i="31"/>
  <c r="BJ75" i="31"/>
  <c r="BI75" i="31"/>
  <c r="BH64" i="31"/>
  <c r="BH75" i="31" s="1"/>
  <c r="BE75" i="31"/>
  <c r="BD75" i="31"/>
  <c r="BC75" i="31"/>
  <c r="BB75" i="31"/>
  <c r="BA75" i="31"/>
  <c r="AZ75" i="31"/>
  <c r="AY75" i="31"/>
  <c r="AX75" i="31"/>
  <c r="AW75" i="31"/>
  <c r="EB74" i="31"/>
  <c r="EA74" i="31"/>
  <c r="DY74" i="31"/>
  <c r="DX74" i="31"/>
  <c r="DW74" i="31"/>
  <c r="DU74" i="31"/>
  <c r="DT74" i="31"/>
  <c r="DS74" i="31"/>
  <c r="DQ74" i="31"/>
  <c r="DP74" i="31"/>
  <c r="DO74" i="31"/>
  <c r="DM74" i="31"/>
  <c r="DL63" i="31"/>
  <c r="DL74" i="31" s="1"/>
  <c r="DH74" i="31"/>
  <c r="DG74" i="31"/>
  <c r="DF74" i="31"/>
  <c r="DE74" i="31"/>
  <c r="CY74" i="31"/>
  <c r="CX74" i="31"/>
  <c r="CW74" i="31"/>
  <c r="CV74" i="31"/>
  <c r="CU74" i="31"/>
  <c r="CT74" i="31"/>
  <c r="CS74" i="31"/>
  <c r="CR74" i="31"/>
  <c r="CQ74" i="31"/>
  <c r="CP74" i="31"/>
  <c r="CO74" i="31"/>
  <c r="CN74" i="31"/>
  <c r="CM74" i="31"/>
  <c r="CL74" i="31"/>
  <c r="CJ63" i="31"/>
  <c r="CJ74" i="31" s="1"/>
  <c r="CF74" i="31"/>
  <c r="CE74" i="31"/>
  <c r="CD74" i="31"/>
  <c r="CC74" i="31"/>
  <c r="CB74" i="31"/>
  <c r="BS74" i="31"/>
  <c r="BR74" i="31"/>
  <c r="BP74" i="31"/>
  <c r="BO74" i="31"/>
  <c r="BN74" i="31"/>
  <c r="BK74" i="31"/>
  <c r="BJ74" i="31"/>
  <c r="BH63" i="31"/>
  <c r="BH74" i="31" s="1"/>
  <c r="BE74" i="31"/>
  <c r="BD74" i="31"/>
  <c r="BC74" i="31"/>
  <c r="BB74" i="31"/>
  <c r="BA74" i="31"/>
  <c r="AZ74" i="31"/>
  <c r="AY74" i="31"/>
  <c r="AX74" i="31"/>
  <c r="AW74" i="31"/>
  <c r="AV74" i="31"/>
  <c r="S52" i="31"/>
  <c r="I218" i="32" s="1"/>
  <c r="EB73" i="31"/>
  <c r="EA73" i="31"/>
  <c r="DY73" i="31"/>
  <c r="DX73" i="31"/>
  <c r="DW73" i="31"/>
  <c r="DU73" i="31"/>
  <c r="DT73" i="31"/>
  <c r="DS73" i="31"/>
  <c r="DQ73" i="31"/>
  <c r="DP73" i="31"/>
  <c r="DO73" i="31"/>
  <c r="DM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N73" i="31"/>
  <c r="BM73" i="31"/>
  <c r="BL73" i="31"/>
  <c r="BK73" i="31"/>
  <c r="BJ73" i="31"/>
  <c r="BI73" i="31"/>
  <c r="BH62" i="31"/>
  <c r="BH73" i="31" s="1"/>
  <c r="BE73" i="31"/>
  <c r="BD73" i="31"/>
  <c r="BB73" i="31"/>
  <c r="BA73" i="31"/>
  <c r="AZ73" i="31"/>
  <c r="AY73" i="31"/>
  <c r="AW73" i="31"/>
  <c r="AV73" i="31"/>
  <c r="S51" i="31"/>
  <c r="I217" i="32" s="1"/>
  <c r="EB72" i="31"/>
  <c r="EA72" i="31"/>
  <c r="DY72" i="31"/>
  <c r="DX72" i="31"/>
  <c r="DW72" i="31"/>
  <c r="DU72" i="31"/>
  <c r="DT72" i="31"/>
  <c r="DS72" i="31"/>
  <c r="DQ72" i="31"/>
  <c r="DP72" i="31"/>
  <c r="DO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P72" i="31"/>
  <c r="BO72" i="31"/>
  <c r="BN72" i="31"/>
  <c r="BM72" i="31"/>
  <c r="BL72" i="31"/>
  <c r="BK72" i="31"/>
  <c r="BJ72" i="31"/>
  <c r="BI72" i="31"/>
  <c r="BH61" i="31"/>
  <c r="BH72" i="31" s="1"/>
  <c r="BE72" i="31"/>
  <c r="BD72" i="31"/>
  <c r="BB72" i="31"/>
  <c r="BA72" i="31"/>
  <c r="AZ72" i="31"/>
  <c r="AX72" i="31"/>
  <c r="AW72" i="31"/>
  <c r="AV72" i="31"/>
  <c r="S50" i="31"/>
  <c r="I216" i="32" s="1"/>
  <c r="EB71" i="31"/>
  <c r="EA71" i="31"/>
  <c r="DX71" i="31"/>
  <c r="DW71" i="31"/>
  <c r="DV71" i="31"/>
  <c r="DT71" i="31"/>
  <c r="DS71" i="31"/>
  <c r="DP71" i="31"/>
  <c r="DO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O71" i="31"/>
  <c r="BN71" i="31"/>
  <c r="BM71" i="31"/>
  <c r="BL71" i="31"/>
  <c r="BK71" i="31"/>
  <c r="BJ71" i="31"/>
  <c r="BI71" i="31"/>
  <c r="BH60" i="31"/>
  <c r="BH71" i="31" s="1"/>
  <c r="BE71" i="31"/>
  <c r="BD71" i="31"/>
  <c r="BC71" i="31"/>
  <c r="AZ71" i="31"/>
  <c r="AY71" i="31"/>
  <c r="AW71" i="31"/>
  <c r="AV71" i="31"/>
  <c r="EB70" i="31"/>
  <c r="EA70" i="31"/>
  <c r="DY70" i="31"/>
  <c r="DX70" i="31"/>
  <c r="DW70" i="31"/>
  <c r="DU70" i="31"/>
  <c r="DT70" i="31"/>
  <c r="DS70" i="31"/>
  <c r="DQ70" i="31"/>
  <c r="DP70" i="31"/>
  <c r="DO70" i="31"/>
  <c r="DM70" i="3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O70" i="31"/>
  <c r="BN70" i="31"/>
  <c r="BM70" i="31"/>
  <c r="BL70" i="31"/>
  <c r="BK70" i="31"/>
  <c r="BJ70" i="31"/>
  <c r="BI70" i="31"/>
  <c r="BH59" i="31"/>
  <c r="BH70" i="31" s="1"/>
  <c r="BD70" i="31"/>
  <c r="BC70" i="31"/>
  <c r="BB70" i="31"/>
  <c r="AZ70" i="31"/>
  <c r="AY70" i="31"/>
  <c r="AX70" i="31"/>
  <c r="AV70" i="31"/>
  <c r="V41" i="31"/>
  <c r="V38" i="31"/>
  <c r="Z35" i="31"/>
  <c r="V31" i="31"/>
  <c r="V29" i="31"/>
  <c r="T25" i="31"/>
  <c r="W10" i="31"/>
  <c r="V10" i="31"/>
  <c r="U10" i="31"/>
  <c r="T10" i="31"/>
  <c r="G6" i="31"/>
  <c r="T5" i="31"/>
  <c r="D5" i="31"/>
  <c r="C5" i="31"/>
  <c r="C6" i="31" s="1"/>
  <c r="H4" i="31"/>
  <c r="F4" i="31"/>
  <c r="H6" i="31"/>
  <c r="G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DC42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S99" i="30" s="1"/>
  <c r="CR94" i="30"/>
  <c r="CQ94" i="30"/>
  <c r="CP94" i="30"/>
  <c r="CO94" i="30"/>
  <c r="CN94" i="30"/>
  <c r="CM94" i="30"/>
  <c r="CL94" i="30"/>
  <c r="CK94" i="30"/>
  <c r="CK99" i="30" s="1"/>
  <c r="CJ94" i="30"/>
  <c r="CI94" i="30"/>
  <c r="CH94" i="30"/>
  <c r="CG94" i="30"/>
  <c r="CF94" i="30"/>
  <c r="CE94" i="30"/>
  <c r="CD94" i="30"/>
  <c r="CC94" i="30"/>
  <c r="CC99" i="30" s="1"/>
  <c r="CB94" i="30"/>
  <c r="BS94" i="30"/>
  <c r="BR94" i="30"/>
  <c r="BQ94" i="30"/>
  <c r="BP94" i="30"/>
  <c r="BO94" i="30"/>
  <c r="BN94" i="30"/>
  <c r="BL94" i="30"/>
  <c r="BJ94" i="30"/>
  <c r="BI94" i="30"/>
  <c r="BH94" i="30"/>
  <c r="BF94" i="30"/>
  <c r="BC94" i="30"/>
  <c r="BB94" i="30"/>
  <c r="BA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Z38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Q90" i="30"/>
  <c r="BP90" i="30"/>
  <c r="BO90" i="30"/>
  <c r="BN90" i="30"/>
  <c r="BM90" i="30"/>
  <c r="BM99" i="30" s="1"/>
  <c r="BL90" i="30"/>
  <c r="BK90" i="30"/>
  <c r="BI90" i="30"/>
  <c r="BH90" i="30"/>
  <c r="BG90" i="30"/>
  <c r="BF90" i="30"/>
  <c r="BE90" i="30"/>
  <c r="BE99" i="30" s="1"/>
  <c r="BD90" i="30"/>
  <c r="BC90" i="30"/>
  <c r="BA90" i="30"/>
  <c r="AZ90" i="30"/>
  <c r="AY90" i="30"/>
  <c r="AX90" i="30"/>
  <c r="AW90" i="30"/>
  <c r="AW99" i="30" s="1"/>
  <c r="AV90" i="30"/>
  <c r="DW35" i="30"/>
  <c r="DU35" i="30"/>
  <c r="DS35" i="30"/>
  <c r="DQ35" i="30"/>
  <c r="DK35" i="30"/>
  <c r="DG35" i="30"/>
  <c r="DE35" i="30"/>
  <c r="DD35" i="30"/>
  <c r="CX35" i="30"/>
  <c r="CR35" i="30"/>
  <c r="CN35" i="30"/>
  <c r="CL35" i="30"/>
  <c r="CJ35" i="30"/>
  <c r="CH35" i="30"/>
  <c r="CB35" i="30"/>
  <c r="CA35" i="30"/>
  <c r="CW35" i="30" s="1"/>
  <c r="BZ35" i="30"/>
  <c r="BZ98" i="30" s="1"/>
  <c r="BR35" i="30"/>
  <c r="BP35" i="30"/>
  <c r="BN35" i="30"/>
  <c r="BL35" i="30"/>
  <c r="BH35" i="30"/>
  <c r="BF35" i="30"/>
  <c r="BD35" i="30"/>
  <c r="BB35" i="30"/>
  <c r="AZ35" i="30"/>
  <c r="AX35" i="30"/>
  <c r="AV35" i="30"/>
  <c r="AU35" i="30"/>
  <c r="BS35" i="30" s="1"/>
  <c r="AT98" i="30"/>
  <c r="DU34" i="30"/>
  <c r="DG34" i="30"/>
  <c r="DE34" i="30"/>
  <c r="DD34" i="30"/>
  <c r="DW34" i="30" s="1"/>
  <c r="CP34" i="30"/>
  <c r="CA34" i="30"/>
  <c r="CT34" i="30" s="1"/>
  <c r="BZ34" i="30"/>
  <c r="BZ97" i="30" s="1"/>
  <c r="BP34" i="30"/>
  <c r="AZ34" i="30"/>
  <c r="AU34" i="30"/>
  <c r="BR34" i="30" s="1"/>
  <c r="AT97" i="30"/>
  <c r="EA33" i="30"/>
  <c r="DY33" i="30"/>
  <c r="DW33" i="30"/>
  <c r="DU33" i="30"/>
  <c r="DO33" i="30"/>
  <c r="DM33" i="30"/>
  <c r="DK33" i="30"/>
  <c r="DI33" i="30"/>
  <c r="DG33" i="30"/>
  <c r="DE33" i="30"/>
  <c r="DD33" i="30"/>
  <c r="EB33" i="30" s="1"/>
  <c r="DC33" i="30"/>
  <c r="DC96" i="30" s="1"/>
  <c r="CT33" i="30"/>
  <c r="CN33" i="30"/>
  <c r="CA33" i="30"/>
  <c r="CR33" i="30" s="1"/>
  <c r="BR33" i="30"/>
  <c r="BL33" i="30"/>
  <c r="BH33" i="30"/>
  <c r="BF33" i="30"/>
  <c r="BD33" i="30"/>
  <c r="BB33" i="30"/>
  <c r="AX33" i="30"/>
  <c r="AV33" i="30"/>
  <c r="AU33" i="30"/>
  <c r="BS33" i="30" s="1"/>
  <c r="AT96" i="30"/>
  <c r="DV32" i="30"/>
  <c r="DD32" i="30"/>
  <c r="DZ32" i="30" s="1"/>
  <c r="CA32" i="30"/>
  <c r="CY32" i="30" s="1"/>
  <c r="BI32" i="30"/>
  <c r="AU32" i="30"/>
  <c r="BP32" i="30" s="1"/>
  <c r="EA31" i="30"/>
  <c r="DY31" i="30"/>
  <c r="DU31" i="30"/>
  <c r="DM31" i="30"/>
  <c r="DK31" i="30"/>
  <c r="DI31" i="30"/>
  <c r="DE31" i="30"/>
  <c r="DD31" i="30"/>
  <c r="DZ31" i="30" s="1"/>
  <c r="DC31" i="30"/>
  <c r="DC95" i="30" s="1"/>
  <c r="CX31" i="30"/>
  <c r="CV31" i="30"/>
  <c r="CT31" i="30"/>
  <c r="CR31" i="30"/>
  <c r="CN31" i="30"/>
  <c r="CL31" i="30"/>
  <c r="CJ31" i="30"/>
  <c r="CH31" i="30"/>
  <c r="CF31" i="30"/>
  <c r="CD31" i="30"/>
  <c r="CB31" i="30"/>
  <c r="CA31" i="30"/>
  <c r="CY31" i="30" s="1"/>
  <c r="BR31" i="30"/>
  <c r="BH31" i="30"/>
  <c r="BB31" i="30"/>
  <c r="AU31" i="30"/>
  <c r="BQ31" i="30" s="1"/>
  <c r="AT95" i="30"/>
  <c r="DD30" i="30"/>
  <c r="EB30" i="30" s="1"/>
  <c r="CS30" i="30"/>
  <c r="CA30" i="30"/>
  <c r="CV30" i="30" s="1"/>
  <c r="AU30" i="30"/>
  <c r="BS30" i="30" s="1"/>
  <c r="AT94" i="30"/>
  <c r="DZ29" i="30"/>
  <c r="DF29" i="30"/>
  <c r="DD29" i="30"/>
  <c r="DY29" i="30" s="1"/>
  <c r="CA29" i="30"/>
  <c r="CY29" i="30" s="1"/>
  <c r="BM29" i="30"/>
  <c r="AU29" i="30"/>
  <c r="BP29" i="30" s="1"/>
  <c r="AT93" i="30"/>
  <c r="DD28" i="30"/>
  <c r="EB28" i="30" s="1"/>
  <c r="CW28" i="30"/>
  <c r="CS28" i="30"/>
  <c r="CK28" i="30"/>
  <c r="CC28" i="30"/>
  <c r="CA28" i="30"/>
  <c r="CV28" i="30" s="1"/>
  <c r="AU28" i="30"/>
  <c r="BS28" i="30" s="1"/>
  <c r="AT92" i="30"/>
  <c r="DR27" i="30"/>
  <c r="DD27" i="30"/>
  <c r="DY27" i="30" s="1"/>
  <c r="CA27" i="30"/>
  <c r="CY27" i="30" s="1"/>
  <c r="BE27" i="30"/>
  <c r="AU27" i="30"/>
  <c r="BP27" i="30" s="1"/>
  <c r="AT91" i="30"/>
  <c r="DD26" i="30"/>
  <c r="EB26" i="30" s="1"/>
  <c r="CA26" i="30"/>
  <c r="CV26" i="30" s="1"/>
  <c r="AU26" i="30"/>
  <c r="BS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K24" i="30"/>
  <c r="BK80" i="30" s="1"/>
  <c r="BG24" i="30"/>
  <c r="BG80" i="30" s="1"/>
  <c r="BC24" i="30"/>
  <c r="BC80" i="30" s="1"/>
  <c r="AY24" i="30"/>
  <c r="AY80" i="30" s="1"/>
  <c r="AT24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23" i="30"/>
  <c r="BZ56" i="30" s="1"/>
  <c r="BR23" i="30"/>
  <c r="BP23" i="30"/>
  <c r="BN23" i="30"/>
  <c r="BL23" i="30"/>
  <c r="BJ23" i="30"/>
  <c r="BH23" i="30"/>
  <c r="BH79" i="30" s="1"/>
  <c r="BF23" i="30"/>
  <c r="BD23" i="30"/>
  <c r="BD79" i="30" s="1"/>
  <c r="BB23" i="30"/>
  <c r="BB79" i="30" s="1"/>
  <c r="AZ23" i="30"/>
  <c r="AZ79" i="30" s="1"/>
  <c r="AX23" i="30"/>
  <c r="AX79" i="30" s="1"/>
  <c r="AV23" i="30"/>
  <c r="AV79" i="30" s="1"/>
  <c r="EB22" i="30"/>
  <c r="EB78" i="30" s="1"/>
  <c r="DZ22" i="30"/>
  <c r="DZ78" i="30" s="1"/>
  <c r="DX22" i="30"/>
  <c r="DX78" i="30" s="1"/>
  <c r="DV22" i="30"/>
  <c r="DV78" i="30" s="1"/>
  <c r="DT22" i="30"/>
  <c r="DT78" i="30" s="1"/>
  <c r="DR22" i="30"/>
  <c r="DR78" i="30" s="1"/>
  <c r="DP22" i="30"/>
  <c r="DP78" i="30" s="1"/>
  <c r="DN22" i="30"/>
  <c r="DN78" i="30" s="1"/>
  <c r="DL22" i="30"/>
  <c r="DL78" i="30" s="1"/>
  <c r="DJ22" i="30"/>
  <c r="DJ78" i="30" s="1"/>
  <c r="DH22" i="30"/>
  <c r="DH78" i="30" s="1"/>
  <c r="DF22" i="30"/>
  <c r="DF78" i="30" s="1"/>
  <c r="DC22" i="30"/>
  <c r="DC55" i="30" s="1"/>
  <c r="CX22" i="30"/>
  <c r="CX78" i="30" s="1"/>
  <c r="CV22" i="30"/>
  <c r="CV78" i="30" s="1"/>
  <c r="CT22" i="30"/>
  <c r="CT78" i="30" s="1"/>
  <c r="CR22" i="30"/>
  <c r="CR78" i="30" s="1"/>
  <c r="CP22" i="30"/>
  <c r="CP78" i="30" s="1"/>
  <c r="CN22" i="30"/>
  <c r="CN78" i="30" s="1"/>
  <c r="CL22" i="30"/>
  <c r="CL78" i="30" s="1"/>
  <c r="CJ22" i="30"/>
  <c r="CJ78" i="30" s="1"/>
  <c r="CH22" i="30"/>
  <c r="CH78" i="30" s="1"/>
  <c r="CF22" i="30"/>
  <c r="CF78" i="30" s="1"/>
  <c r="CD22" i="30"/>
  <c r="CD78" i="30" s="1"/>
  <c r="CB22" i="30"/>
  <c r="CB78" i="30" s="1"/>
  <c r="BS22" i="30"/>
  <c r="BS78" i="30" s="1"/>
  <c r="BQ22" i="30"/>
  <c r="BQ78" i="30" s="1"/>
  <c r="BO22" i="30"/>
  <c r="BO78" i="30" s="1"/>
  <c r="BM22" i="30"/>
  <c r="BM78" i="30" s="1"/>
  <c r="BK22" i="30"/>
  <c r="BK78" i="30" s="1"/>
  <c r="BI22" i="30"/>
  <c r="BI78" i="30" s="1"/>
  <c r="BG22" i="30"/>
  <c r="BG78" i="30" s="1"/>
  <c r="BE22" i="30"/>
  <c r="BE78" i="30" s="1"/>
  <c r="BC22" i="30"/>
  <c r="BC78" i="30" s="1"/>
  <c r="BA22" i="30"/>
  <c r="BA78" i="30" s="1"/>
  <c r="AY22" i="30"/>
  <c r="AY78" i="30" s="1"/>
  <c r="AW22" i="30"/>
  <c r="AW78" i="30" s="1"/>
  <c r="AT22" i="30"/>
  <c r="E22" i="30"/>
  <c r="F22" i="30"/>
  <c r="C256" i="32" s="1"/>
  <c r="EB21" i="30"/>
  <c r="EB77" i="30" s="1"/>
  <c r="DZ21" i="30"/>
  <c r="DZ66" i="30" s="1"/>
  <c r="DX21" i="30"/>
  <c r="DX77" i="30" s="1"/>
  <c r="DV21" i="30"/>
  <c r="DV77" i="30" s="1"/>
  <c r="DT21" i="30"/>
  <c r="DT77" i="30" s="1"/>
  <c r="DR21" i="30"/>
  <c r="DR66" i="30" s="1"/>
  <c r="DP21" i="30"/>
  <c r="DP77" i="30" s="1"/>
  <c r="DN21" i="30"/>
  <c r="DN77" i="30" s="1"/>
  <c r="DL21" i="30"/>
  <c r="DL77" i="30" s="1"/>
  <c r="DJ21" i="30"/>
  <c r="DJ66" i="30" s="1"/>
  <c r="DH21" i="30"/>
  <c r="DH77" i="30" s="1"/>
  <c r="DF21" i="30"/>
  <c r="DF77" i="30" s="1"/>
  <c r="DC21" i="30"/>
  <c r="DC54" i="30" s="1"/>
  <c r="CX21" i="30"/>
  <c r="CX66" i="30" s="1"/>
  <c r="CV21" i="30"/>
  <c r="CV77" i="30" s="1"/>
  <c r="CT21" i="30"/>
  <c r="CT77" i="30" s="1"/>
  <c r="CR21" i="30"/>
  <c r="CR77" i="30" s="1"/>
  <c r="CP21" i="30"/>
  <c r="CP66" i="30" s="1"/>
  <c r="CN21" i="30"/>
  <c r="CN77" i="30" s="1"/>
  <c r="CL21" i="30"/>
  <c r="CL77" i="30" s="1"/>
  <c r="CJ21" i="30"/>
  <c r="CJ77" i="30" s="1"/>
  <c r="CH21" i="30"/>
  <c r="CH66" i="30" s="1"/>
  <c r="CF21" i="30"/>
  <c r="CF77" i="30" s="1"/>
  <c r="CD21" i="30"/>
  <c r="CD77" i="30" s="1"/>
  <c r="CB21" i="30"/>
  <c r="CB77" i="30" s="1"/>
  <c r="BS21" i="30"/>
  <c r="BS66" i="30" s="1"/>
  <c r="BQ21" i="30"/>
  <c r="BQ77" i="30" s="1"/>
  <c r="BO21" i="30"/>
  <c r="BO77" i="30" s="1"/>
  <c r="BM21" i="30"/>
  <c r="BM77" i="30" s="1"/>
  <c r="BK21" i="30"/>
  <c r="BK66" i="30" s="1"/>
  <c r="BI21" i="30"/>
  <c r="BI77" i="30" s="1"/>
  <c r="BG21" i="30"/>
  <c r="BG77" i="30" s="1"/>
  <c r="BE21" i="30"/>
  <c r="BE77" i="30" s="1"/>
  <c r="BC21" i="30"/>
  <c r="BC66" i="30" s="1"/>
  <c r="BA21" i="30"/>
  <c r="BA77" i="30" s="1"/>
  <c r="AY21" i="30"/>
  <c r="AY77" i="30" s="1"/>
  <c r="AW21" i="30"/>
  <c r="AW77" i="30" s="1"/>
  <c r="AT21" i="30"/>
  <c r="E21" i="30"/>
  <c r="F21" i="30"/>
  <c r="C255" i="32" s="1"/>
  <c r="EB20" i="30"/>
  <c r="EB65" i="30" s="1"/>
  <c r="DZ20" i="30"/>
  <c r="DZ76" i="30" s="1"/>
  <c r="DX20" i="30"/>
  <c r="DX76" i="30" s="1"/>
  <c r="DV20" i="30"/>
  <c r="DV65" i="30" s="1"/>
  <c r="DT20" i="30"/>
  <c r="DT65" i="30" s="1"/>
  <c r="DR20" i="30"/>
  <c r="DR76" i="30" s="1"/>
  <c r="DP20" i="30"/>
  <c r="DP76" i="30" s="1"/>
  <c r="DN20" i="30"/>
  <c r="DN65" i="30" s="1"/>
  <c r="DL20" i="30"/>
  <c r="DL65" i="30" s="1"/>
  <c r="DJ20" i="30"/>
  <c r="DJ76" i="30" s="1"/>
  <c r="DH20" i="30"/>
  <c r="DH76" i="30" s="1"/>
  <c r="DF20" i="30"/>
  <c r="DF65" i="30" s="1"/>
  <c r="DC20" i="30"/>
  <c r="DC53" i="30" s="1"/>
  <c r="CX20" i="30"/>
  <c r="CX76" i="30" s="1"/>
  <c r="CV20" i="30"/>
  <c r="CV76" i="30" s="1"/>
  <c r="CT20" i="30"/>
  <c r="CT65" i="30" s="1"/>
  <c r="CR20" i="30"/>
  <c r="CR65" i="30" s="1"/>
  <c r="CP20" i="30"/>
  <c r="CP76" i="30" s="1"/>
  <c r="CN20" i="30"/>
  <c r="CN76" i="30" s="1"/>
  <c r="CL20" i="30"/>
  <c r="CL65" i="30" s="1"/>
  <c r="CJ20" i="30"/>
  <c r="CJ65" i="30" s="1"/>
  <c r="CH20" i="30"/>
  <c r="CH76" i="30" s="1"/>
  <c r="CF20" i="30"/>
  <c r="CF76" i="30" s="1"/>
  <c r="CD20" i="30"/>
  <c r="CD65" i="30" s="1"/>
  <c r="CB20" i="30"/>
  <c r="CB65" i="30" s="1"/>
  <c r="BS20" i="30"/>
  <c r="BS76" i="30" s="1"/>
  <c r="BQ20" i="30"/>
  <c r="BQ76" i="30" s="1"/>
  <c r="BO20" i="30"/>
  <c r="BO65" i="30" s="1"/>
  <c r="BM20" i="30"/>
  <c r="BM65" i="30" s="1"/>
  <c r="BK20" i="30"/>
  <c r="BK76" i="30" s="1"/>
  <c r="BI20" i="30"/>
  <c r="BI76" i="30" s="1"/>
  <c r="BG20" i="30"/>
  <c r="BG65" i="30" s="1"/>
  <c r="BE20" i="30"/>
  <c r="BE65" i="30" s="1"/>
  <c r="BC20" i="30"/>
  <c r="BC76" i="30" s="1"/>
  <c r="BA20" i="30"/>
  <c r="BA76" i="30" s="1"/>
  <c r="AY20" i="30"/>
  <c r="AY65" i="30" s="1"/>
  <c r="AW20" i="30"/>
  <c r="AW65" i="30" s="1"/>
  <c r="E20" i="30"/>
  <c r="EB19" i="30"/>
  <c r="EB75" i="30" s="1"/>
  <c r="DZ19" i="30"/>
  <c r="DZ64" i="30" s="1"/>
  <c r="DX19" i="30"/>
  <c r="DX64" i="30" s="1"/>
  <c r="DV19" i="30"/>
  <c r="DV75" i="30" s="1"/>
  <c r="DT19" i="30"/>
  <c r="DT75" i="30" s="1"/>
  <c r="DR19" i="30"/>
  <c r="DR64" i="30" s="1"/>
  <c r="DP19" i="30"/>
  <c r="DP64" i="30" s="1"/>
  <c r="DN19" i="30"/>
  <c r="DN75" i="30" s="1"/>
  <c r="DL19" i="30"/>
  <c r="DL75" i="30" s="1"/>
  <c r="DJ19" i="30"/>
  <c r="DJ64" i="30" s="1"/>
  <c r="DH19" i="30"/>
  <c r="DH64" i="30" s="1"/>
  <c r="DF19" i="30"/>
  <c r="DF75" i="30" s="1"/>
  <c r="DC19" i="30"/>
  <c r="DC52" i="30" s="1"/>
  <c r="CX19" i="30"/>
  <c r="CX64" i="30" s="1"/>
  <c r="CV19" i="30"/>
  <c r="CV64" i="30" s="1"/>
  <c r="CT19" i="30"/>
  <c r="CT75" i="30" s="1"/>
  <c r="CR19" i="30"/>
  <c r="CR75" i="30" s="1"/>
  <c r="CP19" i="30"/>
  <c r="CP64" i="30" s="1"/>
  <c r="CN19" i="30"/>
  <c r="CN64" i="30" s="1"/>
  <c r="CL19" i="30"/>
  <c r="CL75" i="30" s="1"/>
  <c r="CJ19" i="30"/>
  <c r="CJ75" i="30" s="1"/>
  <c r="CH19" i="30"/>
  <c r="CH64" i="30" s="1"/>
  <c r="CF19" i="30"/>
  <c r="CF64" i="30" s="1"/>
  <c r="CD19" i="30"/>
  <c r="CD75" i="30" s="1"/>
  <c r="CB19" i="30"/>
  <c r="CB75" i="30" s="1"/>
  <c r="BS19" i="30"/>
  <c r="BS64" i="30" s="1"/>
  <c r="BS110" i="30" s="1"/>
  <c r="BQ19" i="30"/>
  <c r="BQ64" i="30" s="1"/>
  <c r="BQ110" i="30" s="1"/>
  <c r="BO19" i="30"/>
  <c r="BM19" i="30"/>
  <c r="BK19" i="30"/>
  <c r="BK64" i="30" s="1"/>
  <c r="BK110" i="30" s="1"/>
  <c r="BI19" i="30"/>
  <c r="BI64" i="30" s="1"/>
  <c r="BI110" i="30" s="1"/>
  <c r="BG19" i="30"/>
  <c r="BG75" i="30" s="1"/>
  <c r="BE19" i="30"/>
  <c r="BE75" i="30" s="1"/>
  <c r="BC19" i="30"/>
  <c r="BC64" i="30" s="1"/>
  <c r="BC110" i="30" s="1"/>
  <c r="BA19" i="30"/>
  <c r="BA64" i="30" s="1"/>
  <c r="BA110" i="30" s="1"/>
  <c r="AY19" i="30"/>
  <c r="AY75" i="30" s="1"/>
  <c r="AW19" i="30"/>
  <c r="AW75" i="30" s="1"/>
  <c r="AT19" i="30"/>
  <c r="EA18" i="30"/>
  <c r="EA74" i="30" s="1"/>
  <c r="DY18" i="30"/>
  <c r="DY74" i="30" s="1"/>
  <c r="DW18" i="30"/>
  <c r="DW74" i="30" s="1"/>
  <c r="DU18" i="30"/>
  <c r="DU74" i="30" s="1"/>
  <c r="DS18" i="30"/>
  <c r="DS74" i="30" s="1"/>
  <c r="DQ18" i="30"/>
  <c r="DQ74" i="30" s="1"/>
  <c r="DO18" i="30"/>
  <c r="DO74" i="30" s="1"/>
  <c r="DM18" i="30"/>
  <c r="DM74" i="30" s="1"/>
  <c r="DK18" i="30"/>
  <c r="DK74" i="30" s="1"/>
  <c r="DI18" i="30"/>
  <c r="DI74" i="30" s="1"/>
  <c r="DG18" i="30"/>
  <c r="DG74" i="30" s="1"/>
  <c r="DE18" i="30"/>
  <c r="DE74" i="30" s="1"/>
  <c r="CY18" i="30"/>
  <c r="CY74" i="30" s="1"/>
  <c r="CW18" i="30"/>
  <c r="CW74" i="30" s="1"/>
  <c r="CU18" i="30"/>
  <c r="CU74" i="30" s="1"/>
  <c r="CS18" i="30"/>
  <c r="CS74" i="30" s="1"/>
  <c r="CQ18" i="30"/>
  <c r="CQ74" i="30" s="1"/>
  <c r="CO18" i="30"/>
  <c r="CO74" i="30" s="1"/>
  <c r="CM18" i="30"/>
  <c r="CM74" i="30" s="1"/>
  <c r="CK18" i="30"/>
  <c r="CK74" i="30" s="1"/>
  <c r="CI18" i="30"/>
  <c r="CI74" i="30" s="1"/>
  <c r="CG18" i="30"/>
  <c r="CG74" i="30" s="1"/>
  <c r="CE18" i="30"/>
  <c r="CE74" i="30" s="1"/>
  <c r="CC18" i="30"/>
  <c r="CC74" i="30" s="1"/>
  <c r="BZ18" i="30"/>
  <c r="BZ51" i="30" s="1"/>
  <c r="BR18" i="30"/>
  <c r="BP18" i="30"/>
  <c r="BP74" i="30" s="1"/>
  <c r="BN18" i="30"/>
  <c r="BL18" i="30"/>
  <c r="BJ18" i="30"/>
  <c r="BH18" i="30"/>
  <c r="BF18" i="30"/>
  <c r="BD18" i="30"/>
  <c r="BB18" i="30"/>
  <c r="AZ18" i="30"/>
  <c r="AX18" i="30"/>
  <c r="AV18" i="30"/>
  <c r="AT18" i="30"/>
  <c r="E18" i="30"/>
  <c r="C18" i="30"/>
  <c r="B18" i="30"/>
  <c r="F18" i="30" s="1"/>
  <c r="EA17" i="30"/>
  <c r="EA73" i="30" s="1"/>
  <c r="DY17" i="30"/>
  <c r="DY62" i="30" s="1"/>
  <c r="DW17" i="30"/>
  <c r="DW73" i="30" s="1"/>
  <c r="DU17" i="30"/>
  <c r="DU73" i="30" s="1"/>
  <c r="DS17" i="30"/>
  <c r="DS73" i="30" s="1"/>
  <c r="DQ17" i="30"/>
  <c r="DQ62" i="30" s="1"/>
  <c r="DO17" i="30"/>
  <c r="DO73" i="30" s="1"/>
  <c r="DM17" i="30"/>
  <c r="DM73" i="30" s="1"/>
  <c r="DK17" i="30"/>
  <c r="DK73" i="30" s="1"/>
  <c r="DI17" i="30"/>
  <c r="DI62" i="30" s="1"/>
  <c r="DG17" i="30"/>
  <c r="DG73" i="30" s="1"/>
  <c r="DE17" i="30"/>
  <c r="DE73" i="30" s="1"/>
  <c r="CY17" i="30"/>
  <c r="CY73" i="30" s="1"/>
  <c r="CW17" i="30"/>
  <c r="CW62" i="30" s="1"/>
  <c r="CU17" i="30"/>
  <c r="CU73" i="30" s="1"/>
  <c r="CS17" i="30"/>
  <c r="CS73" i="30" s="1"/>
  <c r="CQ17" i="30"/>
  <c r="CQ73" i="30" s="1"/>
  <c r="CO17" i="30"/>
  <c r="CO62" i="30" s="1"/>
  <c r="CM17" i="30"/>
  <c r="CM73" i="30" s="1"/>
  <c r="CK17" i="30"/>
  <c r="CK73" i="30" s="1"/>
  <c r="CI17" i="30"/>
  <c r="CI73" i="30" s="1"/>
  <c r="CG17" i="30"/>
  <c r="CG62" i="30" s="1"/>
  <c r="CE17" i="30"/>
  <c r="CE73" i="30" s="1"/>
  <c r="CC17" i="30"/>
  <c r="CC73" i="30" s="1"/>
  <c r="BZ17" i="30"/>
  <c r="BZ50" i="30" s="1"/>
  <c r="BR17" i="30"/>
  <c r="BR62" i="30" s="1"/>
  <c r="BR108" i="30" s="1"/>
  <c r="BP17" i="30"/>
  <c r="BN17" i="30"/>
  <c r="BL17" i="30"/>
  <c r="BJ17" i="30"/>
  <c r="BH17" i="30"/>
  <c r="BF17" i="30"/>
  <c r="BD17" i="30"/>
  <c r="BB17" i="30"/>
  <c r="BB62" i="30" s="1"/>
  <c r="BB108" i="30" s="1"/>
  <c r="AZ17" i="30"/>
  <c r="AX17" i="30"/>
  <c r="AV17" i="30"/>
  <c r="AT17" i="30"/>
  <c r="E17" i="30"/>
  <c r="C17" i="30"/>
  <c r="B17" i="30"/>
  <c r="EA16" i="30"/>
  <c r="EA72" i="30" s="1"/>
  <c r="DY16" i="30"/>
  <c r="DY72" i="30" s="1"/>
  <c r="DW16" i="30"/>
  <c r="DW72" i="30" s="1"/>
  <c r="DU16" i="30"/>
  <c r="DU61" i="30" s="1"/>
  <c r="DS16" i="30"/>
  <c r="DS72" i="30" s="1"/>
  <c r="DQ16" i="30"/>
  <c r="DQ72" i="30" s="1"/>
  <c r="DO16" i="30"/>
  <c r="DO72" i="30" s="1"/>
  <c r="DM16" i="30"/>
  <c r="DM61" i="30" s="1"/>
  <c r="DK16" i="30"/>
  <c r="DK72" i="30" s="1"/>
  <c r="DI16" i="30"/>
  <c r="DI72" i="30" s="1"/>
  <c r="DG16" i="30"/>
  <c r="DG72" i="30" s="1"/>
  <c r="DE16" i="30"/>
  <c r="DE61" i="30" s="1"/>
  <c r="CY16" i="30"/>
  <c r="CY72" i="30" s="1"/>
  <c r="CW16" i="30"/>
  <c r="CW72" i="30" s="1"/>
  <c r="CU16" i="30"/>
  <c r="CU72" i="30" s="1"/>
  <c r="CS16" i="30"/>
  <c r="CS61" i="30" s="1"/>
  <c r="CQ16" i="30"/>
  <c r="CQ72" i="30" s="1"/>
  <c r="CO16" i="30"/>
  <c r="CO72" i="30" s="1"/>
  <c r="CM16" i="30"/>
  <c r="CM72" i="30" s="1"/>
  <c r="CK16" i="30"/>
  <c r="CK61" i="30" s="1"/>
  <c r="CI16" i="30"/>
  <c r="CI72" i="30" s="1"/>
  <c r="CG16" i="30"/>
  <c r="CG72" i="30" s="1"/>
  <c r="CE16" i="30"/>
  <c r="CE72" i="30" s="1"/>
  <c r="CC16" i="30"/>
  <c r="CC61" i="30" s="1"/>
  <c r="BZ16" i="30"/>
  <c r="BZ49" i="30" s="1"/>
  <c r="BR16" i="30"/>
  <c r="BP16" i="30"/>
  <c r="BP72" i="30" s="1"/>
  <c r="BN16" i="30"/>
  <c r="BL16" i="30"/>
  <c r="BJ16" i="30"/>
  <c r="BH16" i="30"/>
  <c r="BF16" i="30"/>
  <c r="BD16" i="30"/>
  <c r="BB16" i="30"/>
  <c r="AZ16" i="30"/>
  <c r="AX16" i="30"/>
  <c r="AX61" i="30" s="1"/>
  <c r="AX107" i="30" s="1"/>
  <c r="AV16" i="30"/>
  <c r="AT16" i="30"/>
  <c r="E16" i="30"/>
  <c r="C16" i="30"/>
  <c r="B16" i="30"/>
  <c r="D16" i="30" s="1"/>
  <c r="EA15" i="30"/>
  <c r="EA71" i="30" s="1"/>
  <c r="DY15" i="30"/>
  <c r="DY60" i="30" s="1"/>
  <c r="DW15" i="30"/>
  <c r="DW71" i="30" s="1"/>
  <c r="DU15" i="30"/>
  <c r="DU71" i="30" s="1"/>
  <c r="DS15" i="30"/>
  <c r="DS71" i="30" s="1"/>
  <c r="DQ15" i="30"/>
  <c r="DQ60" i="30" s="1"/>
  <c r="DO15" i="30"/>
  <c r="DO71" i="30" s="1"/>
  <c r="DM15" i="30"/>
  <c r="DM71" i="30" s="1"/>
  <c r="DK15" i="30"/>
  <c r="DK71" i="30" s="1"/>
  <c r="DI15" i="30"/>
  <c r="DI60" i="30" s="1"/>
  <c r="DG15" i="30"/>
  <c r="DG71" i="30" s="1"/>
  <c r="DE15" i="30"/>
  <c r="DE71" i="30" s="1"/>
  <c r="CY15" i="30"/>
  <c r="CY71" i="30" s="1"/>
  <c r="CW15" i="30"/>
  <c r="CW60" i="30" s="1"/>
  <c r="CU15" i="30"/>
  <c r="CU71" i="30" s="1"/>
  <c r="CS15" i="30"/>
  <c r="CS71" i="30" s="1"/>
  <c r="CQ15" i="30"/>
  <c r="CQ71" i="30" s="1"/>
  <c r="CO15" i="30"/>
  <c r="CO60" i="30" s="1"/>
  <c r="CM15" i="30"/>
  <c r="CM71" i="30" s="1"/>
  <c r="CK15" i="30"/>
  <c r="CK71" i="30" s="1"/>
  <c r="CI15" i="30"/>
  <c r="CI71" i="30" s="1"/>
  <c r="CG15" i="30"/>
  <c r="CG60" i="30" s="1"/>
  <c r="CE15" i="30"/>
  <c r="CE71" i="30" s="1"/>
  <c r="CC15" i="30"/>
  <c r="CC71" i="30" s="1"/>
  <c r="BZ15" i="30"/>
  <c r="BZ48" i="30" s="1"/>
  <c r="BR15" i="30"/>
  <c r="BR60" i="30" s="1"/>
  <c r="BR106" i="30" s="1"/>
  <c r="BP15" i="30"/>
  <c r="BP71" i="30" s="1"/>
  <c r="BN15" i="30"/>
  <c r="BN71" i="30" s="1"/>
  <c r="BL15" i="30"/>
  <c r="BL71" i="30" s="1"/>
  <c r="BH15" i="30"/>
  <c r="BH71" i="30" s="1"/>
  <c r="BF15" i="30"/>
  <c r="BD15" i="30"/>
  <c r="BB15" i="30"/>
  <c r="AZ15" i="30"/>
  <c r="AZ71" i="30" s="1"/>
  <c r="AX15" i="30"/>
  <c r="AX71" i="30" s="1"/>
  <c r="AV15" i="30"/>
  <c r="AV71" i="30" s="1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46" i="30"/>
  <c r="CY24" i="30"/>
  <c r="CW24" i="30"/>
  <c r="CV24" i="30"/>
  <c r="CU24" i="30"/>
  <c r="CS24" i="30"/>
  <c r="CR24" i="30"/>
  <c r="CQ24" i="30"/>
  <c r="CO24" i="30"/>
  <c r="CN24" i="30"/>
  <c r="CM24" i="30"/>
  <c r="CK24" i="30"/>
  <c r="CJ24" i="30"/>
  <c r="CI24" i="30"/>
  <c r="CG24" i="30"/>
  <c r="CF24" i="30"/>
  <c r="CE24" i="30"/>
  <c r="CC24" i="30"/>
  <c r="CB24" i="30"/>
  <c r="BZ69" i="30"/>
  <c r="BZ115" i="30" s="1"/>
  <c r="BR24" i="30"/>
  <c r="BQ24" i="30"/>
  <c r="BP24" i="30"/>
  <c r="BN24" i="30"/>
  <c r="BM24" i="30"/>
  <c r="BL24" i="30"/>
  <c r="BJ24" i="30"/>
  <c r="BI24" i="30"/>
  <c r="BH24" i="30"/>
  <c r="BF24" i="30"/>
  <c r="BE24" i="30"/>
  <c r="BD24" i="30"/>
  <c r="BB24" i="30"/>
  <c r="BA24" i="30"/>
  <c r="AZ24" i="30"/>
  <c r="AX24" i="30"/>
  <c r="AW24" i="30"/>
  <c r="AV24" i="30"/>
  <c r="AT13" i="30"/>
  <c r="EB23" i="30"/>
  <c r="DZ23" i="30"/>
  <c r="DX23" i="30"/>
  <c r="DV23" i="30"/>
  <c r="DT23" i="30"/>
  <c r="DR23" i="30"/>
  <c r="DP23" i="30"/>
  <c r="DN23" i="30"/>
  <c r="DL23" i="30"/>
  <c r="DJ23" i="30"/>
  <c r="DH23" i="30"/>
  <c r="DF23" i="30"/>
  <c r="DC68" i="30"/>
  <c r="CX23" i="30"/>
  <c r="CV23" i="30"/>
  <c r="CT23" i="30"/>
  <c r="CR23" i="30"/>
  <c r="CP23" i="30"/>
  <c r="CN23" i="30"/>
  <c r="CL23" i="30"/>
  <c r="CJ23" i="30"/>
  <c r="CH23" i="30"/>
  <c r="CF23" i="30"/>
  <c r="CD23" i="30"/>
  <c r="CB23" i="30"/>
  <c r="BZ68" i="30"/>
  <c r="BS23" i="30"/>
  <c r="BQ23" i="30"/>
  <c r="BO23" i="30"/>
  <c r="BM23" i="30"/>
  <c r="BK23" i="30"/>
  <c r="BI23" i="30"/>
  <c r="BG23" i="30"/>
  <c r="BE23" i="30"/>
  <c r="BC23" i="30"/>
  <c r="BA23" i="30"/>
  <c r="AY23" i="30"/>
  <c r="AW23" i="30"/>
  <c r="EA22" i="30"/>
  <c r="DY22" i="30"/>
  <c r="DW22" i="30"/>
  <c r="DU22" i="30"/>
  <c r="DS22" i="30"/>
  <c r="DQ22" i="30"/>
  <c r="DO22" i="30"/>
  <c r="DM22" i="30"/>
  <c r="DK22" i="30"/>
  <c r="DI22" i="30"/>
  <c r="DG22" i="30"/>
  <c r="DE22" i="30"/>
  <c r="DC67" i="30"/>
  <c r="CY22" i="30"/>
  <c r="CW22" i="30"/>
  <c r="CU22" i="30"/>
  <c r="CS22" i="30"/>
  <c r="CQ22" i="30"/>
  <c r="CO22" i="30"/>
  <c r="CM22" i="30"/>
  <c r="CK22" i="30"/>
  <c r="CI22" i="30"/>
  <c r="CG22" i="30"/>
  <c r="CE22" i="30"/>
  <c r="CC22" i="30"/>
  <c r="BZ33" i="30"/>
  <c r="BZ96" i="30" s="1"/>
  <c r="BR22" i="30"/>
  <c r="BP22" i="30"/>
  <c r="BN22" i="30"/>
  <c r="BL22" i="30"/>
  <c r="BJ22" i="30"/>
  <c r="BH22" i="30"/>
  <c r="BF22" i="30"/>
  <c r="BD22" i="30"/>
  <c r="BB22" i="30"/>
  <c r="AZ22" i="30"/>
  <c r="AX22" i="30"/>
  <c r="AV22" i="30"/>
  <c r="EA21" i="30"/>
  <c r="DY21" i="30"/>
  <c r="DW21" i="30"/>
  <c r="DU21" i="30"/>
  <c r="DS21" i="30"/>
  <c r="DQ21" i="30"/>
  <c r="DO21" i="30"/>
  <c r="DM21" i="30"/>
  <c r="DK21" i="30"/>
  <c r="DI21" i="30"/>
  <c r="DG21" i="30"/>
  <c r="DE21" i="30"/>
  <c r="DC43" i="30"/>
  <c r="CY21" i="30"/>
  <c r="CW21" i="30"/>
  <c r="CU21" i="30"/>
  <c r="CS21" i="30"/>
  <c r="CQ21" i="30"/>
  <c r="CO21" i="30"/>
  <c r="CM21" i="30"/>
  <c r="CK21" i="30"/>
  <c r="CI21" i="30"/>
  <c r="CG21" i="30"/>
  <c r="CE21" i="30"/>
  <c r="CC21" i="30"/>
  <c r="BZ66" i="30"/>
  <c r="BR21" i="30"/>
  <c r="BP21" i="30"/>
  <c r="BN21" i="30"/>
  <c r="BL21" i="30"/>
  <c r="BJ21" i="30"/>
  <c r="BH21" i="30"/>
  <c r="BF21" i="30"/>
  <c r="BD21" i="30"/>
  <c r="BB21" i="30"/>
  <c r="AZ21" i="30"/>
  <c r="AX21" i="30"/>
  <c r="AV21" i="30"/>
  <c r="AT10" i="30"/>
  <c r="EA20" i="30"/>
  <c r="DY20" i="30"/>
  <c r="DW20" i="30"/>
  <c r="DU20" i="30"/>
  <c r="DS20" i="30"/>
  <c r="DQ20" i="30"/>
  <c r="DO20" i="30"/>
  <c r="DM20" i="30"/>
  <c r="DK20" i="30"/>
  <c r="DI20" i="30"/>
  <c r="DG20" i="30"/>
  <c r="DE20" i="30"/>
  <c r="DC65" i="30"/>
  <c r="CY20" i="30"/>
  <c r="CW20" i="30"/>
  <c r="CU20" i="30"/>
  <c r="CS20" i="30"/>
  <c r="CQ20" i="30"/>
  <c r="CO20" i="30"/>
  <c r="CM20" i="30"/>
  <c r="CK20" i="30"/>
  <c r="CI20" i="30"/>
  <c r="CG20" i="30"/>
  <c r="CE20" i="30"/>
  <c r="CC20" i="30"/>
  <c r="BZ42" i="30"/>
  <c r="BR20" i="30"/>
  <c r="BP20" i="30"/>
  <c r="BN20" i="30"/>
  <c r="BL20" i="30"/>
  <c r="BJ20" i="30"/>
  <c r="BH20" i="30"/>
  <c r="BF20" i="30"/>
  <c r="BD20" i="30"/>
  <c r="BB20" i="30"/>
  <c r="AZ20" i="30"/>
  <c r="AX20" i="30"/>
  <c r="AV20" i="30"/>
  <c r="EA19" i="30"/>
  <c r="DY19" i="30"/>
  <c r="DW19" i="30"/>
  <c r="DU19" i="30"/>
  <c r="DS19" i="30"/>
  <c r="DQ19" i="30"/>
  <c r="DO19" i="30"/>
  <c r="DM19" i="30"/>
  <c r="DK19" i="30"/>
  <c r="DI19" i="30"/>
  <c r="DG19" i="30"/>
  <c r="DE19" i="30"/>
  <c r="DC30" i="30"/>
  <c r="DC94" i="30" s="1"/>
  <c r="CY19" i="30"/>
  <c r="CW19" i="30"/>
  <c r="CU19" i="30"/>
  <c r="CS19" i="30"/>
  <c r="CQ19" i="30"/>
  <c r="CO19" i="30"/>
  <c r="CM19" i="30"/>
  <c r="CK19" i="30"/>
  <c r="CI19" i="30"/>
  <c r="CG19" i="30"/>
  <c r="CE19" i="30"/>
  <c r="CC19" i="30"/>
  <c r="BZ41" i="30"/>
  <c r="BR19" i="30"/>
  <c r="BP19" i="30"/>
  <c r="BN19" i="30"/>
  <c r="BL19" i="30"/>
  <c r="BJ19" i="30"/>
  <c r="BH19" i="30"/>
  <c r="BF19" i="30"/>
  <c r="BD19" i="30"/>
  <c r="BB19" i="30"/>
  <c r="AZ19" i="30"/>
  <c r="AX19" i="30"/>
  <c r="AV19" i="30"/>
  <c r="AT8" i="30"/>
  <c r="EB18" i="30"/>
  <c r="DZ18" i="30"/>
  <c r="DX18" i="30"/>
  <c r="DV18" i="30"/>
  <c r="DT18" i="30"/>
  <c r="DR18" i="30"/>
  <c r="DP18" i="30"/>
  <c r="DN18" i="30"/>
  <c r="DL18" i="30"/>
  <c r="DJ18" i="30"/>
  <c r="DH18" i="30"/>
  <c r="DF18" i="30"/>
  <c r="DC18" i="30"/>
  <c r="DC51" i="30" s="1"/>
  <c r="CX18" i="30"/>
  <c r="CV18" i="30"/>
  <c r="CT18" i="30"/>
  <c r="CR18" i="30"/>
  <c r="CP18" i="30"/>
  <c r="CN18" i="30"/>
  <c r="CL18" i="30"/>
  <c r="CJ18" i="30"/>
  <c r="CH18" i="30"/>
  <c r="CF18" i="30"/>
  <c r="CD18" i="30"/>
  <c r="CB18" i="30"/>
  <c r="BZ29" i="30"/>
  <c r="BZ93" i="30" s="1"/>
  <c r="BS18" i="30"/>
  <c r="BQ18" i="30"/>
  <c r="BO18" i="30"/>
  <c r="BM18" i="30"/>
  <c r="BK18" i="30"/>
  <c r="BI18" i="30"/>
  <c r="BG18" i="30"/>
  <c r="BE18" i="30"/>
  <c r="BC18" i="30"/>
  <c r="BA18" i="30"/>
  <c r="AY18" i="30"/>
  <c r="AW18" i="30"/>
  <c r="AT7" i="30"/>
  <c r="EB17" i="30"/>
  <c r="DZ17" i="30"/>
  <c r="DX17" i="30"/>
  <c r="DV17" i="30"/>
  <c r="DT17" i="30"/>
  <c r="DR17" i="30"/>
  <c r="DP17" i="30"/>
  <c r="DN17" i="30"/>
  <c r="DL17" i="30"/>
  <c r="DJ17" i="30"/>
  <c r="DH17" i="30"/>
  <c r="DF17" i="30"/>
  <c r="DC39" i="30"/>
  <c r="CX17" i="30"/>
  <c r="CV17" i="30"/>
  <c r="CT17" i="30"/>
  <c r="CR17" i="30"/>
  <c r="CP17" i="30"/>
  <c r="CN17" i="30"/>
  <c r="CL17" i="30"/>
  <c r="CJ17" i="30"/>
  <c r="CH17" i="30"/>
  <c r="CF17" i="30"/>
  <c r="CD17" i="30"/>
  <c r="CB17" i="30"/>
  <c r="BZ39" i="30"/>
  <c r="BS17" i="30"/>
  <c r="BQ17" i="30"/>
  <c r="BO17" i="30"/>
  <c r="BM17" i="30"/>
  <c r="BK17" i="30"/>
  <c r="BI17" i="30"/>
  <c r="BG17" i="30"/>
  <c r="BE17" i="30"/>
  <c r="BC17" i="30"/>
  <c r="BA17" i="30"/>
  <c r="AY17" i="30"/>
  <c r="AW17" i="30"/>
  <c r="AT6" i="30"/>
  <c r="EB16" i="30"/>
  <c r="DZ16" i="30"/>
  <c r="DX16" i="30"/>
  <c r="DV16" i="30"/>
  <c r="DT16" i="30"/>
  <c r="DR16" i="30"/>
  <c r="DP16" i="30"/>
  <c r="DN16" i="30"/>
  <c r="DL16" i="30"/>
  <c r="DJ16" i="30"/>
  <c r="DH16" i="30"/>
  <c r="DF16" i="30"/>
  <c r="DC16" i="30"/>
  <c r="DC49" i="30" s="1"/>
  <c r="CX16" i="30"/>
  <c r="CV16" i="30"/>
  <c r="CT16" i="30"/>
  <c r="CR16" i="30"/>
  <c r="CP16" i="30"/>
  <c r="CN16" i="30"/>
  <c r="CL16" i="30"/>
  <c r="CJ16" i="30"/>
  <c r="CH16" i="30"/>
  <c r="CF16" i="30"/>
  <c r="CD16" i="30"/>
  <c r="CB16" i="30"/>
  <c r="BZ27" i="30"/>
  <c r="BZ91" i="30" s="1"/>
  <c r="BS16" i="30"/>
  <c r="BQ16" i="30"/>
  <c r="BO16" i="30"/>
  <c r="BM16" i="30"/>
  <c r="BK16" i="30"/>
  <c r="BI16" i="30"/>
  <c r="BG16" i="30"/>
  <c r="BE16" i="30"/>
  <c r="BC16" i="30"/>
  <c r="BA16" i="30"/>
  <c r="AY16" i="30"/>
  <c r="AW16" i="30"/>
  <c r="AT5" i="30"/>
  <c r="EB15" i="30"/>
  <c r="DZ15" i="30"/>
  <c r="DX15" i="30"/>
  <c r="DV15" i="30"/>
  <c r="DT15" i="30"/>
  <c r="DR15" i="30"/>
  <c r="DP15" i="30"/>
  <c r="DN15" i="30"/>
  <c r="DL15" i="30"/>
  <c r="DJ15" i="30"/>
  <c r="DH15" i="30"/>
  <c r="DF15" i="30"/>
  <c r="DC26" i="30"/>
  <c r="DC90" i="30" s="1"/>
  <c r="CX15" i="30"/>
  <c r="CV15" i="30"/>
  <c r="CT15" i="30"/>
  <c r="CR15" i="30"/>
  <c r="CP15" i="30"/>
  <c r="CN15" i="30"/>
  <c r="CL15" i="30"/>
  <c r="CJ15" i="30"/>
  <c r="CH15" i="30"/>
  <c r="CF15" i="30"/>
  <c r="CD15" i="30"/>
  <c r="CB15" i="30"/>
  <c r="BZ60" i="30"/>
  <c r="BS15" i="30"/>
  <c r="BQ15" i="30"/>
  <c r="BO15" i="30"/>
  <c r="BM15" i="30"/>
  <c r="BK15" i="30"/>
  <c r="BI15" i="30"/>
  <c r="BG15" i="30"/>
  <c r="BE15" i="30"/>
  <c r="BC15" i="30"/>
  <c r="BA15" i="30"/>
  <c r="AY15" i="30"/>
  <c r="AW15" i="30"/>
  <c r="AT4" i="30"/>
  <c r="DD2" i="30"/>
  <c r="CA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Z213" i="29" s="1"/>
  <c r="Y207" i="29"/>
  <c r="Y213" i="29" s="1"/>
  <c r="X207" i="29"/>
  <c r="W207" i="29"/>
  <c r="V207" i="29"/>
  <c r="U207" i="29"/>
  <c r="T207" i="29"/>
  <c r="S207" i="29"/>
  <c r="R207" i="29"/>
  <c r="R213" i="29" s="1"/>
  <c r="Q207" i="29"/>
  <c r="Q213" i="29" s="1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Z212" i="29" s="1"/>
  <c r="Y206" i="29"/>
  <c r="Y212" i="29" s="1"/>
  <c r="X206" i="29"/>
  <c r="W206" i="29"/>
  <c r="V206" i="29"/>
  <c r="U206" i="29"/>
  <c r="T206" i="29"/>
  <c r="S206" i="29"/>
  <c r="R206" i="29"/>
  <c r="R212" i="29" s="1"/>
  <c r="R214" i="29" s="1"/>
  <c r="Q206" i="29"/>
  <c r="Q212" i="29" s="1"/>
  <c r="P206" i="29"/>
  <c r="O206" i="29"/>
  <c r="N206" i="29"/>
  <c r="M206" i="29"/>
  <c r="L206" i="29"/>
  <c r="K206" i="29"/>
  <c r="J206" i="29"/>
  <c r="J212" i="29" s="1"/>
  <c r="I206" i="29"/>
  <c r="I212" i="29" s="1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U196" i="29" s="1"/>
  <c r="Y76" i="30" s="1"/>
  <c r="T186" i="29"/>
  <c r="S186" i="29"/>
  <c r="S196" i="29" s="1"/>
  <c r="W76" i="30" s="1"/>
  <c r="R186" i="29"/>
  <c r="R196" i="29" s="1"/>
  <c r="V76" i="30" s="1"/>
  <c r="Q186" i="29"/>
  <c r="P186" i="29"/>
  <c r="O186" i="29"/>
  <c r="N186" i="29"/>
  <c r="M186" i="29"/>
  <c r="M196" i="29" s="1"/>
  <c r="Q76" i="30" s="1"/>
  <c r="L186" i="29"/>
  <c r="K186" i="29"/>
  <c r="J186" i="29"/>
  <c r="J196" i="29" s="1"/>
  <c r="N76" i="30" s="1"/>
  <c r="I186" i="29"/>
  <c r="H186" i="29"/>
  <c r="G186" i="29"/>
  <c r="F186" i="29"/>
  <c r="E186" i="29"/>
  <c r="D186" i="29"/>
  <c r="C186" i="29"/>
  <c r="C196" i="29" s="1"/>
  <c r="G76" i="30" s="1"/>
  <c r="Z185" i="29"/>
  <c r="Z195" i="29" s="1"/>
  <c r="AD75" i="30" s="1"/>
  <c r="Y185" i="29"/>
  <c r="X185" i="29"/>
  <c r="X195" i="29" s="1"/>
  <c r="AB75" i="30" s="1"/>
  <c r="W185" i="29"/>
  <c r="W195" i="29" s="1"/>
  <c r="AA75" i="30" s="1"/>
  <c r="V185" i="29"/>
  <c r="U185" i="29"/>
  <c r="T185" i="29"/>
  <c r="S185" i="29"/>
  <c r="S195" i="29" s="1"/>
  <c r="W75" i="30" s="1"/>
  <c r="R185" i="29"/>
  <c r="R195" i="29" s="1"/>
  <c r="V75" i="30" s="1"/>
  <c r="Q185" i="29"/>
  <c r="P185" i="29"/>
  <c r="P195" i="29" s="1"/>
  <c r="T75" i="30" s="1"/>
  <c r="O185" i="29"/>
  <c r="O195" i="29" s="1"/>
  <c r="S75" i="30" s="1"/>
  <c r="N185" i="29"/>
  <c r="M185" i="29"/>
  <c r="L185" i="29"/>
  <c r="K185" i="29"/>
  <c r="K195" i="29" s="1"/>
  <c r="O75" i="30" s="1"/>
  <c r="J185" i="29"/>
  <c r="J195" i="29" s="1"/>
  <c r="N75" i="30" s="1"/>
  <c r="I185" i="29"/>
  <c r="H185" i="29"/>
  <c r="H195" i="29" s="1"/>
  <c r="L75" i="30" s="1"/>
  <c r="G185" i="29"/>
  <c r="G195" i="29" s="1"/>
  <c r="K75" i="30" s="1"/>
  <c r="F185" i="29"/>
  <c r="F195" i="29" s="1"/>
  <c r="J75" i="30" s="1"/>
  <c r="E185" i="29"/>
  <c r="D185" i="29"/>
  <c r="C185" i="29"/>
  <c r="C195" i="29" s="1"/>
  <c r="G75" i="30" s="1"/>
  <c r="Z196" i="29"/>
  <c r="AD76" i="30" s="1"/>
  <c r="Y196" i="29"/>
  <c r="AC76" i="30" s="1"/>
  <c r="Q196" i="29"/>
  <c r="U76" i="30" s="1"/>
  <c r="K196" i="29"/>
  <c r="O76" i="30" s="1"/>
  <c r="I196" i="29"/>
  <c r="M76" i="30" s="1"/>
  <c r="Y195" i="29"/>
  <c r="AC75" i="30" s="1"/>
  <c r="U195" i="29"/>
  <c r="Y75" i="30" s="1"/>
  <c r="Q195" i="29"/>
  <c r="U75" i="30" s="1"/>
  <c r="M195" i="29"/>
  <c r="Q75" i="30" s="1"/>
  <c r="I195" i="29"/>
  <c r="M75" i="30" s="1"/>
  <c r="W47" i="29"/>
  <c r="S47" i="29"/>
  <c r="O47" i="29"/>
  <c r="K47" i="29"/>
  <c r="G47" i="29"/>
  <c r="C47" i="29"/>
  <c r="Y47" i="29"/>
  <c r="U47" i="29"/>
  <c r="Q47" i="29"/>
  <c r="M47" i="29"/>
  <c r="I47" i="29"/>
  <c r="E47" i="29"/>
  <c r="C62" i="29"/>
  <c r="C63" i="29" s="1"/>
  <c r="C49" i="29" s="1"/>
  <c r="C54" i="29" s="1"/>
  <c r="C19" i="29"/>
  <c r="Z20" i="29"/>
  <c r="Z21" i="29" s="1"/>
  <c r="Z7" i="29" s="1"/>
  <c r="Z12" i="29" s="1"/>
  <c r="X20" i="29"/>
  <c r="X21" i="29" s="1"/>
  <c r="X7" i="29" s="1"/>
  <c r="X12" i="29" s="1"/>
  <c r="T20" i="29"/>
  <c r="T21" i="29" s="1"/>
  <c r="T7" i="29" s="1"/>
  <c r="T12" i="29" s="1"/>
  <c r="R20" i="29"/>
  <c r="R21" i="29" s="1"/>
  <c r="R7" i="29" s="1"/>
  <c r="R12" i="29" s="1"/>
  <c r="P20" i="29"/>
  <c r="P21" i="29" s="1"/>
  <c r="P7" i="29" s="1"/>
  <c r="P12" i="29" s="1"/>
  <c r="N20" i="29"/>
  <c r="N21" i="29" s="1"/>
  <c r="N7" i="29" s="1"/>
  <c r="N12" i="29" s="1"/>
  <c r="L20" i="29"/>
  <c r="L21" i="29" s="1"/>
  <c r="L7" i="29" s="1"/>
  <c r="L12" i="29" s="1"/>
  <c r="H20" i="29"/>
  <c r="H21" i="29" s="1"/>
  <c r="H7" i="29" s="1"/>
  <c r="H12" i="29" s="1"/>
  <c r="F20" i="29"/>
  <c r="F21" i="29" s="1"/>
  <c r="F7" i="29" s="1"/>
  <c r="F12" i="29" s="1"/>
  <c r="D20" i="29"/>
  <c r="D21" i="29" s="1"/>
  <c r="D7" i="29" s="1"/>
  <c r="D12" i="29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Z46" i="29"/>
  <c r="X46" i="29"/>
  <c r="V46" i="29"/>
  <c r="T46" i="29"/>
  <c r="R46" i="29"/>
  <c r="P46" i="29"/>
  <c r="N46" i="29"/>
  <c r="L46" i="29"/>
  <c r="J46" i="29"/>
  <c r="H46" i="29"/>
  <c r="F46" i="29"/>
  <c r="D46" i="29"/>
  <c r="Y26" i="29"/>
  <c r="W26" i="29"/>
  <c r="U26" i="29"/>
  <c r="S26" i="29"/>
  <c r="Q26" i="29"/>
  <c r="O26" i="29"/>
  <c r="M26" i="29"/>
  <c r="K26" i="29"/>
  <c r="I26" i="29"/>
  <c r="G26" i="29"/>
  <c r="E26" i="29"/>
  <c r="C26" i="29"/>
  <c r="Y25" i="29"/>
  <c r="W25" i="29"/>
  <c r="U25" i="29"/>
  <c r="S25" i="29"/>
  <c r="Q25" i="29"/>
  <c r="O25" i="29"/>
  <c r="M25" i="29"/>
  <c r="K25" i="29"/>
  <c r="I25" i="29"/>
  <c r="G25" i="29"/>
  <c r="E25" i="29"/>
  <c r="C25" i="29"/>
  <c r="AK22" i="29"/>
  <c r="AK25" i="29" s="1"/>
  <c r="AK21" i="29"/>
  <c r="C21" i="29"/>
  <c r="C7" i="29" s="1"/>
  <c r="C12" i="29" s="1"/>
  <c r="AK20" i="29"/>
  <c r="Y20" i="29"/>
  <c r="Y21" i="29" s="1"/>
  <c r="Y7" i="29" s="1"/>
  <c r="Y12" i="29" s="1"/>
  <c r="W20" i="29"/>
  <c r="W21" i="29" s="1"/>
  <c r="W7" i="29" s="1"/>
  <c r="W12" i="29" s="1"/>
  <c r="U20" i="29"/>
  <c r="U21" i="29" s="1"/>
  <c r="U7" i="29" s="1"/>
  <c r="U12" i="29" s="1"/>
  <c r="S20" i="29"/>
  <c r="S21" i="29" s="1"/>
  <c r="S7" i="29" s="1"/>
  <c r="S12" i="29" s="1"/>
  <c r="Q20" i="29"/>
  <c r="Q21" i="29" s="1"/>
  <c r="Q7" i="29" s="1"/>
  <c r="Q12" i="29" s="1"/>
  <c r="O20" i="29"/>
  <c r="O21" i="29" s="1"/>
  <c r="O7" i="29" s="1"/>
  <c r="O12" i="29" s="1"/>
  <c r="M20" i="29"/>
  <c r="M21" i="29" s="1"/>
  <c r="M7" i="29" s="1"/>
  <c r="M12" i="29" s="1"/>
  <c r="K20" i="29"/>
  <c r="K21" i="29" s="1"/>
  <c r="K7" i="29" s="1"/>
  <c r="K12" i="29" s="1"/>
  <c r="I20" i="29"/>
  <c r="I21" i="29" s="1"/>
  <c r="I7" i="29" s="1"/>
  <c r="I12" i="29" s="1"/>
  <c r="G20" i="29"/>
  <c r="G21" i="29" s="1"/>
  <c r="G7" i="29" s="1"/>
  <c r="G12" i="29" s="1"/>
  <c r="E20" i="29"/>
  <c r="E21" i="29" s="1"/>
  <c r="E7" i="29" s="1"/>
  <c r="E12" i="29" s="1"/>
  <c r="C20" i="29"/>
  <c r="AD14" i="29"/>
  <c r="T233" i="31" s="1"/>
  <c r="T271" i="31" s="1"/>
  <c r="AJ8" i="29"/>
  <c r="B81" i="30" s="1"/>
  <c r="C6" i="29"/>
  <c r="Z5" i="29"/>
  <c r="Y5" i="29"/>
  <c r="X5" i="29"/>
  <c r="W5" i="29"/>
  <c r="W9" i="29" s="1"/>
  <c r="U5" i="29"/>
  <c r="U9" i="29" s="1"/>
  <c r="T5" i="29"/>
  <c r="S5" i="29"/>
  <c r="S9" i="29" s="1"/>
  <c r="R5" i="29"/>
  <c r="Q5" i="29"/>
  <c r="P5" i="29"/>
  <c r="O5" i="29"/>
  <c r="N5" i="29"/>
  <c r="M5" i="29"/>
  <c r="L5" i="29"/>
  <c r="K5" i="29"/>
  <c r="J5" i="29"/>
  <c r="J9" i="29" s="1"/>
  <c r="I5" i="29"/>
  <c r="I9" i="29" s="1"/>
  <c r="H5" i="29"/>
  <c r="H9" i="29" s="1"/>
  <c r="G5" i="29"/>
  <c r="F5" i="29"/>
  <c r="E5" i="29"/>
  <c r="D5" i="29"/>
  <c r="C5" i="29"/>
  <c r="Z4" i="29"/>
  <c r="Y4" i="29"/>
  <c r="X4" i="29"/>
  <c r="W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Z3" i="29"/>
  <c r="Y3" i="29"/>
  <c r="X3" i="29"/>
  <c r="W3" i="29"/>
  <c r="W8" i="29" s="1"/>
  <c r="U3" i="29"/>
  <c r="U8" i="29" s="1"/>
  <c r="T3" i="29"/>
  <c r="S3" i="29"/>
  <c r="R3" i="29"/>
  <c r="Q3" i="29"/>
  <c r="P3" i="29"/>
  <c r="O3" i="29"/>
  <c r="N3" i="29"/>
  <c r="M3" i="29"/>
  <c r="L3" i="29"/>
  <c r="K3" i="29"/>
  <c r="J3" i="29"/>
  <c r="I3" i="29"/>
  <c r="I8" i="29" s="1"/>
  <c r="H3" i="29"/>
  <c r="G3" i="29"/>
  <c r="F3" i="29"/>
  <c r="E3" i="29"/>
  <c r="D3" i="29"/>
  <c r="C3" i="29"/>
  <c r="T2" i="29"/>
  <c r="P2" i="29"/>
  <c r="D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K70" i="28"/>
  <c r="K11" i="28"/>
  <c r="K10" i="28"/>
  <c r="X203" i="29" l="1"/>
  <c r="G196" i="29"/>
  <c r="K76" i="30" s="1"/>
  <c r="O196" i="29"/>
  <c r="S76" i="30" s="1"/>
  <c r="W196" i="29"/>
  <c r="AA76" i="30" s="1"/>
  <c r="E196" i="29"/>
  <c r="I76" i="30" s="1"/>
  <c r="D17" i="30"/>
  <c r="F17" i="30" s="1"/>
  <c r="W203" i="29"/>
  <c r="F203" i="29"/>
  <c r="D239" i="32"/>
  <c r="AF130" i="31"/>
  <c r="AF136" i="31"/>
  <c r="AF145" i="31"/>
  <c r="AF139" i="31"/>
  <c r="AF133" i="31"/>
  <c r="AF127" i="31"/>
  <c r="AF142" i="31"/>
  <c r="U136" i="31"/>
  <c r="K114" i="31" s="1"/>
  <c r="U132" i="31"/>
  <c r="U135" i="31"/>
  <c r="U137" i="31"/>
  <c r="U134" i="31"/>
  <c r="U133" i="31"/>
  <c r="K111" i="31" s="1"/>
  <c r="D223" i="32"/>
  <c r="D224" i="32"/>
  <c r="V20" i="29"/>
  <c r="V21" i="29" s="1"/>
  <c r="V7" i="29" s="1"/>
  <c r="V12" i="29" s="1"/>
  <c r="V195" i="29"/>
  <c r="Z75" i="30" s="1"/>
  <c r="Z77" i="30" s="1"/>
  <c r="V5" i="29"/>
  <c r="V9" i="29" s="1"/>
  <c r="V4" i="29"/>
  <c r="V8" i="29" s="1"/>
  <c r="I213" i="29"/>
  <c r="I214" i="29" s="1"/>
  <c r="H203" i="29"/>
  <c r="T203" i="29"/>
  <c r="N203" i="29"/>
  <c r="N195" i="29"/>
  <c r="R75" i="30" s="1"/>
  <c r="N196" i="29"/>
  <c r="R76" i="30" s="1"/>
  <c r="D203" i="29"/>
  <c r="D195" i="29"/>
  <c r="H75" i="30" s="1"/>
  <c r="J213" i="29"/>
  <c r="J214" i="29" s="1"/>
  <c r="F212" i="29"/>
  <c r="N212" i="29"/>
  <c r="V212" i="29"/>
  <c r="F213" i="29"/>
  <c r="N213" i="29"/>
  <c r="V213" i="29"/>
  <c r="AU96" i="31"/>
  <c r="AF96" i="31"/>
  <c r="AJ96" i="31"/>
  <c r="AZ96" i="31"/>
  <c r="BL96" i="31"/>
  <c r="S8" i="29"/>
  <c r="X171" i="28"/>
  <c r="AA171" i="28" s="1"/>
  <c r="T171" i="28"/>
  <c r="AI171" i="28" s="1"/>
  <c r="Z171" i="28"/>
  <c r="AC171" i="28" s="1"/>
  <c r="Y171" i="28"/>
  <c r="AB171" i="28" s="1"/>
  <c r="Z175" i="28"/>
  <c r="AC175" i="28" s="1"/>
  <c r="Y175" i="28"/>
  <c r="AB175" i="28" s="1"/>
  <c r="X175" i="28"/>
  <c r="AA175" i="28" s="1"/>
  <c r="T175" i="28"/>
  <c r="X179" i="28"/>
  <c r="AA179" i="28" s="1"/>
  <c r="T179" i="28"/>
  <c r="Z179" i="28"/>
  <c r="AC179" i="28" s="1"/>
  <c r="Y179" i="28"/>
  <c r="AB179" i="28" s="1"/>
  <c r="Z183" i="28"/>
  <c r="AC183" i="28" s="1"/>
  <c r="Y183" i="28"/>
  <c r="AB183" i="28" s="1"/>
  <c r="T183" i="28"/>
  <c r="X183" i="28"/>
  <c r="AA183" i="28" s="1"/>
  <c r="Z195" i="28"/>
  <c r="AC195" i="28" s="1"/>
  <c r="X195" i="28"/>
  <c r="AA195" i="28" s="1"/>
  <c r="Y195" i="28"/>
  <c r="AB195" i="28" s="1"/>
  <c r="T195" i="28"/>
  <c r="Z199" i="28"/>
  <c r="AC199" i="28" s="1"/>
  <c r="Y199" i="28"/>
  <c r="AB199" i="28" s="1"/>
  <c r="X199" i="28"/>
  <c r="AA199" i="28" s="1"/>
  <c r="T199" i="28"/>
  <c r="Z203" i="28"/>
  <c r="AC203" i="28" s="1"/>
  <c r="X203" i="28"/>
  <c r="AA203" i="28" s="1"/>
  <c r="T203" i="28"/>
  <c r="Y203" i="28"/>
  <c r="AB203" i="28" s="1"/>
  <c r="Z207" i="28"/>
  <c r="AC207" i="28" s="1"/>
  <c r="Y207" i="28"/>
  <c r="AB207" i="28" s="1"/>
  <c r="X207" i="28"/>
  <c r="AA207" i="28" s="1"/>
  <c r="T207" i="28"/>
  <c r="D126" i="31"/>
  <c r="J126" i="31" s="1"/>
  <c r="D130" i="31"/>
  <c r="J130" i="31" s="1"/>
  <c r="T165" i="31"/>
  <c r="AI165" i="31" s="1"/>
  <c r="Z165" i="31"/>
  <c r="AC165" i="31" s="1"/>
  <c r="Y165" i="31"/>
  <c r="AB165" i="31" s="1"/>
  <c r="X165" i="31"/>
  <c r="AA165" i="31" s="1"/>
  <c r="X173" i="31"/>
  <c r="AA173" i="31" s="1"/>
  <c r="T173" i="31"/>
  <c r="Z173" i="31"/>
  <c r="AC173" i="31" s="1"/>
  <c r="Y173" i="31"/>
  <c r="AB173" i="31" s="1"/>
  <c r="T177" i="31"/>
  <c r="AI177" i="31" s="1"/>
  <c r="Z177" i="31"/>
  <c r="AC177" i="31" s="1"/>
  <c r="Y177" i="31"/>
  <c r="AB177" i="31" s="1"/>
  <c r="X177" i="31"/>
  <c r="AA177" i="31" s="1"/>
  <c r="X181" i="31"/>
  <c r="AA181" i="31" s="1"/>
  <c r="T181" i="31"/>
  <c r="AF181" i="31" s="1"/>
  <c r="Z181" i="31"/>
  <c r="AC181" i="31" s="1"/>
  <c r="Y181" i="31"/>
  <c r="AB181" i="31" s="1"/>
  <c r="T185" i="31"/>
  <c r="AG185" i="31" s="1"/>
  <c r="Z185" i="31"/>
  <c r="AC185" i="31" s="1"/>
  <c r="Y185" i="31"/>
  <c r="AB185" i="31" s="1"/>
  <c r="X185" i="31"/>
  <c r="AA185" i="31" s="1"/>
  <c r="Z193" i="31"/>
  <c r="AC193" i="31" s="1"/>
  <c r="Y193" i="31"/>
  <c r="AB193" i="31" s="1"/>
  <c r="X193" i="31"/>
  <c r="AA193" i="31" s="1"/>
  <c r="T193" i="31"/>
  <c r="AG193" i="31" s="1"/>
  <c r="Z197" i="31"/>
  <c r="AC197" i="31" s="1"/>
  <c r="Y197" i="31"/>
  <c r="AB197" i="31" s="1"/>
  <c r="X197" i="31"/>
  <c r="AA197" i="31" s="1"/>
  <c r="T197" i="31"/>
  <c r="AF197" i="31" s="1"/>
  <c r="Z201" i="31"/>
  <c r="AC201" i="31" s="1"/>
  <c r="Y201" i="31"/>
  <c r="AB201" i="31" s="1"/>
  <c r="X201" i="31"/>
  <c r="AA201" i="31" s="1"/>
  <c r="T201" i="31"/>
  <c r="AG201" i="31" s="1"/>
  <c r="Z205" i="31"/>
  <c r="AC205" i="31" s="1"/>
  <c r="Y205" i="31"/>
  <c r="AB205" i="31" s="1"/>
  <c r="X205" i="31"/>
  <c r="AA205" i="31" s="1"/>
  <c r="T205" i="31"/>
  <c r="AG205" i="31" s="1"/>
  <c r="Y209" i="31"/>
  <c r="AB209" i="31" s="1"/>
  <c r="X209" i="31"/>
  <c r="AA209" i="31" s="1"/>
  <c r="Z209" i="31"/>
  <c r="AC209" i="31" s="1"/>
  <c r="T209" i="31"/>
  <c r="AG209" i="31" s="1"/>
  <c r="Z213" i="31"/>
  <c r="AC213" i="31" s="1"/>
  <c r="T213" i="31"/>
  <c r="AI213" i="31" s="1"/>
  <c r="Y213" i="31"/>
  <c r="AB213" i="31" s="1"/>
  <c r="X213" i="31"/>
  <c r="AA213" i="31" s="1"/>
  <c r="Y217" i="31"/>
  <c r="AB217" i="31" s="1"/>
  <c r="X217" i="31"/>
  <c r="AA217" i="31" s="1"/>
  <c r="Z217" i="31"/>
  <c r="AC217" i="31" s="1"/>
  <c r="T217" i="31"/>
  <c r="AI217" i="31" s="1"/>
  <c r="Z221" i="31"/>
  <c r="AC221" i="31" s="1"/>
  <c r="T221" i="31"/>
  <c r="AF221" i="31" s="1"/>
  <c r="Y221" i="31"/>
  <c r="AB221" i="31" s="1"/>
  <c r="X221" i="31"/>
  <c r="AA221" i="31" s="1"/>
  <c r="Y225" i="31"/>
  <c r="AB225" i="31" s="1"/>
  <c r="X225" i="31"/>
  <c r="AA225" i="31" s="1"/>
  <c r="Z225" i="31"/>
  <c r="AC225" i="31" s="1"/>
  <c r="T225" i="31"/>
  <c r="U225" i="31" s="1"/>
  <c r="Z172" i="28"/>
  <c r="AC172" i="28" s="1"/>
  <c r="Y172" i="28"/>
  <c r="AB172" i="28" s="1"/>
  <c r="T172" i="28"/>
  <c r="AI172" i="28" s="1"/>
  <c r="X172" i="28"/>
  <c r="AA172" i="28" s="1"/>
  <c r="Y176" i="28"/>
  <c r="AB176" i="28" s="1"/>
  <c r="T176" i="28"/>
  <c r="AI176" i="28" s="1"/>
  <c r="X176" i="28"/>
  <c r="AA176" i="28" s="1"/>
  <c r="Z176" i="28"/>
  <c r="AC176" i="28" s="1"/>
  <c r="Z180" i="28"/>
  <c r="AC180" i="28" s="1"/>
  <c r="Y180" i="28"/>
  <c r="AB180" i="28" s="1"/>
  <c r="T180" i="28"/>
  <c r="AI180" i="28" s="1"/>
  <c r="X180" i="28"/>
  <c r="AA180" i="28" s="1"/>
  <c r="Y184" i="28"/>
  <c r="AB184" i="28" s="1"/>
  <c r="T184" i="28"/>
  <c r="AI184" i="28" s="1"/>
  <c r="Z184" i="28"/>
  <c r="AC184" i="28" s="1"/>
  <c r="X184" i="28"/>
  <c r="AA184" i="28" s="1"/>
  <c r="Z192" i="28"/>
  <c r="AC192" i="28" s="1"/>
  <c r="Y192" i="28"/>
  <c r="AB192" i="28" s="1"/>
  <c r="X192" i="28"/>
  <c r="AA192" i="28" s="1"/>
  <c r="T192" i="28"/>
  <c r="AI192" i="28" s="1"/>
  <c r="T196" i="28"/>
  <c r="AI196" i="28" s="1"/>
  <c r="Z196" i="28"/>
  <c r="AC196" i="28" s="1"/>
  <c r="Y196" i="28"/>
  <c r="AB196" i="28" s="1"/>
  <c r="X196" i="28"/>
  <c r="AA196" i="28" s="1"/>
  <c r="Y200" i="28"/>
  <c r="AB200" i="28" s="1"/>
  <c r="X200" i="28"/>
  <c r="AA200" i="28" s="1"/>
  <c r="Z200" i="28"/>
  <c r="AC200" i="28" s="1"/>
  <c r="T200" i="28"/>
  <c r="T204" i="28"/>
  <c r="Z204" i="28"/>
  <c r="AC204" i="28" s="1"/>
  <c r="Y204" i="28"/>
  <c r="AB204" i="28" s="1"/>
  <c r="X204" i="28"/>
  <c r="AA204" i="28" s="1"/>
  <c r="Y170" i="31"/>
  <c r="AB170" i="31" s="1"/>
  <c r="X170" i="31"/>
  <c r="AA170" i="31" s="1"/>
  <c r="Z170" i="31"/>
  <c r="AC170" i="31" s="1"/>
  <c r="T170" i="31"/>
  <c r="Z174" i="31"/>
  <c r="AC174" i="31" s="1"/>
  <c r="T174" i="31"/>
  <c r="Y174" i="31"/>
  <c r="AB174" i="31" s="1"/>
  <c r="X174" i="31"/>
  <c r="AA174" i="31" s="1"/>
  <c r="Y178" i="31"/>
  <c r="AB178" i="31" s="1"/>
  <c r="X178" i="31"/>
  <c r="AA178" i="31" s="1"/>
  <c r="Z178" i="31"/>
  <c r="AC178" i="31" s="1"/>
  <c r="T178" i="31"/>
  <c r="AJ178" i="31" s="1"/>
  <c r="Z182" i="31"/>
  <c r="AC182" i="31" s="1"/>
  <c r="T182" i="31"/>
  <c r="Y182" i="31"/>
  <c r="AB182" i="31" s="1"/>
  <c r="X182" i="31"/>
  <c r="AA182" i="31" s="1"/>
  <c r="Z194" i="31"/>
  <c r="AC194" i="31" s="1"/>
  <c r="Y194" i="31"/>
  <c r="AB194" i="31" s="1"/>
  <c r="X194" i="31"/>
  <c r="AA194" i="31" s="1"/>
  <c r="T194" i="31"/>
  <c r="T198" i="31"/>
  <c r="Z198" i="31"/>
  <c r="AC198" i="31" s="1"/>
  <c r="Y198" i="31"/>
  <c r="AB198" i="31" s="1"/>
  <c r="X198" i="31"/>
  <c r="AA198" i="31" s="1"/>
  <c r="Z202" i="31"/>
  <c r="AC202" i="31" s="1"/>
  <c r="Y202" i="31"/>
  <c r="AB202" i="31" s="1"/>
  <c r="X202" i="31"/>
  <c r="AA202" i="31" s="1"/>
  <c r="T202" i="31"/>
  <c r="T206" i="31"/>
  <c r="Z206" i="31"/>
  <c r="AC206" i="31" s="1"/>
  <c r="Y206" i="31"/>
  <c r="AB206" i="31" s="1"/>
  <c r="X206" i="31"/>
  <c r="AA206" i="31" s="1"/>
  <c r="Z210" i="31"/>
  <c r="AC210" i="31" s="1"/>
  <c r="Y210" i="31"/>
  <c r="AB210" i="31" s="1"/>
  <c r="X210" i="31"/>
  <c r="AA210" i="31" s="1"/>
  <c r="T210" i="31"/>
  <c r="Z214" i="31"/>
  <c r="AC214" i="31" s="1"/>
  <c r="Y214" i="31"/>
  <c r="AB214" i="31" s="1"/>
  <c r="X214" i="31"/>
  <c r="AA214" i="31" s="1"/>
  <c r="T214" i="31"/>
  <c r="Z218" i="31"/>
  <c r="AC218" i="31" s="1"/>
  <c r="Y218" i="31"/>
  <c r="AB218" i="31" s="1"/>
  <c r="X218" i="31"/>
  <c r="AA218" i="31" s="1"/>
  <c r="T218" i="31"/>
  <c r="Z222" i="31"/>
  <c r="AC222" i="31" s="1"/>
  <c r="Y222" i="31"/>
  <c r="AB222" i="31" s="1"/>
  <c r="X222" i="31"/>
  <c r="AA222" i="31" s="1"/>
  <c r="T222" i="31"/>
  <c r="Z226" i="31"/>
  <c r="AC226" i="31" s="1"/>
  <c r="Y226" i="31"/>
  <c r="AB226" i="31" s="1"/>
  <c r="X226" i="31"/>
  <c r="AA226" i="31" s="1"/>
  <c r="T226" i="31"/>
  <c r="AJ226" i="31" s="1"/>
  <c r="Z165" i="28"/>
  <c r="AC165" i="28" s="1"/>
  <c r="Y165" i="28"/>
  <c r="AB165" i="28" s="1"/>
  <c r="X165" i="28"/>
  <c r="AA165" i="28" s="1"/>
  <c r="T165" i="28"/>
  <c r="AI165" i="28" s="1"/>
  <c r="Z173" i="28"/>
  <c r="AC173" i="28" s="1"/>
  <c r="X173" i="28"/>
  <c r="AA173" i="28" s="1"/>
  <c r="T173" i="28"/>
  <c r="AJ173" i="28" s="1"/>
  <c r="Y173" i="28"/>
  <c r="AB173" i="28" s="1"/>
  <c r="Z177" i="28"/>
  <c r="AC177" i="28" s="1"/>
  <c r="Y177" i="28"/>
  <c r="AB177" i="28" s="1"/>
  <c r="X177" i="28"/>
  <c r="AA177" i="28" s="1"/>
  <c r="T177" i="28"/>
  <c r="AJ177" i="28" s="1"/>
  <c r="Z181" i="28"/>
  <c r="AC181" i="28" s="1"/>
  <c r="X181" i="28"/>
  <c r="AA181" i="28" s="1"/>
  <c r="T181" i="28"/>
  <c r="AJ181" i="28" s="1"/>
  <c r="Y181" i="28"/>
  <c r="AB181" i="28" s="1"/>
  <c r="Z185" i="28"/>
  <c r="AC185" i="28" s="1"/>
  <c r="Y185" i="28"/>
  <c r="AB185" i="28" s="1"/>
  <c r="X185" i="28"/>
  <c r="AA185" i="28" s="1"/>
  <c r="T185" i="28"/>
  <c r="AJ185" i="28" s="1"/>
  <c r="X193" i="28"/>
  <c r="AA193" i="28" s="1"/>
  <c r="T193" i="28"/>
  <c r="AJ193" i="28" s="1"/>
  <c r="Z193" i="28"/>
  <c r="AC193" i="28" s="1"/>
  <c r="Y193" i="28"/>
  <c r="AB193" i="28" s="1"/>
  <c r="Z197" i="28"/>
  <c r="AC197" i="28" s="1"/>
  <c r="Y197" i="28"/>
  <c r="AB197" i="28" s="1"/>
  <c r="X197" i="28"/>
  <c r="AA197" i="28" s="1"/>
  <c r="T197" i="28"/>
  <c r="AJ197" i="28" s="1"/>
  <c r="X201" i="28"/>
  <c r="AA201" i="28" s="1"/>
  <c r="T201" i="28"/>
  <c r="AG201" i="28" s="1"/>
  <c r="Z201" i="28"/>
  <c r="AC201" i="28" s="1"/>
  <c r="Y201" i="28"/>
  <c r="AB201" i="28" s="1"/>
  <c r="Z205" i="28"/>
  <c r="AC205" i="28" s="1"/>
  <c r="T205" i="28"/>
  <c r="AG205" i="28" s="1"/>
  <c r="Y205" i="28"/>
  <c r="AB205" i="28" s="1"/>
  <c r="X205" i="28"/>
  <c r="AA205" i="28" s="1"/>
  <c r="D124" i="31"/>
  <c r="J124" i="31" s="1"/>
  <c r="Z171" i="31"/>
  <c r="AC171" i="31" s="1"/>
  <c r="Y171" i="31"/>
  <c r="AB171" i="31" s="1"/>
  <c r="X171" i="31"/>
  <c r="AA171" i="31" s="1"/>
  <c r="T171" i="31"/>
  <c r="Z175" i="31"/>
  <c r="AC175" i="31" s="1"/>
  <c r="Y175" i="31"/>
  <c r="AB175" i="31" s="1"/>
  <c r="X175" i="31"/>
  <c r="AA175" i="31" s="1"/>
  <c r="T175" i="31"/>
  <c r="Z179" i="31"/>
  <c r="AC179" i="31" s="1"/>
  <c r="Y179" i="31"/>
  <c r="AB179" i="31" s="1"/>
  <c r="X179" i="31"/>
  <c r="AA179" i="31" s="1"/>
  <c r="T179" i="31"/>
  <c r="U179" i="31" s="1"/>
  <c r="Z183" i="31"/>
  <c r="AC183" i="31" s="1"/>
  <c r="Y183" i="31"/>
  <c r="AB183" i="31" s="1"/>
  <c r="X183" i="31"/>
  <c r="AA183" i="31" s="1"/>
  <c r="T183" i="31"/>
  <c r="X195" i="31"/>
  <c r="AA195" i="31" s="1"/>
  <c r="T195" i="31"/>
  <c r="Z195" i="31"/>
  <c r="AC195" i="31" s="1"/>
  <c r="Y195" i="31"/>
  <c r="AB195" i="31" s="1"/>
  <c r="T199" i="31"/>
  <c r="Z199" i="31"/>
  <c r="AC199" i="31" s="1"/>
  <c r="Y199" i="31"/>
  <c r="AB199" i="31" s="1"/>
  <c r="X199" i="31"/>
  <c r="AA199" i="31" s="1"/>
  <c r="X203" i="31"/>
  <c r="AA203" i="31" s="1"/>
  <c r="T203" i="31"/>
  <c r="Z203" i="31"/>
  <c r="AC203" i="31" s="1"/>
  <c r="Y203" i="31"/>
  <c r="AB203" i="31" s="1"/>
  <c r="T207" i="31"/>
  <c r="Z207" i="31"/>
  <c r="AC207" i="31" s="1"/>
  <c r="Y207" i="31"/>
  <c r="AB207" i="31" s="1"/>
  <c r="X207" i="31"/>
  <c r="AA207" i="31" s="1"/>
  <c r="Z211" i="31"/>
  <c r="AC211" i="31" s="1"/>
  <c r="Y211" i="31"/>
  <c r="AB211" i="31" s="1"/>
  <c r="X211" i="31"/>
  <c r="AA211" i="31" s="1"/>
  <c r="T211" i="31"/>
  <c r="T215" i="31"/>
  <c r="Z215" i="31"/>
  <c r="AC215" i="31" s="1"/>
  <c r="Y215" i="31"/>
  <c r="AB215" i="31" s="1"/>
  <c r="X215" i="31"/>
  <c r="AA215" i="31" s="1"/>
  <c r="Z219" i="31"/>
  <c r="AC219" i="31" s="1"/>
  <c r="Y219" i="31"/>
  <c r="AB219" i="31" s="1"/>
  <c r="X219" i="31"/>
  <c r="AA219" i="31" s="1"/>
  <c r="T219" i="31"/>
  <c r="T223" i="31"/>
  <c r="Z223" i="31"/>
  <c r="AC223" i="31" s="1"/>
  <c r="Y223" i="31"/>
  <c r="AB223" i="31" s="1"/>
  <c r="X223" i="31"/>
  <c r="AA223" i="31" s="1"/>
  <c r="Z227" i="31"/>
  <c r="AC227" i="31" s="1"/>
  <c r="Y227" i="31"/>
  <c r="AB227" i="31" s="1"/>
  <c r="X227" i="31"/>
  <c r="AA227" i="31" s="1"/>
  <c r="T227" i="31"/>
  <c r="Y170" i="28"/>
  <c r="AB170" i="28" s="1"/>
  <c r="X170" i="28"/>
  <c r="AA170" i="28" s="1"/>
  <c r="Z170" i="28"/>
  <c r="AC170" i="28" s="1"/>
  <c r="T170" i="28"/>
  <c r="AI170" i="28" s="1"/>
  <c r="T174" i="28"/>
  <c r="Z174" i="28"/>
  <c r="AC174" i="28" s="1"/>
  <c r="Y174" i="28"/>
  <c r="AB174" i="28" s="1"/>
  <c r="X174" i="28"/>
  <c r="AA174" i="28" s="1"/>
  <c r="Y178" i="28"/>
  <c r="AB178" i="28" s="1"/>
  <c r="X178" i="28"/>
  <c r="AA178" i="28" s="1"/>
  <c r="Z178" i="28"/>
  <c r="AC178" i="28" s="1"/>
  <c r="T178" i="28"/>
  <c r="T182" i="28"/>
  <c r="Z182" i="28"/>
  <c r="AC182" i="28" s="1"/>
  <c r="Y182" i="28"/>
  <c r="AB182" i="28" s="1"/>
  <c r="X182" i="28"/>
  <c r="AA182" i="28" s="1"/>
  <c r="Z194" i="28"/>
  <c r="AC194" i="28" s="1"/>
  <c r="Y194" i="28"/>
  <c r="AB194" i="28" s="1"/>
  <c r="T194" i="28"/>
  <c r="X194" i="28"/>
  <c r="AA194" i="28" s="1"/>
  <c r="Y198" i="28"/>
  <c r="AB198" i="28" s="1"/>
  <c r="T198" i="28"/>
  <c r="X198" i="28"/>
  <c r="AA198" i="28" s="1"/>
  <c r="Z198" i="28"/>
  <c r="AC198" i="28" s="1"/>
  <c r="Z202" i="28"/>
  <c r="AC202" i="28" s="1"/>
  <c r="Y202" i="28"/>
  <c r="AB202" i="28" s="1"/>
  <c r="T202" i="28"/>
  <c r="X202" i="28"/>
  <c r="AA202" i="28" s="1"/>
  <c r="Y206" i="28"/>
  <c r="AB206" i="28" s="1"/>
  <c r="T206" i="28"/>
  <c r="W206" i="28" s="1"/>
  <c r="X206" i="28"/>
  <c r="AA206" i="28" s="1"/>
  <c r="Z206" i="28"/>
  <c r="AC206" i="28" s="1"/>
  <c r="Z172" i="31"/>
  <c r="AC172" i="31" s="1"/>
  <c r="Y172" i="31"/>
  <c r="AB172" i="31" s="1"/>
  <c r="X172" i="31"/>
  <c r="AA172" i="31" s="1"/>
  <c r="T172" i="31"/>
  <c r="T176" i="31"/>
  <c r="AI176" i="31" s="1"/>
  <c r="Z176" i="31"/>
  <c r="AC176" i="31" s="1"/>
  <c r="Y176" i="31"/>
  <c r="AB176" i="31" s="1"/>
  <c r="X176" i="31"/>
  <c r="AA176" i="31" s="1"/>
  <c r="Z180" i="31"/>
  <c r="AC180" i="31" s="1"/>
  <c r="Y180" i="31"/>
  <c r="AB180" i="31" s="1"/>
  <c r="X180" i="31"/>
  <c r="AA180" i="31" s="1"/>
  <c r="T180" i="31"/>
  <c r="U180" i="31" s="1"/>
  <c r="T184" i="31"/>
  <c r="W184" i="31" s="1"/>
  <c r="Z184" i="31"/>
  <c r="AC184" i="31" s="1"/>
  <c r="Y184" i="31"/>
  <c r="AB184" i="31" s="1"/>
  <c r="X184" i="31"/>
  <c r="AA184" i="31" s="1"/>
  <c r="Y192" i="31"/>
  <c r="AB192" i="31" s="1"/>
  <c r="X192" i="31"/>
  <c r="AA192" i="31" s="1"/>
  <c r="Z192" i="31"/>
  <c r="AC192" i="31" s="1"/>
  <c r="T192" i="31"/>
  <c r="AI192" i="31" s="1"/>
  <c r="Z196" i="31"/>
  <c r="AC196" i="31" s="1"/>
  <c r="T196" i="31"/>
  <c r="AJ196" i="31" s="1"/>
  <c r="Y196" i="31"/>
  <c r="AB196" i="31" s="1"/>
  <c r="X196" i="31"/>
  <c r="AA196" i="31" s="1"/>
  <c r="Y200" i="31"/>
  <c r="AB200" i="31" s="1"/>
  <c r="X200" i="31"/>
  <c r="AA200" i="31" s="1"/>
  <c r="Z200" i="31"/>
  <c r="AC200" i="31" s="1"/>
  <c r="T200" i="31"/>
  <c r="W200" i="31" s="1"/>
  <c r="Z204" i="31"/>
  <c r="AC204" i="31" s="1"/>
  <c r="T204" i="31"/>
  <c r="AG204" i="31" s="1"/>
  <c r="Y204" i="31"/>
  <c r="AB204" i="31" s="1"/>
  <c r="X204" i="31"/>
  <c r="AA204" i="31" s="1"/>
  <c r="X212" i="31"/>
  <c r="AA212" i="31" s="1"/>
  <c r="T212" i="31"/>
  <c r="AI212" i="31" s="1"/>
  <c r="Z212" i="31"/>
  <c r="AC212" i="31" s="1"/>
  <c r="Y212" i="31"/>
  <c r="AB212" i="31" s="1"/>
  <c r="T216" i="31"/>
  <c r="AF216" i="31" s="1"/>
  <c r="Z216" i="31"/>
  <c r="AC216" i="31" s="1"/>
  <c r="Y216" i="31"/>
  <c r="AB216" i="31" s="1"/>
  <c r="X216" i="31"/>
  <c r="AA216" i="31" s="1"/>
  <c r="X220" i="31"/>
  <c r="AA220" i="31" s="1"/>
  <c r="T220" i="31"/>
  <c r="V220" i="31" s="1"/>
  <c r="Z220" i="31"/>
  <c r="AC220" i="31" s="1"/>
  <c r="Y220" i="31"/>
  <c r="AB220" i="31" s="1"/>
  <c r="T224" i="31"/>
  <c r="AG224" i="31" s="1"/>
  <c r="Z224" i="31"/>
  <c r="AC224" i="31" s="1"/>
  <c r="Y224" i="31"/>
  <c r="AB224" i="31" s="1"/>
  <c r="X224" i="31"/>
  <c r="AA224" i="31" s="1"/>
  <c r="Z167" i="28"/>
  <c r="AC167" i="28" s="1"/>
  <c r="Y167" i="28"/>
  <c r="AB167" i="28" s="1"/>
  <c r="X167" i="28"/>
  <c r="AA167" i="28" s="1"/>
  <c r="T167" i="28"/>
  <c r="AI167" i="28" s="1"/>
  <c r="Z167" i="31"/>
  <c r="AC167" i="31" s="1"/>
  <c r="Y167" i="31"/>
  <c r="AB167" i="31" s="1"/>
  <c r="T167" i="31"/>
  <c r="X167" i="31"/>
  <c r="AA167" i="31" s="1"/>
  <c r="Y168" i="28"/>
  <c r="AB168" i="28" s="1"/>
  <c r="T168" i="28"/>
  <c r="V168" i="28" s="1"/>
  <c r="Z168" i="28"/>
  <c r="AC168" i="28" s="1"/>
  <c r="X168" i="28"/>
  <c r="AA168" i="28" s="1"/>
  <c r="Z168" i="31"/>
  <c r="AC168" i="31" s="1"/>
  <c r="Y168" i="31"/>
  <c r="AB168" i="31" s="1"/>
  <c r="X168" i="31"/>
  <c r="AA168" i="31" s="1"/>
  <c r="T168" i="31"/>
  <c r="Z138" i="32"/>
  <c r="Z166" i="31"/>
  <c r="AC166" i="31" s="1"/>
  <c r="Y166" i="31"/>
  <c r="AB166" i="31" s="1"/>
  <c r="X166" i="31"/>
  <c r="AA166" i="31" s="1"/>
  <c r="T166" i="31"/>
  <c r="X166" i="28"/>
  <c r="AA166" i="28" s="1"/>
  <c r="Z166" i="28"/>
  <c r="AC166" i="28" s="1"/>
  <c r="T166" i="28"/>
  <c r="U166" i="28" s="1"/>
  <c r="Y166" i="28"/>
  <c r="AB166" i="28" s="1"/>
  <c r="Z169" i="31"/>
  <c r="AC169" i="31" s="1"/>
  <c r="Y169" i="31"/>
  <c r="AB169" i="31" s="1"/>
  <c r="X169" i="31"/>
  <c r="AA169" i="31" s="1"/>
  <c r="T169" i="31"/>
  <c r="T169" i="28"/>
  <c r="U169" i="28" s="1"/>
  <c r="Z169" i="28"/>
  <c r="AC169" i="28" s="1"/>
  <c r="Y169" i="28"/>
  <c r="AB169" i="28" s="1"/>
  <c r="X169" i="28"/>
  <c r="AA169" i="28" s="1"/>
  <c r="Z191" i="28"/>
  <c r="AC191" i="28" s="1"/>
  <c r="Y191" i="28"/>
  <c r="AB191" i="28" s="1"/>
  <c r="X191" i="28"/>
  <c r="AA191" i="28" s="1"/>
  <c r="T191" i="28"/>
  <c r="T191" i="31"/>
  <c r="Z191" i="31"/>
  <c r="AC191" i="31" s="1"/>
  <c r="Y191" i="31"/>
  <c r="AB191" i="31" s="1"/>
  <c r="X191" i="31"/>
  <c r="AA191" i="31" s="1"/>
  <c r="H8" i="29"/>
  <c r="Z186" i="31"/>
  <c r="AC186" i="31" s="1"/>
  <c r="Y186" i="31"/>
  <c r="AB186" i="31" s="1"/>
  <c r="X186" i="31"/>
  <c r="AA186" i="31" s="1"/>
  <c r="T186" i="31"/>
  <c r="Z186" i="28"/>
  <c r="AC186" i="28" s="1"/>
  <c r="Y186" i="28"/>
  <c r="AB186" i="28" s="1"/>
  <c r="X186" i="28"/>
  <c r="AA186" i="28" s="1"/>
  <c r="T186" i="28"/>
  <c r="Z164" i="28"/>
  <c r="AC164" i="28" s="1"/>
  <c r="Y164" i="28"/>
  <c r="AB164" i="28" s="1"/>
  <c r="X164" i="28"/>
  <c r="AA164" i="28" s="1"/>
  <c r="T164" i="28"/>
  <c r="Z164" i="31"/>
  <c r="AC164" i="31" s="1"/>
  <c r="Y164" i="31"/>
  <c r="AB164" i="31" s="1"/>
  <c r="T164" i="31"/>
  <c r="U164" i="31" s="1"/>
  <c r="X164" i="31"/>
  <c r="AA164" i="31" s="1"/>
  <c r="T189" i="31"/>
  <c r="Z189" i="31"/>
  <c r="AC189" i="31" s="1"/>
  <c r="Y189" i="31"/>
  <c r="AB189" i="31" s="1"/>
  <c r="X189" i="31"/>
  <c r="AA189" i="31" s="1"/>
  <c r="Z190" i="31"/>
  <c r="AC190" i="31" s="1"/>
  <c r="Y190" i="31"/>
  <c r="AB190" i="31" s="1"/>
  <c r="X190" i="31"/>
  <c r="AA190" i="31" s="1"/>
  <c r="T190" i="31"/>
  <c r="Z189" i="28"/>
  <c r="AC189" i="28" s="1"/>
  <c r="Y189" i="28"/>
  <c r="AB189" i="28" s="1"/>
  <c r="X189" i="28"/>
  <c r="AA189" i="28" s="1"/>
  <c r="T189" i="28"/>
  <c r="U189" i="28" s="1"/>
  <c r="X190" i="28"/>
  <c r="AA190" i="28" s="1"/>
  <c r="T190" i="28"/>
  <c r="Z190" i="28"/>
  <c r="AC190" i="28" s="1"/>
  <c r="Y190" i="28"/>
  <c r="AB190" i="28" s="1"/>
  <c r="Y187" i="28"/>
  <c r="AB187" i="28" s="1"/>
  <c r="X187" i="28"/>
  <c r="AA187" i="28" s="1"/>
  <c r="T187" i="28"/>
  <c r="Z187" i="28"/>
  <c r="AC187" i="28" s="1"/>
  <c r="T188" i="28"/>
  <c r="Z188" i="28"/>
  <c r="AC188" i="28" s="1"/>
  <c r="Y188" i="28"/>
  <c r="AB188" i="28" s="1"/>
  <c r="X188" i="28"/>
  <c r="AA188" i="28" s="1"/>
  <c r="T187" i="31"/>
  <c r="Z187" i="31"/>
  <c r="AC187" i="31" s="1"/>
  <c r="Y187" i="31"/>
  <c r="AB187" i="31" s="1"/>
  <c r="X187" i="31"/>
  <c r="AA187" i="31" s="1"/>
  <c r="X188" i="31"/>
  <c r="AA188" i="31" s="1"/>
  <c r="Z188" i="31"/>
  <c r="AC188" i="31" s="1"/>
  <c r="Y188" i="31"/>
  <c r="AB188" i="31" s="1"/>
  <c r="T188" i="31"/>
  <c r="T208" i="31"/>
  <c r="AF208" i="31" s="1"/>
  <c r="X208" i="31"/>
  <c r="AA208" i="31" s="1"/>
  <c r="Z208" i="31"/>
  <c r="AC208" i="31" s="1"/>
  <c r="Y208" i="31"/>
  <c r="AB208" i="31" s="1"/>
  <c r="J8" i="29"/>
  <c r="G72" i="29"/>
  <c r="R72" i="29"/>
  <c r="W72" i="29"/>
  <c r="M70" i="29"/>
  <c r="N70" i="29"/>
  <c r="D72" i="29"/>
  <c r="Y72" i="29"/>
  <c r="U70" i="29"/>
  <c r="F72" i="29"/>
  <c r="Z72" i="29"/>
  <c r="G69" i="29"/>
  <c r="L72" i="29"/>
  <c r="G71" i="29"/>
  <c r="N72" i="29"/>
  <c r="R70" i="29"/>
  <c r="J72" i="29"/>
  <c r="K71" i="29"/>
  <c r="C72" i="29"/>
  <c r="K72" i="29"/>
  <c r="S72" i="29"/>
  <c r="D68" i="29"/>
  <c r="L68" i="29"/>
  <c r="T68" i="29"/>
  <c r="G68" i="29"/>
  <c r="J68" i="29"/>
  <c r="P68" i="29"/>
  <c r="S68" i="29"/>
  <c r="K68" i="29"/>
  <c r="U68" i="29"/>
  <c r="C68" i="29"/>
  <c r="M68" i="29"/>
  <c r="V68" i="29"/>
  <c r="E68" i="29"/>
  <c r="N68" i="29"/>
  <c r="W68" i="29"/>
  <c r="F68" i="29"/>
  <c r="O68" i="29"/>
  <c r="Z68" i="29"/>
  <c r="H68" i="29"/>
  <c r="Q68" i="29"/>
  <c r="I68" i="29"/>
  <c r="F86" i="30"/>
  <c r="B129" i="30" s="1"/>
  <c r="T133" i="31"/>
  <c r="AM100" i="31"/>
  <c r="BN100" i="31"/>
  <c r="F76" i="30"/>
  <c r="F77" i="30"/>
  <c r="F75" i="30"/>
  <c r="AP202" i="32"/>
  <c r="AQ202" i="32" s="1"/>
  <c r="F81" i="30"/>
  <c r="B114" i="30" s="1"/>
  <c r="E203" i="29"/>
  <c r="E212" i="29"/>
  <c r="M212" i="29"/>
  <c r="U212" i="29"/>
  <c r="E213" i="29"/>
  <c r="M213" i="29"/>
  <c r="U213" i="29"/>
  <c r="CC26" i="30"/>
  <c r="DV27" i="30"/>
  <c r="CO28" i="30"/>
  <c r="CW30" i="30"/>
  <c r="BD31" i="30"/>
  <c r="CP31" i="30"/>
  <c r="DG31" i="30"/>
  <c r="DW31" i="30"/>
  <c r="BM32" i="30"/>
  <c r="CP33" i="30"/>
  <c r="EB35" i="30"/>
  <c r="DO35" i="30"/>
  <c r="DM35" i="30"/>
  <c r="DY35" i="30"/>
  <c r="DI35" i="30"/>
  <c r="EA35" i="30"/>
  <c r="BS95" i="32"/>
  <c r="BD95" i="32"/>
  <c r="BQ95" i="32"/>
  <c r="BA95" i="32"/>
  <c r="BP95" i="32"/>
  <c r="AZ95" i="32"/>
  <c r="BM95" i="32"/>
  <c r="AW95" i="32"/>
  <c r="BH95" i="32"/>
  <c r="CI95" i="32"/>
  <c r="BL95" i="32"/>
  <c r="BI95" i="32"/>
  <c r="BE95" i="32"/>
  <c r="AV95" i="32"/>
  <c r="CY95" i="32"/>
  <c r="X2" i="29"/>
  <c r="CG26" i="30"/>
  <c r="DZ27" i="30"/>
  <c r="BF31" i="30"/>
  <c r="BQ32" i="30"/>
  <c r="BQ34" i="30"/>
  <c r="BN34" i="30"/>
  <c r="AX34" i="30"/>
  <c r="BL34" i="30"/>
  <c r="AV34" i="30"/>
  <c r="BH34" i="30"/>
  <c r="DZ34" i="30"/>
  <c r="DQ34" i="30"/>
  <c r="DO34" i="30"/>
  <c r="EA34" i="30"/>
  <c r="DK34" i="30"/>
  <c r="DY34" i="30"/>
  <c r="EB95" i="32"/>
  <c r="DZ95" i="32"/>
  <c r="DJ95" i="32"/>
  <c r="DY95" i="32"/>
  <c r="DI95" i="32"/>
  <c r="DV95" i="32"/>
  <c r="DF95" i="32"/>
  <c r="DU95" i="32"/>
  <c r="DE95" i="32"/>
  <c r="DN95" i="32"/>
  <c r="DR95" i="32"/>
  <c r="DQ95" i="32"/>
  <c r="DM95" i="32"/>
  <c r="CK26" i="30"/>
  <c r="CY34" i="30"/>
  <c r="CX34" i="30"/>
  <c r="CH34" i="30"/>
  <c r="CV34" i="30"/>
  <c r="CF34" i="30"/>
  <c r="CR34" i="30"/>
  <c r="CB34" i="30"/>
  <c r="C190" i="32"/>
  <c r="D190" i="32" s="1"/>
  <c r="AK190" i="32" s="1"/>
  <c r="J166" i="31"/>
  <c r="C234" i="32" s="1"/>
  <c r="D234" i="32" s="1"/>
  <c r="CO26" i="30"/>
  <c r="DJ29" i="30"/>
  <c r="CC30" i="30"/>
  <c r="BJ31" i="30"/>
  <c r="DY32" i="30"/>
  <c r="DN32" i="30"/>
  <c r="CW33" i="30"/>
  <c r="CL33" i="30"/>
  <c r="CJ33" i="30"/>
  <c r="CV33" i="30"/>
  <c r="CF33" i="30"/>
  <c r="CX33" i="30"/>
  <c r="BB34" i="30"/>
  <c r="CD34" i="30"/>
  <c r="CS26" i="30"/>
  <c r="DF27" i="30"/>
  <c r="DN29" i="30"/>
  <c r="CG30" i="30"/>
  <c r="AV31" i="30"/>
  <c r="BL31" i="30"/>
  <c r="DO31" i="30"/>
  <c r="AW32" i="30"/>
  <c r="DF32" i="30"/>
  <c r="CB33" i="30"/>
  <c r="BD34" i="30"/>
  <c r="CJ34" i="30"/>
  <c r="DI34" i="30"/>
  <c r="H2" i="29"/>
  <c r="CW26" i="30"/>
  <c r="DJ27" i="30"/>
  <c r="DR29" i="30"/>
  <c r="CK30" i="30"/>
  <c r="AX31" i="30"/>
  <c r="BN31" i="30"/>
  <c r="DQ31" i="30"/>
  <c r="BA32" i="30"/>
  <c r="DJ32" i="30"/>
  <c r="CD33" i="30"/>
  <c r="BF34" i="30"/>
  <c r="CL34" i="30"/>
  <c r="DM34" i="30"/>
  <c r="L2" i="29"/>
  <c r="F20" i="30"/>
  <c r="C254" i="32" s="1"/>
  <c r="DN27" i="30"/>
  <c r="CG28" i="30"/>
  <c r="AW29" i="30"/>
  <c r="DV29" i="30"/>
  <c r="CO30" i="30"/>
  <c r="AZ31" i="30"/>
  <c r="BP31" i="30"/>
  <c r="DS31" i="30"/>
  <c r="BE32" i="30"/>
  <c r="DR32" i="30"/>
  <c r="CH33" i="30"/>
  <c r="BJ34" i="30"/>
  <c r="CN34" i="30"/>
  <c r="DS34" i="30"/>
  <c r="BJ33" i="30"/>
  <c r="CP35" i="30"/>
  <c r="BA99" i="30"/>
  <c r="BI99" i="30"/>
  <c r="BQ99" i="30"/>
  <c r="X29" i="31"/>
  <c r="AO27" i="31" s="1"/>
  <c r="AP27" i="31" s="1"/>
  <c r="DP87" i="32"/>
  <c r="DO87" i="32"/>
  <c r="DK87" i="32"/>
  <c r="DH87" i="32"/>
  <c r="DW87" i="32"/>
  <c r="AX94" i="32"/>
  <c r="BG96" i="32"/>
  <c r="DY96" i="32"/>
  <c r="DX96" i="32"/>
  <c r="DQ96" i="32"/>
  <c r="DH96" i="32"/>
  <c r="BN33" i="30"/>
  <c r="DQ33" i="30"/>
  <c r="BJ35" i="30"/>
  <c r="CD35" i="30"/>
  <c r="CT35" i="30"/>
  <c r="L6" i="31"/>
  <c r="DS87" i="32"/>
  <c r="CS93" i="32"/>
  <c r="CR93" i="32"/>
  <c r="CK93" i="32"/>
  <c r="CB93" i="32"/>
  <c r="BH94" i="32"/>
  <c r="W73" i="29"/>
  <c r="S73" i="29"/>
  <c r="K73" i="29"/>
  <c r="G73" i="29"/>
  <c r="C73" i="29"/>
  <c r="AZ33" i="30"/>
  <c r="BP33" i="30"/>
  <c r="DS33" i="30"/>
  <c r="CF35" i="30"/>
  <c r="CV35" i="30"/>
  <c r="CG99" i="30"/>
  <c r="CO99" i="30"/>
  <c r="CW99" i="30"/>
  <c r="DJ99" i="30"/>
  <c r="DR99" i="30"/>
  <c r="DZ99" i="30"/>
  <c r="DX87" i="32"/>
  <c r="DW91" i="32"/>
  <c r="DS91" i="32"/>
  <c r="DP91" i="32"/>
  <c r="DO91" i="32"/>
  <c r="EA91" i="32"/>
  <c r="DG91" i="32"/>
  <c r="CC93" i="32"/>
  <c r="BS94" i="32"/>
  <c r="BN94" i="32"/>
  <c r="BD94" i="32"/>
  <c r="BM94" i="32"/>
  <c r="BB94" i="32"/>
  <c r="BL94" i="32"/>
  <c r="BA94" i="32"/>
  <c r="BJ94" i="32"/>
  <c r="AZ94" i="32"/>
  <c r="BQ94" i="32"/>
  <c r="BF94" i="32"/>
  <c r="AV94" i="32"/>
  <c r="CJ94" i="32"/>
  <c r="CF94" i="32"/>
  <c r="CE94" i="32"/>
  <c r="CV94" i="32"/>
  <c r="CB94" i="32"/>
  <c r="CN94" i="32"/>
  <c r="CQ95" i="32"/>
  <c r="AW94" i="32"/>
  <c r="CM94" i="32"/>
  <c r="CX96" i="32"/>
  <c r="CC96" i="32"/>
  <c r="BD96" i="32"/>
  <c r="AZ96" i="32"/>
  <c r="AY96" i="32"/>
  <c r="CP96" i="32"/>
  <c r="BP96" i="32"/>
  <c r="AV96" i="32"/>
  <c r="BH96" i="32"/>
  <c r="CO96" i="32"/>
  <c r="AT76" i="32"/>
  <c r="AT65" i="32"/>
  <c r="AT152" i="32"/>
  <c r="DS90" i="32"/>
  <c r="DG94" i="32"/>
  <c r="DR94" i="32"/>
  <c r="CH96" i="32"/>
  <c r="J125" i="31"/>
  <c r="J129" i="31"/>
  <c r="K69" i="29"/>
  <c r="Q70" i="29"/>
  <c r="C71" i="29"/>
  <c r="X72" i="29"/>
  <c r="J74" i="29"/>
  <c r="S74" i="29"/>
  <c r="G75" i="29"/>
  <c r="G76" i="29"/>
  <c r="O76" i="29"/>
  <c r="Z76" i="29"/>
  <c r="C70" i="29"/>
  <c r="K70" i="29"/>
  <c r="S70" i="29"/>
  <c r="I72" i="29"/>
  <c r="Q72" i="29"/>
  <c r="BB71" i="31"/>
  <c r="AV75" i="31"/>
  <c r="H110" i="29"/>
  <c r="S110" i="29"/>
  <c r="C111" i="29"/>
  <c r="S111" i="29"/>
  <c r="E112" i="29"/>
  <c r="O112" i="29"/>
  <c r="Z112" i="29"/>
  <c r="H113" i="29"/>
  <c r="P113" i="29"/>
  <c r="X113" i="29"/>
  <c r="I115" i="29"/>
  <c r="R115" i="29"/>
  <c r="W75" i="29"/>
  <c r="J76" i="29"/>
  <c r="S76" i="29"/>
  <c r="H112" i="29"/>
  <c r="S112" i="29"/>
  <c r="CV88" i="32"/>
  <c r="CJ89" i="32"/>
  <c r="BJ93" i="32"/>
  <c r="DM94" i="32"/>
  <c r="DW94" i="32"/>
  <c r="X68" i="29"/>
  <c r="I70" i="29"/>
  <c r="Y70" i="29"/>
  <c r="S71" i="29"/>
  <c r="H72" i="29"/>
  <c r="V72" i="29"/>
  <c r="F74" i="29"/>
  <c r="N74" i="29"/>
  <c r="Y74" i="29"/>
  <c r="C76" i="29"/>
  <c r="K76" i="29"/>
  <c r="U76" i="29"/>
  <c r="Y68" i="29"/>
  <c r="G70" i="29"/>
  <c r="O70" i="29"/>
  <c r="W70" i="29"/>
  <c r="E72" i="29"/>
  <c r="M72" i="29"/>
  <c r="U72" i="29"/>
  <c r="AV77" i="31"/>
  <c r="J112" i="29"/>
  <c r="T112" i="29"/>
  <c r="D113" i="29"/>
  <c r="L113" i="29"/>
  <c r="T113" i="29"/>
  <c r="E115" i="29"/>
  <c r="M115" i="29"/>
  <c r="BC88" i="32"/>
  <c r="BG89" i="32"/>
  <c r="AX90" i="32"/>
  <c r="DG92" i="32"/>
  <c r="DN94" i="32"/>
  <c r="DY94" i="32"/>
  <c r="CY96" i="32"/>
  <c r="CW96" i="32"/>
  <c r="J70" i="29"/>
  <c r="Z70" i="29"/>
  <c r="G74" i="29"/>
  <c r="O74" i="29"/>
  <c r="Z74" i="29"/>
  <c r="D76" i="29"/>
  <c r="L76" i="29"/>
  <c r="V76" i="29"/>
  <c r="H70" i="29"/>
  <c r="P70" i="29"/>
  <c r="K112" i="29"/>
  <c r="V112" i="29"/>
  <c r="E113" i="29"/>
  <c r="M113" i="29"/>
  <c r="U113" i="29"/>
  <c r="X115" i="29"/>
  <c r="P115" i="29"/>
  <c r="W115" i="29"/>
  <c r="Z115" i="29"/>
  <c r="Y115" i="29"/>
  <c r="E76" i="29"/>
  <c r="M76" i="29"/>
  <c r="W76" i="29"/>
  <c r="O111" i="29"/>
  <c r="C112" i="29"/>
  <c r="L112" i="29"/>
  <c r="F113" i="29"/>
  <c r="N113" i="29"/>
  <c r="G115" i="29"/>
  <c r="O115" i="29"/>
  <c r="M119" i="29"/>
  <c r="U119" i="29"/>
  <c r="C153" i="29"/>
  <c r="N153" i="29"/>
  <c r="Y153" i="29"/>
  <c r="L154" i="29"/>
  <c r="E155" i="29"/>
  <c r="O155" i="29"/>
  <c r="Z155" i="29"/>
  <c r="I157" i="29"/>
  <c r="F158" i="29"/>
  <c r="N158" i="29"/>
  <c r="V158" i="29"/>
  <c r="D159" i="29"/>
  <c r="T159" i="29"/>
  <c r="F160" i="29"/>
  <c r="N160" i="29"/>
  <c r="V160" i="29"/>
  <c r="D161" i="29"/>
  <c r="T161" i="29"/>
  <c r="F162" i="29"/>
  <c r="N162" i="29"/>
  <c r="V162" i="29"/>
  <c r="T117" i="29"/>
  <c r="N119" i="29"/>
  <c r="V119" i="29"/>
  <c r="E153" i="29"/>
  <c r="O153" i="29"/>
  <c r="Z153" i="29"/>
  <c r="O154" i="29"/>
  <c r="N157" i="29"/>
  <c r="G158" i="29"/>
  <c r="O158" i="29"/>
  <c r="W158" i="29"/>
  <c r="G159" i="29"/>
  <c r="W159" i="29"/>
  <c r="G160" i="29"/>
  <c r="O160" i="29"/>
  <c r="W160" i="29"/>
  <c r="G161" i="29"/>
  <c r="W161" i="29"/>
  <c r="G162" i="29"/>
  <c r="O162" i="29"/>
  <c r="W162" i="29"/>
  <c r="DN70" i="31"/>
  <c r="DV70" i="31"/>
  <c r="DN71" i="31"/>
  <c r="DN73" i="31"/>
  <c r="DV73" i="31"/>
  <c r="DN74" i="31"/>
  <c r="DV74" i="31"/>
  <c r="DN75" i="31"/>
  <c r="DV75" i="31"/>
  <c r="DN76" i="31"/>
  <c r="DV76" i="31"/>
  <c r="DN77" i="31"/>
  <c r="DV77" i="31"/>
  <c r="DV78" i="31"/>
  <c r="G153" i="29"/>
  <c r="R153" i="29"/>
  <c r="T154" i="29"/>
  <c r="K156" i="29"/>
  <c r="I158" i="29"/>
  <c r="Q158" i="29"/>
  <c r="Y158" i="29"/>
  <c r="I160" i="29"/>
  <c r="Q160" i="29"/>
  <c r="Y160" i="29"/>
  <c r="I162" i="29"/>
  <c r="Q162" i="29"/>
  <c r="Z162" i="29"/>
  <c r="I153" i="29"/>
  <c r="S153" i="29"/>
  <c r="C154" i="29"/>
  <c r="W154" i="29"/>
  <c r="J158" i="29"/>
  <c r="R158" i="29"/>
  <c r="Z158" i="29"/>
  <c r="J160" i="29"/>
  <c r="R160" i="29"/>
  <c r="Z160" i="29"/>
  <c r="J153" i="29"/>
  <c r="U153" i="29"/>
  <c r="O161" i="29"/>
  <c r="C162" i="29"/>
  <c r="K162" i="29"/>
  <c r="S162" i="29"/>
  <c r="DR70" i="31"/>
  <c r="DZ70" i="31"/>
  <c r="DR71" i="31"/>
  <c r="DZ71" i="31"/>
  <c r="DR73" i="31"/>
  <c r="DZ73" i="31"/>
  <c r="DR74" i="31"/>
  <c r="DZ74" i="31"/>
  <c r="DR75" i="31"/>
  <c r="DZ75" i="31"/>
  <c r="DR76" i="31"/>
  <c r="DZ76" i="31"/>
  <c r="DR77" i="31"/>
  <c r="DZ78" i="31"/>
  <c r="Q117" i="29"/>
  <c r="Y117" i="29"/>
  <c r="K153" i="29"/>
  <c r="V153" i="29"/>
  <c r="G154" i="29"/>
  <c r="M155" i="29"/>
  <c r="W155" i="29"/>
  <c r="D158" i="29"/>
  <c r="L158" i="29"/>
  <c r="T158" i="29"/>
  <c r="P159" i="29"/>
  <c r="D160" i="29"/>
  <c r="L160" i="29"/>
  <c r="T160" i="29"/>
  <c r="P161" i="29"/>
  <c r="D162" i="29"/>
  <c r="L162" i="29"/>
  <c r="T162" i="29"/>
  <c r="R117" i="29"/>
  <c r="L119" i="29"/>
  <c r="M153" i="29"/>
  <c r="W153" i="29"/>
  <c r="K154" i="29"/>
  <c r="C155" i="29"/>
  <c r="N155" i="29"/>
  <c r="Y155" i="29"/>
  <c r="F157" i="29"/>
  <c r="E158" i="29"/>
  <c r="M158" i="29"/>
  <c r="C159" i="29"/>
  <c r="S159" i="29"/>
  <c r="E160" i="29"/>
  <c r="M160" i="29"/>
  <c r="C161" i="29"/>
  <c r="S161" i="29"/>
  <c r="E162" i="29"/>
  <c r="M162" i="29"/>
  <c r="U162" i="29"/>
  <c r="K213" i="29"/>
  <c r="O213" i="29"/>
  <c r="Y214" i="29"/>
  <c r="D196" i="29"/>
  <c r="H76" i="30" s="1"/>
  <c r="H196" i="29"/>
  <c r="L196" i="29"/>
  <c r="P76" i="30" s="1"/>
  <c r="P77" i="30" s="1"/>
  <c r="P196" i="29"/>
  <c r="T196" i="29"/>
  <c r="X76" i="30" s="1"/>
  <c r="X77" i="30" s="1"/>
  <c r="X196" i="29"/>
  <c r="AB76" i="30" s="1"/>
  <c r="AB77" i="30" s="1"/>
  <c r="X246" i="31"/>
  <c r="AW97" i="31"/>
  <c r="AR97" i="31"/>
  <c r="C212" i="29"/>
  <c r="S212" i="29"/>
  <c r="G213" i="29"/>
  <c r="J123" i="31"/>
  <c r="F72" i="30"/>
  <c r="F73" i="30"/>
  <c r="B110" i="30" s="1"/>
  <c r="AC49" i="31"/>
  <c r="AC50" i="31"/>
  <c r="G212" i="29"/>
  <c r="O212" i="29"/>
  <c r="W212" i="29"/>
  <c r="S213" i="29"/>
  <c r="AM104" i="31"/>
  <c r="AX104" i="31"/>
  <c r="K212" i="29"/>
  <c r="C213" i="29"/>
  <c r="W213" i="29"/>
  <c r="J127" i="31"/>
  <c r="BG92" i="31"/>
  <c r="D212" i="29"/>
  <c r="L212" i="29"/>
  <c r="T212" i="29"/>
  <c r="Z214" i="29"/>
  <c r="AD91" i="31"/>
  <c r="AF92" i="31"/>
  <c r="BK92" i="31"/>
  <c r="AK92" i="31"/>
  <c r="BU92" i="31"/>
  <c r="J167" i="31"/>
  <c r="C235" i="32" s="1"/>
  <c r="Q214" i="29"/>
  <c r="H212" i="29"/>
  <c r="P212" i="29"/>
  <c r="X212" i="29"/>
  <c r="K77" i="30"/>
  <c r="O77" i="30"/>
  <c r="S77" i="30"/>
  <c r="W77" i="30"/>
  <c r="AA77" i="30"/>
  <c r="BS96" i="31"/>
  <c r="BF96" i="31"/>
  <c r="AQ96" i="31"/>
  <c r="AE96" i="31"/>
  <c r="BR96" i="31"/>
  <c r="BB96" i="31"/>
  <c r="AP96" i="31"/>
  <c r="Y27" i="28"/>
  <c r="BE91" i="31"/>
  <c r="AY91" i="31"/>
  <c r="BL92" i="31"/>
  <c r="AV92" i="31"/>
  <c r="AE92" i="31"/>
  <c r="AZ92" i="31"/>
  <c r="BN104" i="31"/>
  <c r="BI104" i="31"/>
  <c r="AH104" i="31"/>
  <c r="BC104" i="31"/>
  <c r="AC104" i="31"/>
  <c r="BI107" i="31"/>
  <c r="BF107" i="31"/>
  <c r="AH107" i="31"/>
  <c r="BT103" i="31"/>
  <c r="AY103" i="31"/>
  <c r="BP90" i="31"/>
  <c r="BK90" i="31"/>
  <c r="AO190" i="32"/>
  <c r="D213" i="29"/>
  <c r="H213" i="29"/>
  <c r="L213" i="29"/>
  <c r="P213" i="29"/>
  <c r="T213" i="29"/>
  <c r="X213" i="29"/>
  <c r="AP203" i="32"/>
  <c r="AQ203" i="32" s="1"/>
  <c r="AP204" i="32"/>
  <c r="AQ204" i="32" s="1"/>
  <c r="CY91" i="32"/>
  <c r="AX91" i="32"/>
  <c r="CG91" i="32"/>
  <c r="BF91" i="32"/>
  <c r="CO91" i="32"/>
  <c r="BN91" i="32"/>
  <c r="CW91" i="32"/>
  <c r="BA29" i="30"/>
  <c r="BA74" i="30" s="1"/>
  <c r="BQ29" i="30"/>
  <c r="AY90" i="32"/>
  <c r="BJ90" i="32"/>
  <c r="CY90" i="32"/>
  <c r="CJ90" i="32"/>
  <c r="CS90" i="32"/>
  <c r="BE29" i="30"/>
  <c r="BB90" i="32"/>
  <c r="BN90" i="32"/>
  <c r="CB90" i="32"/>
  <c r="CK90" i="32"/>
  <c r="CW90" i="32"/>
  <c r="BI29" i="30"/>
  <c r="BI74" i="30" s="1"/>
  <c r="BF90" i="32"/>
  <c r="BO90" i="32"/>
  <c r="CC90" i="32"/>
  <c r="BJ89" i="32"/>
  <c r="CB89" i="32"/>
  <c r="CR89" i="32"/>
  <c r="AY89" i="32"/>
  <c r="BO89" i="32"/>
  <c r="CC89" i="32"/>
  <c r="CS89" i="32"/>
  <c r="BB89" i="32"/>
  <c r="BR89" i="32"/>
  <c r="BI27" i="30"/>
  <c r="BK88" i="32"/>
  <c r="AW27" i="30"/>
  <c r="BM27" i="30"/>
  <c r="BA27" i="30"/>
  <c r="BQ27" i="30"/>
  <c r="BQ72" i="30" s="1"/>
  <c r="CF88" i="32"/>
  <c r="CY87" i="32"/>
  <c r="AX87" i="32"/>
  <c r="CG87" i="32"/>
  <c r="BF87" i="32"/>
  <c r="CO87" i="32"/>
  <c r="BN87" i="32"/>
  <c r="CW87" i="32"/>
  <c r="S54" i="31"/>
  <c r="V45" i="31" s="1"/>
  <c r="K2" i="29"/>
  <c r="C186" i="32"/>
  <c r="D186" i="32" s="1"/>
  <c r="AJ217" i="32" s="1"/>
  <c r="X273" i="31"/>
  <c r="X240" i="31"/>
  <c r="G2" i="29"/>
  <c r="W2" i="29"/>
  <c r="W25" i="28"/>
  <c r="AA27" i="28"/>
  <c r="W29" i="28"/>
  <c r="E2" i="29"/>
  <c r="M2" i="29"/>
  <c r="U2" i="29"/>
  <c r="BF3" i="29"/>
  <c r="BI3" i="29" s="1"/>
  <c r="AD19" i="29"/>
  <c r="AF19" i="29" s="1"/>
  <c r="BS92" i="31"/>
  <c r="BP92" i="31"/>
  <c r="BE92" i="31"/>
  <c r="AU92" i="31"/>
  <c r="AJ92" i="31"/>
  <c r="AO92" i="31"/>
  <c r="BA92" i="31"/>
  <c r="BQ92" i="31"/>
  <c r="BT98" i="31"/>
  <c r="AI98" i="31"/>
  <c r="AR100" i="31"/>
  <c r="BD103" i="31"/>
  <c r="AC103" i="31"/>
  <c r="AC106" i="31"/>
  <c r="AP107" i="31"/>
  <c r="DC134" i="32"/>
  <c r="O2" i="29"/>
  <c r="BS106" i="31"/>
  <c r="AM106" i="31"/>
  <c r="BC106" i="31"/>
  <c r="Y29" i="28"/>
  <c r="F69" i="30"/>
  <c r="BM97" i="31"/>
  <c r="AG97" i="31"/>
  <c r="BB97" i="31"/>
  <c r="BF99" i="31"/>
  <c r="BV99" i="31"/>
  <c r="BC100" i="31"/>
  <c r="AH100" i="31"/>
  <c r="AX100" i="31"/>
  <c r="AH106" i="31"/>
  <c r="BR107" i="31"/>
  <c r="BQ107" i="31"/>
  <c r="BA107" i="31"/>
  <c r="AK107" i="31"/>
  <c r="AS107" i="31"/>
  <c r="BN107" i="31"/>
  <c r="Z77" i="29"/>
  <c r="V77" i="29"/>
  <c r="R77" i="29"/>
  <c r="N77" i="29"/>
  <c r="J77" i="29"/>
  <c r="F77" i="29"/>
  <c r="Y77" i="29"/>
  <c r="U77" i="29"/>
  <c r="Q77" i="29"/>
  <c r="M77" i="29"/>
  <c r="I77" i="29"/>
  <c r="E77" i="29"/>
  <c r="X77" i="29"/>
  <c r="T77" i="29"/>
  <c r="P77" i="29"/>
  <c r="L77" i="29"/>
  <c r="H77" i="29"/>
  <c r="D77" i="29"/>
  <c r="W77" i="29"/>
  <c r="G77" i="29"/>
  <c r="S77" i="29"/>
  <c r="C77" i="29"/>
  <c r="AC25" i="28"/>
  <c r="AC29" i="28"/>
  <c r="C2" i="29"/>
  <c r="S2" i="29"/>
  <c r="Y25" i="28"/>
  <c r="AC27" i="28"/>
  <c r="AA25" i="28"/>
  <c r="W27" i="28"/>
  <c r="AA29" i="28"/>
  <c r="I2" i="29"/>
  <c r="Q2" i="29"/>
  <c r="Y2" i="29"/>
  <c r="F2" i="29"/>
  <c r="J2" i="29"/>
  <c r="N2" i="29"/>
  <c r="R2" i="29"/>
  <c r="V2" i="29"/>
  <c r="Z2" i="29"/>
  <c r="DE99" i="30"/>
  <c r="DI99" i="30"/>
  <c r="DM99" i="30"/>
  <c r="DQ99" i="30"/>
  <c r="DU99" i="30"/>
  <c r="DY99" i="30"/>
  <c r="AB97" i="31"/>
  <c r="BR97" i="31"/>
  <c r="AF99" i="31"/>
  <c r="AB100" i="31"/>
  <c r="BH100" i="31"/>
  <c r="AU106" i="31"/>
  <c r="AC107" i="31"/>
  <c r="AX107" i="31"/>
  <c r="BV107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S69" i="29"/>
  <c r="C69" i="29"/>
  <c r="O69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S75" i="29"/>
  <c r="C75" i="29"/>
  <c r="O75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118" i="29"/>
  <c r="U118" i="29"/>
  <c r="Q118" i="29"/>
  <c r="M118" i="29"/>
  <c r="I118" i="29"/>
  <c r="E118" i="29"/>
  <c r="Z118" i="29"/>
  <c r="T118" i="29"/>
  <c r="O118" i="29"/>
  <c r="J118" i="29"/>
  <c r="D118" i="29"/>
  <c r="X118" i="29"/>
  <c r="S118" i="29"/>
  <c r="N118" i="29"/>
  <c r="H118" i="29"/>
  <c r="C118" i="29"/>
  <c r="W118" i="29"/>
  <c r="R118" i="29"/>
  <c r="L118" i="29"/>
  <c r="G118" i="29"/>
  <c r="AL96" i="31"/>
  <c r="AV96" i="31"/>
  <c r="BG96" i="31"/>
  <c r="BV96" i="31"/>
  <c r="AS104" i="31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O73" i="29"/>
  <c r="K118" i="29"/>
  <c r="Y114" i="29"/>
  <c r="U114" i="29"/>
  <c r="Q114" i="29"/>
  <c r="M114" i="29"/>
  <c r="I114" i="29"/>
  <c r="E114" i="29"/>
  <c r="Z114" i="29"/>
  <c r="T114" i="29"/>
  <c r="O114" i="29"/>
  <c r="J114" i="29"/>
  <c r="D114" i="29"/>
  <c r="X114" i="29"/>
  <c r="S114" i="29"/>
  <c r="N114" i="29"/>
  <c r="H114" i="29"/>
  <c r="C114" i="29"/>
  <c r="W114" i="29"/>
  <c r="R114" i="29"/>
  <c r="L114" i="29"/>
  <c r="G114" i="29"/>
  <c r="P118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P156" i="29"/>
  <c r="H156" i="29"/>
  <c r="W156" i="29"/>
  <c r="O156" i="29"/>
  <c r="G156" i="29"/>
  <c r="T156" i="29"/>
  <c r="L156" i="29"/>
  <c r="D156" i="29"/>
  <c r="DG160" i="32"/>
  <c r="DG161" i="32" s="1"/>
  <c r="DG162" i="32" s="1"/>
  <c r="DK160" i="32"/>
  <c r="DK161" i="32" s="1"/>
  <c r="DK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F110" i="29"/>
  <c r="J110" i="29"/>
  <c r="N110" i="29"/>
  <c r="R110" i="29"/>
  <c r="V110" i="29"/>
  <c r="D111" i="29"/>
  <c r="H111" i="29"/>
  <c r="L111" i="29"/>
  <c r="P111" i="29"/>
  <c r="T111" i="29"/>
  <c r="X111" i="29"/>
  <c r="Y112" i="29"/>
  <c r="U112" i="29"/>
  <c r="Q112" i="29"/>
  <c r="M112" i="29"/>
  <c r="I112" i="29"/>
  <c r="Y116" i="29"/>
  <c r="U116" i="29"/>
  <c r="Q116" i="29"/>
  <c r="M116" i="29"/>
  <c r="I116" i="29"/>
  <c r="E116" i="29"/>
  <c r="C156" i="29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T70" i="29"/>
  <c r="P72" i="29"/>
  <c r="T72" i="29"/>
  <c r="P74" i="29"/>
  <c r="T74" i="29"/>
  <c r="P76" i="29"/>
  <c r="T76" i="29"/>
  <c r="E111" i="29"/>
  <c r="I111" i="29"/>
  <c r="M111" i="29"/>
  <c r="Q111" i="29"/>
  <c r="U111" i="29"/>
  <c r="H154" i="29"/>
  <c r="P154" i="29"/>
  <c r="J157" i="29"/>
  <c r="S157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E157" i="29"/>
  <c r="M157" i="29"/>
  <c r="Z157" i="29"/>
  <c r="V157" i="29"/>
  <c r="R157" i="29"/>
  <c r="Y157" i="29"/>
  <c r="U157" i="29"/>
  <c r="W157" i="29"/>
  <c r="P157" i="29"/>
  <c r="L157" i="29"/>
  <c r="H157" i="29"/>
  <c r="D157" i="29"/>
  <c r="T157" i="29"/>
  <c r="O157" i="29"/>
  <c r="K157" i="29"/>
  <c r="G157" i="29"/>
  <c r="C157" i="29"/>
  <c r="D153" i="29"/>
  <c r="H153" i="29"/>
  <c r="L153" i="29"/>
  <c r="P153" i="29"/>
  <c r="T153" i="29"/>
  <c r="D155" i="29"/>
  <c r="H155" i="29"/>
  <c r="L155" i="29"/>
  <c r="P155" i="29"/>
  <c r="T155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R159" i="29"/>
  <c r="V159" i="29"/>
  <c r="F161" i="29"/>
  <c r="J161" i="29"/>
  <c r="N161" i="29"/>
  <c r="R161" i="29"/>
  <c r="V161" i="29"/>
  <c r="K113" i="31"/>
  <c r="AF22" i="29"/>
  <c r="J152" i="31"/>
  <c r="C225" i="32" s="1"/>
  <c r="X28" i="31"/>
  <c r="AB27" i="31" s="1"/>
  <c r="AC27" i="31" s="1"/>
  <c r="AB26" i="28"/>
  <c r="X26" i="28"/>
  <c r="AA26" i="28"/>
  <c r="W26" i="28"/>
  <c r="AC26" i="28"/>
  <c r="Y26" i="28"/>
  <c r="Z26" i="28"/>
  <c r="C183" i="32"/>
  <c r="C185" i="32" s="1"/>
  <c r="D185" i="32" s="1"/>
  <c r="T234" i="31"/>
  <c r="T272" i="31" s="1"/>
  <c r="B83" i="30"/>
  <c r="AA28" i="28"/>
  <c r="W28" i="28"/>
  <c r="Z28" i="28"/>
  <c r="X28" i="28"/>
  <c r="AC28" i="28"/>
  <c r="Y28" i="28"/>
  <c r="AB28" i="28"/>
  <c r="C38" i="32"/>
  <c r="D38" i="32" s="1"/>
  <c r="AA31" i="28"/>
  <c r="W31" i="28"/>
  <c r="Z31" i="28"/>
  <c r="AC31" i="28"/>
  <c r="Y31" i="28"/>
  <c r="AB31" i="28"/>
  <c r="X31" i="28"/>
  <c r="AB24" i="28"/>
  <c r="X24" i="28"/>
  <c r="AA24" i="28"/>
  <c r="W24" i="28"/>
  <c r="AC24" i="28"/>
  <c r="Z24" i="28"/>
  <c r="Y24" i="28"/>
  <c r="AB32" i="28"/>
  <c r="X32" i="28"/>
  <c r="AA32" i="28"/>
  <c r="W32" i="28"/>
  <c r="Z32" i="28"/>
  <c r="AC32" i="28"/>
  <c r="Y32" i="28"/>
  <c r="Z30" i="28"/>
  <c r="Z33" i="28"/>
  <c r="C9" i="32"/>
  <c r="D9" i="32" s="1"/>
  <c r="X25" i="28"/>
  <c r="AB25" i="28"/>
  <c r="X27" i="28"/>
  <c r="AB27" i="28"/>
  <c r="Z29" i="28"/>
  <c r="W30" i="28"/>
  <c r="AA30" i="28"/>
  <c r="W33" i="28"/>
  <c r="AA33" i="28"/>
  <c r="C182" i="32"/>
  <c r="D182" i="32" s="1"/>
  <c r="AJ215" i="32" s="1"/>
  <c r="X271" i="31"/>
  <c r="X233" i="31"/>
  <c r="C306" i="32" s="1"/>
  <c r="C17" i="29"/>
  <c r="C15" i="29"/>
  <c r="K17" i="29"/>
  <c r="K19" i="29"/>
  <c r="K6" i="29" s="1"/>
  <c r="K10" i="29" s="1"/>
  <c r="K15" i="29"/>
  <c r="S17" i="29"/>
  <c r="G16" i="29"/>
  <c r="C41" i="29"/>
  <c r="C42" i="29" s="1"/>
  <c r="C28" i="29" s="1"/>
  <c r="C33" i="29" s="1"/>
  <c r="C40" i="29"/>
  <c r="C27" i="29" s="1"/>
  <c r="C32" i="29" s="1"/>
  <c r="F26" i="29"/>
  <c r="F25" i="29"/>
  <c r="J26" i="29"/>
  <c r="J25" i="29"/>
  <c r="N26" i="29"/>
  <c r="N25" i="29"/>
  <c r="R26" i="29"/>
  <c r="R25" i="29"/>
  <c r="V26" i="29"/>
  <c r="V25" i="29"/>
  <c r="Z26" i="29"/>
  <c r="Z25" i="29"/>
  <c r="K62" i="29"/>
  <c r="K63" i="29" s="1"/>
  <c r="K49" i="29" s="1"/>
  <c r="K54" i="29" s="1"/>
  <c r="K61" i="29"/>
  <c r="K48" i="29" s="1"/>
  <c r="K59" i="29"/>
  <c r="K58" i="29"/>
  <c r="K57" i="29"/>
  <c r="DD120" i="32"/>
  <c r="DD59" i="30"/>
  <c r="AY61" i="30"/>
  <c r="AY107" i="30" s="1"/>
  <c r="BO61" i="30"/>
  <c r="BO107" i="30" s="1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W63" i="30"/>
  <c r="AW109" i="30" s="1"/>
  <c r="AW74" i="30"/>
  <c r="BE63" i="30"/>
  <c r="BE109" i="30" s="1"/>
  <c r="BE74" i="30"/>
  <c r="BM63" i="30"/>
  <c r="BM109" i="30" s="1"/>
  <c r="BM74" i="30"/>
  <c r="BQ74" i="30"/>
  <c r="BQ63" i="30"/>
  <c r="BQ109" i="30" s="1"/>
  <c r="CB63" i="30"/>
  <c r="CB74" i="30"/>
  <c r="CF74" i="30"/>
  <c r="CF63" i="30"/>
  <c r="CJ63" i="30"/>
  <c r="CJ74" i="30"/>
  <c r="CN74" i="30"/>
  <c r="CN63" i="30"/>
  <c r="CR63" i="30"/>
  <c r="CR74" i="30"/>
  <c r="CV74" i="30"/>
  <c r="CV63" i="30"/>
  <c r="DH74" i="30"/>
  <c r="DH63" i="30"/>
  <c r="DL63" i="30"/>
  <c r="DL74" i="30"/>
  <c r="DP74" i="30"/>
  <c r="DP63" i="30"/>
  <c r="DT63" i="30"/>
  <c r="DT74" i="30"/>
  <c r="DX74" i="30"/>
  <c r="DX63" i="30"/>
  <c r="EB63" i="30"/>
  <c r="EB74" i="30"/>
  <c r="AX75" i="30"/>
  <c r="AX64" i="30"/>
  <c r="AX110" i="30" s="1"/>
  <c r="BB75" i="30"/>
  <c r="BB64" i="30"/>
  <c r="BB110" i="30" s="1"/>
  <c r="BF75" i="30"/>
  <c r="BF64" i="30"/>
  <c r="BF110" i="30" s="1"/>
  <c r="BJ75" i="30"/>
  <c r="BJ64" i="30"/>
  <c r="BJ110" i="30" s="1"/>
  <c r="BR64" i="30"/>
  <c r="BR110" i="30" s="1"/>
  <c r="CC75" i="30"/>
  <c r="CC64" i="30"/>
  <c r="CG75" i="30"/>
  <c r="CG64" i="30"/>
  <c r="CK75" i="30"/>
  <c r="CK64" i="30"/>
  <c r="CO75" i="30"/>
  <c r="CO64" i="30"/>
  <c r="CS75" i="30"/>
  <c r="CS64" i="30"/>
  <c r="CW75" i="30"/>
  <c r="CW64" i="30"/>
  <c r="DE75" i="30"/>
  <c r="DE64" i="30"/>
  <c r="DI75" i="30"/>
  <c r="DI64" i="30"/>
  <c r="DM75" i="30"/>
  <c r="DM64" i="30"/>
  <c r="DQ75" i="30"/>
  <c r="DQ64" i="30"/>
  <c r="DU75" i="30"/>
  <c r="DU64" i="30"/>
  <c r="DY75" i="30"/>
  <c r="DY64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W68" i="30"/>
  <c r="AW79" i="30"/>
  <c r="BA79" i="30"/>
  <c r="BA68" i="30"/>
  <c r="BE68" i="30"/>
  <c r="BE79" i="30"/>
  <c r="BI79" i="30"/>
  <c r="BI68" i="30"/>
  <c r="BM68" i="30"/>
  <c r="BM79" i="30"/>
  <c r="BQ79" i="30"/>
  <c r="BQ68" i="30"/>
  <c r="CB68" i="30"/>
  <c r="CB79" i="30"/>
  <c r="CF79" i="30"/>
  <c r="CF68" i="30"/>
  <c r="CJ68" i="30"/>
  <c r="CJ79" i="30"/>
  <c r="CN79" i="30"/>
  <c r="CN68" i="30"/>
  <c r="CR68" i="30"/>
  <c r="CR79" i="30"/>
  <c r="CV79" i="30"/>
  <c r="CV68" i="30"/>
  <c r="DC114" i="30"/>
  <c r="DC79" i="30"/>
  <c r="DH79" i="30"/>
  <c r="DH68" i="30"/>
  <c r="DL68" i="30"/>
  <c r="DL79" i="30"/>
  <c r="DP79" i="30"/>
  <c r="DP68" i="30"/>
  <c r="DT68" i="30"/>
  <c r="DT79" i="30"/>
  <c r="DX79" i="30"/>
  <c r="DX68" i="30"/>
  <c r="EB68" i="30"/>
  <c r="EB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69" i="30"/>
  <c r="CC80" i="30"/>
  <c r="CG69" i="30"/>
  <c r="CG80" i="30"/>
  <c r="CK69" i="30"/>
  <c r="CK80" i="30"/>
  <c r="CO69" i="30"/>
  <c r="CO80" i="30"/>
  <c r="CS69" i="30"/>
  <c r="CS80" i="30"/>
  <c r="CW69" i="30"/>
  <c r="CW80" i="30"/>
  <c r="DE69" i="30"/>
  <c r="DE80" i="30"/>
  <c r="DI69" i="30"/>
  <c r="DI80" i="30"/>
  <c r="DM69" i="30"/>
  <c r="DM80" i="30"/>
  <c r="DQ69" i="30"/>
  <c r="DQ80" i="30"/>
  <c r="DU69" i="30"/>
  <c r="DU80" i="30"/>
  <c r="DY69" i="30"/>
  <c r="DY80" i="30"/>
  <c r="C253" i="32"/>
  <c r="D253" i="32" s="1"/>
  <c r="B97" i="30"/>
  <c r="D97" i="30" s="1"/>
  <c r="S228" i="28"/>
  <c r="E15" i="29"/>
  <c r="O62" i="29"/>
  <c r="O63" i="29" s="1"/>
  <c r="O49" i="29" s="1"/>
  <c r="O54" i="29" s="1"/>
  <c r="O61" i="29"/>
  <c r="O48" i="29" s="1"/>
  <c r="O59" i="29"/>
  <c r="O58" i="29"/>
  <c r="O57" i="29"/>
  <c r="AY71" i="30"/>
  <c r="AY60" i="30"/>
  <c r="AY106" i="30" s="1"/>
  <c r="BG71" i="30"/>
  <c r="BG60" i="30"/>
  <c r="BG106" i="30" s="1"/>
  <c r="BK71" i="30"/>
  <c r="BK60" i="30"/>
  <c r="BK106" i="30" s="1"/>
  <c r="BO71" i="30"/>
  <c r="BO60" i="30"/>
  <c r="BO106" i="30" s="1"/>
  <c r="BS71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W62" i="30"/>
  <c r="AW108" i="30" s="1"/>
  <c r="BA62" i="30"/>
  <c r="BA108" i="30" s="1"/>
  <c r="BQ62" i="30"/>
  <c r="BQ108" i="30" s="1"/>
  <c r="CB73" i="30"/>
  <c r="CB62" i="30"/>
  <c r="CF73" i="30"/>
  <c r="CF62" i="30"/>
  <c r="CJ73" i="30"/>
  <c r="CJ62" i="30"/>
  <c r="CN73" i="30"/>
  <c r="CN62" i="30"/>
  <c r="CR73" i="30"/>
  <c r="CR62" i="30"/>
  <c r="CV73" i="30"/>
  <c r="CV62" i="30"/>
  <c r="DH73" i="30"/>
  <c r="DH62" i="30"/>
  <c r="DL73" i="30"/>
  <c r="DL62" i="30"/>
  <c r="DP73" i="30"/>
  <c r="DP62" i="30"/>
  <c r="DT73" i="30"/>
  <c r="DT62" i="30"/>
  <c r="DX73" i="30"/>
  <c r="DX62" i="30"/>
  <c r="EB73" i="30"/>
  <c r="EB62" i="30"/>
  <c r="DC111" i="30"/>
  <c r="DC76" i="30"/>
  <c r="AX77" i="30"/>
  <c r="AX66" i="30"/>
  <c r="BB77" i="30"/>
  <c r="BB66" i="30"/>
  <c r="BF77" i="30"/>
  <c r="BF66" i="30"/>
  <c r="BJ77" i="30"/>
  <c r="BJ66" i="30"/>
  <c r="BN77" i="30"/>
  <c r="BN66" i="30"/>
  <c r="BR77" i="30"/>
  <c r="BR66" i="30"/>
  <c r="CC77" i="30"/>
  <c r="CC66" i="30"/>
  <c r="CG77" i="30"/>
  <c r="CG66" i="30"/>
  <c r="CK77" i="30"/>
  <c r="CK66" i="30"/>
  <c r="CO77" i="30"/>
  <c r="CO66" i="30"/>
  <c r="CS77" i="30"/>
  <c r="CS66" i="30"/>
  <c r="CW77" i="30"/>
  <c r="CW66" i="30"/>
  <c r="DE77" i="30"/>
  <c r="DE66" i="30"/>
  <c r="DI77" i="30"/>
  <c r="DI66" i="30"/>
  <c r="DM77" i="30"/>
  <c r="DM66" i="30"/>
  <c r="DQ77" i="30"/>
  <c r="DQ66" i="30"/>
  <c r="DU77" i="30"/>
  <c r="DU66" i="30"/>
  <c r="DY77" i="30"/>
  <c r="DY66" i="30"/>
  <c r="AV78" i="30"/>
  <c r="AV67" i="30"/>
  <c r="AZ67" i="30"/>
  <c r="AZ78" i="30"/>
  <c r="BD78" i="30"/>
  <c r="BD67" i="30"/>
  <c r="BH67" i="30"/>
  <c r="BH78" i="30"/>
  <c r="BL78" i="30"/>
  <c r="BL67" i="30"/>
  <c r="BP67" i="30"/>
  <c r="BP78" i="30"/>
  <c r="CE67" i="30"/>
  <c r="CE78" i="30"/>
  <c r="CI78" i="30"/>
  <c r="CI67" i="30"/>
  <c r="CM67" i="30"/>
  <c r="CM78" i="30"/>
  <c r="CQ78" i="30"/>
  <c r="CQ67" i="30"/>
  <c r="CU67" i="30"/>
  <c r="CU78" i="30"/>
  <c r="CY78" i="30"/>
  <c r="CY67" i="30"/>
  <c r="DG67" i="30"/>
  <c r="DG78" i="30"/>
  <c r="DK78" i="30"/>
  <c r="DK67" i="30"/>
  <c r="DO67" i="30"/>
  <c r="DO78" i="30"/>
  <c r="DS78" i="30"/>
  <c r="DS67" i="30"/>
  <c r="DW67" i="30"/>
  <c r="DW78" i="30"/>
  <c r="EA78" i="30"/>
  <c r="EA67" i="30"/>
  <c r="C10" i="32"/>
  <c r="D10" i="32" s="1"/>
  <c r="X30" i="28"/>
  <c r="AB30" i="28"/>
  <c r="X33" i="28"/>
  <c r="AB33" i="28"/>
  <c r="X29" i="28"/>
  <c r="Y30" i="28"/>
  <c r="Y33" i="28"/>
  <c r="C22" i="32"/>
  <c r="D22" i="32" s="1"/>
  <c r="T254" i="31"/>
  <c r="K72" i="28"/>
  <c r="C40" i="32" s="1"/>
  <c r="D40" i="32" s="1"/>
  <c r="G15" i="29"/>
  <c r="Y41" i="29"/>
  <c r="Y42" i="29" s="1"/>
  <c r="Y28" i="29" s="1"/>
  <c r="Y33" i="29" s="1"/>
  <c r="Y40" i="29"/>
  <c r="Y27" i="29" s="1"/>
  <c r="Y32" i="29" s="1"/>
  <c r="Y38" i="29"/>
  <c r="Y37" i="29"/>
  <c r="Y36" i="29"/>
  <c r="D25" i="29"/>
  <c r="D26" i="29"/>
  <c r="H25" i="29"/>
  <c r="H26" i="29"/>
  <c r="L25" i="29"/>
  <c r="L26" i="29"/>
  <c r="P25" i="29"/>
  <c r="P26" i="29"/>
  <c r="T25" i="29"/>
  <c r="T26" i="29"/>
  <c r="X25" i="29"/>
  <c r="X26" i="29"/>
  <c r="G77" i="30"/>
  <c r="BZ106" i="30"/>
  <c r="BZ71" i="30"/>
  <c r="AW72" i="30"/>
  <c r="AW61" i="30"/>
  <c r="AW107" i="30" s="1"/>
  <c r="BA72" i="30"/>
  <c r="BA61" i="30"/>
  <c r="BA107" i="30" s="1"/>
  <c r="BE72" i="30"/>
  <c r="BE61" i="30"/>
  <c r="BE107" i="30" s="1"/>
  <c r="BI72" i="30"/>
  <c r="BI61" i="30"/>
  <c r="BI107" i="30" s="1"/>
  <c r="BM72" i="30"/>
  <c r="BM61" i="30"/>
  <c r="BM107" i="30" s="1"/>
  <c r="BQ61" i="30"/>
  <c r="BQ107" i="30" s="1"/>
  <c r="CB72" i="30"/>
  <c r="CB61" i="30"/>
  <c r="CF72" i="30"/>
  <c r="CF61" i="30"/>
  <c r="CJ72" i="30"/>
  <c r="CJ61" i="30"/>
  <c r="CN72" i="30"/>
  <c r="CN61" i="30"/>
  <c r="CR72" i="30"/>
  <c r="CR61" i="30"/>
  <c r="CV72" i="30"/>
  <c r="CV61" i="30"/>
  <c r="DH72" i="30"/>
  <c r="DH61" i="30"/>
  <c r="DL72" i="30"/>
  <c r="DL61" i="30"/>
  <c r="DP72" i="30"/>
  <c r="DP61" i="30"/>
  <c r="DT72" i="30"/>
  <c r="DT61" i="30"/>
  <c r="DX72" i="30"/>
  <c r="DX61" i="30"/>
  <c r="EB72" i="30"/>
  <c r="EB61" i="30"/>
  <c r="AY63" i="30"/>
  <c r="AY109" i="30" s="1"/>
  <c r="BO63" i="30"/>
  <c r="BO109" i="30" s="1"/>
  <c r="BS63" i="30"/>
  <c r="BS109" i="30" s="1"/>
  <c r="CD63" i="30"/>
  <c r="CD74" i="30"/>
  <c r="CH74" i="30"/>
  <c r="CH63" i="30"/>
  <c r="CL63" i="30"/>
  <c r="CL74" i="30"/>
  <c r="CP74" i="30"/>
  <c r="CP63" i="30"/>
  <c r="CT63" i="30"/>
  <c r="CT74" i="30"/>
  <c r="CX74" i="30"/>
  <c r="CX63" i="30"/>
  <c r="DF63" i="30"/>
  <c r="DF74" i="30"/>
  <c r="DJ74" i="30"/>
  <c r="DJ63" i="30"/>
  <c r="DN63" i="30"/>
  <c r="DN74" i="30"/>
  <c r="DR74" i="30"/>
  <c r="DR63" i="30"/>
  <c r="DV63" i="30"/>
  <c r="DV74" i="30"/>
  <c r="DZ74" i="30"/>
  <c r="DZ63" i="30"/>
  <c r="AV64" i="30"/>
  <c r="AV110" i="30" s="1"/>
  <c r="AZ75" i="30"/>
  <c r="AZ64" i="30"/>
  <c r="AZ110" i="30" s="1"/>
  <c r="BD75" i="30"/>
  <c r="BD64" i="30"/>
  <c r="BD110" i="30" s="1"/>
  <c r="BH75" i="30"/>
  <c r="BH64" i="30"/>
  <c r="BH110" i="30" s="1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DC113" i="30"/>
  <c r="DC78" i="30"/>
  <c r="AY79" i="30"/>
  <c r="AY68" i="30"/>
  <c r="BC79" i="30"/>
  <c r="BC68" i="30"/>
  <c r="BG68" i="30"/>
  <c r="BG79" i="30"/>
  <c r="BK68" i="30"/>
  <c r="BK79" i="30"/>
  <c r="BO79" i="30"/>
  <c r="BO68" i="30"/>
  <c r="BS68" i="30"/>
  <c r="BS79" i="30"/>
  <c r="CD79" i="30"/>
  <c r="CD68" i="30"/>
  <c r="CH68" i="30"/>
  <c r="CH79" i="30"/>
  <c r="CL79" i="30"/>
  <c r="CL68" i="30"/>
  <c r="CP68" i="30"/>
  <c r="CP79" i="30"/>
  <c r="CT79" i="30"/>
  <c r="CT68" i="30"/>
  <c r="CX68" i="30"/>
  <c r="CX79" i="30"/>
  <c r="DF79" i="30"/>
  <c r="DF68" i="30"/>
  <c r="DJ68" i="30"/>
  <c r="DJ79" i="30"/>
  <c r="DN79" i="30"/>
  <c r="DN68" i="30"/>
  <c r="DR68" i="30"/>
  <c r="DR79" i="30"/>
  <c r="DV79" i="30"/>
  <c r="DV68" i="30"/>
  <c r="DZ68" i="30"/>
  <c r="DZ79" i="30"/>
  <c r="AV69" i="30"/>
  <c r="AV80" i="30"/>
  <c r="AZ69" i="30"/>
  <c r="AZ80" i="30"/>
  <c r="BD69" i="30"/>
  <c r="BD80" i="30"/>
  <c r="BH69" i="30"/>
  <c r="BH80" i="30"/>
  <c r="BL69" i="30"/>
  <c r="BL80" i="30"/>
  <c r="BP69" i="30"/>
  <c r="BP80" i="30"/>
  <c r="CE69" i="30"/>
  <c r="CE80" i="30"/>
  <c r="CI69" i="30"/>
  <c r="CI80" i="30"/>
  <c r="CM69" i="30"/>
  <c r="CM80" i="30"/>
  <c r="CQ69" i="30"/>
  <c r="CQ80" i="30"/>
  <c r="CU69" i="30"/>
  <c r="CU80" i="30"/>
  <c r="CY69" i="30"/>
  <c r="CY80" i="30"/>
  <c r="DG69" i="30"/>
  <c r="DG80" i="30"/>
  <c r="DK69" i="30"/>
  <c r="DK80" i="30"/>
  <c r="DO69" i="30"/>
  <c r="DO80" i="30"/>
  <c r="DS69" i="30"/>
  <c r="DS80" i="30"/>
  <c r="DW69" i="30"/>
  <c r="DW80" i="30"/>
  <c r="EA69" i="30"/>
  <c r="EA80" i="30"/>
  <c r="X36" i="29"/>
  <c r="V37" i="29"/>
  <c r="E17" i="29"/>
  <c r="CA120" i="32"/>
  <c r="CA59" i="30"/>
  <c r="AW71" i="30"/>
  <c r="AW60" i="30"/>
  <c r="AW106" i="30" s="1"/>
  <c r="BA71" i="30"/>
  <c r="BA60" i="30"/>
  <c r="BA106" i="30" s="1"/>
  <c r="BI71" i="30"/>
  <c r="BI60" i="30"/>
  <c r="BI106" i="30" s="1"/>
  <c r="BM71" i="30"/>
  <c r="BM60" i="30"/>
  <c r="BM106" i="30" s="1"/>
  <c r="BQ71" i="30"/>
  <c r="BQ60" i="30"/>
  <c r="BQ106" i="30" s="1"/>
  <c r="CB71" i="30"/>
  <c r="CB60" i="30"/>
  <c r="CF71" i="30"/>
  <c r="CF60" i="30"/>
  <c r="CJ71" i="30"/>
  <c r="CJ60" i="30"/>
  <c r="CN71" i="30"/>
  <c r="CN60" i="30"/>
  <c r="CR71" i="30"/>
  <c r="CR60" i="30"/>
  <c r="CV71" i="30"/>
  <c r="CV60" i="30"/>
  <c r="DH71" i="30"/>
  <c r="DH60" i="30"/>
  <c r="DL71" i="30"/>
  <c r="DL60" i="30"/>
  <c r="DP71" i="30"/>
  <c r="DP60" i="30"/>
  <c r="DT71" i="30"/>
  <c r="DT60" i="30"/>
  <c r="DX71" i="30"/>
  <c r="DX60" i="30"/>
  <c r="EB71" i="30"/>
  <c r="EB60" i="30"/>
  <c r="AY62" i="30"/>
  <c r="AY108" i="30" s="1"/>
  <c r="BC62" i="30"/>
  <c r="BC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BZ112" i="30"/>
  <c r="BZ77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I77" i="30"/>
  <c r="M77" i="30"/>
  <c r="Q77" i="30"/>
  <c r="U77" i="30"/>
  <c r="Y77" i="30"/>
  <c r="AC77" i="30"/>
  <c r="C46" i="29"/>
  <c r="G46" i="29"/>
  <c r="K46" i="29"/>
  <c r="O46" i="29"/>
  <c r="S46" i="29"/>
  <c r="W46" i="29"/>
  <c r="C61" i="29"/>
  <c r="C48" i="29" s="1"/>
  <c r="BZ19" i="30"/>
  <c r="BZ52" i="30" s="1"/>
  <c r="BZ21" i="30"/>
  <c r="BZ54" i="30" s="1"/>
  <c r="AT23" i="30"/>
  <c r="BZ24" i="30"/>
  <c r="BZ57" i="30" s="1"/>
  <c r="AV26" i="30"/>
  <c r="AZ26" i="30"/>
  <c r="BD26" i="30"/>
  <c r="BD60" i="30" s="1"/>
  <c r="BD106" i="30" s="1"/>
  <c r="BH26" i="30"/>
  <c r="BL26" i="30"/>
  <c r="BP26" i="30"/>
  <c r="BZ26" i="30"/>
  <c r="BZ90" i="30" s="1"/>
  <c r="CD26" i="30"/>
  <c r="CH26" i="30"/>
  <c r="CL26" i="30"/>
  <c r="CP26" i="30"/>
  <c r="CT26" i="30"/>
  <c r="CX26" i="30"/>
  <c r="DE26" i="30"/>
  <c r="DI26" i="30"/>
  <c r="DM26" i="30"/>
  <c r="DQ26" i="30"/>
  <c r="DU26" i="30"/>
  <c r="DY26" i="30"/>
  <c r="AX27" i="30"/>
  <c r="BB27" i="30"/>
  <c r="BB72" i="30" s="1"/>
  <c r="BF27" i="30"/>
  <c r="BF61" i="30" s="1"/>
  <c r="BF107" i="30" s="1"/>
  <c r="BJ27" i="30"/>
  <c r="BJ72" i="30" s="1"/>
  <c r="BN27" i="30"/>
  <c r="BN61" i="30" s="1"/>
  <c r="BN107" i="30" s="1"/>
  <c r="BR27" i="30"/>
  <c r="BR72" i="30" s="1"/>
  <c r="CB27" i="30"/>
  <c r="CF27" i="30"/>
  <c r="CJ27" i="30"/>
  <c r="CN27" i="30"/>
  <c r="CR27" i="30"/>
  <c r="CV27" i="30"/>
  <c r="DC27" i="30"/>
  <c r="DC91" i="30" s="1"/>
  <c r="DG27" i="30"/>
  <c r="DK27" i="30"/>
  <c r="DO27" i="30"/>
  <c r="DS27" i="30"/>
  <c r="DW27" i="30"/>
  <c r="EA27" i="30"/>
  <c r="AV28" i="30"/>
  <c r="AV73" i="30" s="1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AX74" i="30" s="1"/>
  <c r="BB29" i="30"/>
  <c r="BB74" i="30" s="1"/>
  <c r="BF29" i="30"/>
  <c r="BF74" i="30" s="1"/>
  <c r="BJ29" i="30"/>
  <c r="BJ74" i="30" s="1"/>
  <c r="BN29" i="30"/>
  <c r="BN74" i="30" s="1"/>
  <c r="BR29" i="30"/>
  <c r="BR74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V75" i="30" s="1"/>
  <c r="AZ30" i="30"/>
  <c r="BD30" i="30"/>
  <c r="BH30" i="30"/>
  <c r="BL30" i="30"/>
  <c r="BL64" i="30" s="1"/>
  <c r="BL110" i="30" s="1"/>
  <c r="BP30" i="30"/>
  <c r="BP75" i="30" s="1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F99" i="30"/>
  <c r="CJ99" i="30"/>
  <c r="CN99" i="30"/>
  <c r="CN100" i="30" s="1"/>
  <c r="CN101" i="30" s="1"/>
  <c r="CR99" i="30"/>
  <c r="CV99" i="30"/>
  <c r="DC41" i="30"/>
  <c r="DH99" i="30"/>
  <c r="DL99" i="30"/>
  <c r="DP99" i="30"/>
  <c r="DT99" i="30"/>
  <c r="DT100" i="30" s="1"/>
  <c r="DT101" i="30" s="1"/>
  <c r="DX99" i="30"/>
  <c r="DX100" i="30" s="1"/>
  <c r="DX101" i="30" s="1"/>
  <c r="EB99" i="30"/>
  <c r="BZ44" i="30"/>
  <c r="DC45" i="30"/>
  <c r="AV60" i="30"/>
  <c r="AV106" i="30" s="1"/>
  <c r="AZ60" i="30"/>
  <c r="AZ106" i="30" s="1"/>
  <c r="BH60" i="30"/>
  <c r="BH106" i="30" s="1"/>
  <c r="BL60" i="30"/>
  <c r="BL106" i="30" s="1"/>
  <c r="BP60" i="30"/>
  <c r="BP106" i="30" s="1"/>
  <c r="CE60" i="30"/>
  <c r="CI60" i="30"/>
  <c r="CM60" i="30"/>
  <c r="CQ60" i="30"/>
  <c r="CU60" i="30"/>
  <c r="CY60" i="30"/>
  <c r="DG60" i="30"/>
  <c r="DK60" i="30"/>
  <c r="DO60" i="30"/>
  <c r="DS60" i="30"/>
  <c r="DW60" i="30"/>
  <c r="EA60" i="30"/>
  <c r="AV61" i="30"/>
  <c r="AV107" i="30" s="1"/>
  <c r="AZ61" i="30"/>
  <c r="AZ107" i="30" s="1"/>
  <c r="BP61" i="30"/>
  <c r="BP107" i="30" s="1"/>
  <c r="BZ61" i="30"/>
  <c r="CE61" i="30"/>
  <c r="CI61" i="30"/>
  <c r="CM61" i="30"/>
  <c r="CQ61" i="30"/>
  <c r="CU61" i="30"/>
  <c r="CY61" i="30"/>
  <c r="DG61" i="30"/>
  <c r="DK61" i="30"/>
  <c r="DO61" i="30"/>
  <c r="DS61" i="30"/>
  <c r="DW61" i="30"/>
  <c r="EA61" i="30"/>
  <c r="AV62" i="30"/>
  <c r="AV108" i="30" s="1"/>
  <c r="AZ62" i="30"/>
  <c r="AZ108" i="30" s="1"/>
  <c r="BD62" i="30"/>
  <c r="BD108" i="30" s="1"/>
  <c r="BH62" i="30"/>
  <c r="BH108" i="30" s="1"/>
  <c r="BP62" i="30"/>
  <c r="BP108" i="30" s="1"/>
  <c r="BZ62" i="30"/>
  <c r="CE62" i="30"/>
  <c r="CI62" i="30"/>
  <c r="CM62" i="30"/>
  <c r="CQ62" i="30"/>
  <c r="CU62" i="30"/>
  <c r="CY62" i="30"/>
  <c r="DG62" i="30"/>
  <c r="DK62" i="30"/>
  <c r="DO62" i="30"/>
  <c r="DS62" i="30"/>
  <c r="DW62" i="30"/>
  <c r="EA62" i="30"/>
  <c r="AV63" i="30"/>
  <c r="AV109" i="30" s="1"/>
  <c r="AZ63" i="30"/>
  <c r="AZ109" i="30" s="1"/>
  <c r="BP63" i="30"/>
  <c r="BP109" i="30" s="1"/>
  <c r="BZ63" i="30"/>
  <c r="CE63" i="30"/>
  <c r="CI63" i="30"/>
  <c r="CM63" i="30"/>
  <c r="CQ63" i="30"/>
  <c r="CU63" i="30"/>
  <c r="CY63" i="30"/>
  <c r="DG63" i="30"/>
  <c r="DK63" i="30"/>
  <c r="DO63" i="30"/>
  <c r="DS63" i="30"/>
  <c r="DW63" i="30"/>
  <c r="EA63" i="30"/>
  <c r="BZ64" i="30"/>
  <c r="BZ65" i="30"/>
  <c r="AW66" i="30"/>
  <c r="BA66" i="30"/>
  <c r="BE66" i="30"/>
  <c r="BI66" i="30"/>
  <c r="BM66" i="30"/>
  <c r="BQ66" i="30"/>
  <c r="CB66" i="30"/>
  <c r="CF66" i="30"/>
  <c r="CJ66" i="30"/>
  <c r="CN66" i="30"/>
  <c r="CR66" i="30"/>
  <c r="CV66" i="30"/>
  <c r="DC66" i="30"/>
  <c r="DH66" i="30"/>
  <c r="DL66" i="30"/>
  <c r="DP66" i="30"/>
  <c r="DT66" i="30"/>
  <c r="DX66" i="30"/>
  <c r="EB66" i="30"/>
  <c r="BH68" i="30"/>
  <c r="BC69" i="30"/>
  <c r="BK69" i="30"/>
  <c r="BS69" i="30"/>
  <c r="CH69" i="30"/>
  <c r="CP69" i="30"/>
  <c r="CX69" i="30"/>
  <c r="DJ69" i="30"/>
  <c r="DR69" i="30"/>
  <c r="DZ69" i="30"/>
  <c r="BA75" i="30"/>
  <c r="BI75" i="30"/>
  <c r="CF75" i="30"/>
  <c r="CN75" i="30"/>
  <c r="CV75" i="30"/>
  <c r="DH75" i="30"/>
  <c r="DP75" i="30"/>
  <c r="DX75" i="30"/>
  <c r="AW76" i="30"/>
  <c r="BE76" i="30"/>
  <c r="BM76" i="30"/>
  <c r="CB76" i="30"/>
  <c r="CJ76" i="30"/>
  <c r="CR76" i="30"/>
  <c r="DL76" i="30"/>
  <c r="DT76" i="30"/>
  <c r="EB76" i="30"/>
  <c r="DY100" i="30"/>
  <c r="DY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R100" i="30"/>
  <c r="CR101" i="30" s="1"/>
  <c r="CJ100" i="30"/>
  <c r="CJ101" i="30" s="1"/>
  <c r="CF100" i="30"/>
  <c r="CF101" i="30" s="1"/>
  <c r="CB100" i="30"/>
  <c r="CB101" i="30" s="1"/>
  <c r="AZ100" i="30"/>
  <c r="AZ101" i="30" s="1"/>
  <c r="EB100" i="30"/>
  <c r="EB101" i="30" s="1"/>
  <c r="DL100" i="30"/>
  <c r="DL101" i="30" s="1"/>
  <c r="DZ100" i="30"/>
  <c r="DZ101" i="30" s="1"/>
  <c r="DR100" i="30"/>
  <c r="DR101" i="30" s="1"/>
  <c r="DJ100" i="30"/>
  <c r="DJ101" i="30" s="1"/>
  <c r="CW100" i="30"/>
  <c r="CW101" i="30" s="1"/>
  <c r="CO100" i="30"/>
  <c r="CO101" i="30" s="1"/>
  <c r="CG100" i="30"/>
  <c r="CG101" i="30" s="1"/>
  <c r="BQ100" i="30"/>
  <c r="BQ101" i="30" s="1"/>
  <c r="BI100" i="30"/>
  <c r="BI101" i="30" s="1"/>
  <c r="BA100" i="30"/>
  <c r="BA101" i="30" s="1"/>
  <c r="CS100" i="30"/>
  <c r="CS101" i="30" s="1"/>
  <c r="CK100" i="30"/>
  <c r="CK101" i="30" s="1"/>
  <c r="CC100" i="30"/>
  <c r="CC101" i="30" s="1"/>
  <c r="BM100" i="30"/>
  <c r="BM101" i="30" s="1"/>
  <c r="BE100" i="30"/>
  <c r="BE101" i="30" s="1"/>
  <c r="AW100" i="30"/>
  <c r="AW101" i="30" s="1"/>
  <c r="AT12" i="30"/>
  <c r="F16" i="30"/>
  <c r="AT20" i="30"/>
  <c r="BL79" i="30"/>
  <c r="BL68" i="30"/>
  <c r="BP79" i="30"/>
  <c r="BP68" i="30"/>
  <c r="CE79" i="30"/>
  <c r="CE84" i="30" s="1"/>
  <c r="CE68" i="30"/>
  <c r="CI79" i="30"/>
  <c r="CI68" i="30"/>
  <c r="CM79" i="30"/>
  <c r="CM84" i="30" s="1"/>
  <c r="CM68" i="30"/>
  <c r="CQ79" i="30"/>
  <c r="CQ68" i="30"/>
  <c r="CU79" i="30"/>
  <c r="CU84" i="30" s="1"/>
  <c r="CU68" i="30"/>
  <c r="CY79" i="30"/>
  <c r="CY68" i="30"/>
  <c r="DG79" i="30"/>
  <c r="DG68" i="30"/>
  <c r="DK79" i="30"/>
  <c r="DK68" i="30"/>
  <c r="DO79" i="30"/>
  <c r="DO82" i="30" s="1"/>
  <c r="DO68" i="30"/>
  <c r="DS79" i="30"/>
  <c r="DS68" i="30"/>
  <c r="DW79" i="30"/>
  <c r="DW82" i="30" s="1"/>
  <c r="DW68" i="30"/>
  <c r="EA79" i="30"/>
  <c r="EA68" i="30"/>
  <c r="DC24" i="30"/>
  <c r="DC57" i="30" s="1"/>
  <c r="AW26" i="30"/>
  <c r="BA26" i="30"/>
  <c r="BE26" i="30"/>
  <c r="BE60" i="30" s="1"/>
  <c r="BE106" i="30" s="1"/>
  <c r="BI26" i="30"/>
  <c r="BM26" i="30"/>
  <c r="BQ26" i="30"/>
  <c r="CE26" i="30"/>
  <c r="CI26" i="30"/>
  <c r="CM26" i="30"/>
  <c r="CQ26" i="30"/>
  <c r="CU26" i="30"/>
  <c r="CY26" i="30"/>
  <c r="DF26" i="30"/>
  <c r="DJ26" i="30"/>
  <c r="DN26" i="30"/>
  <c r="DR26" i="30"/>
  <c r="DV26" i="30"/>
  <c r="DZ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CC27" i="30"/>
  <c r="CG27" i="30"/>
  <c r="CK27" i="30"/>
  <c r="CO27" i="30"/>
  <c r="CS27" i="30"/>
  <c r="CW27" i="30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BQ73" i="30" s="1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AY74" i="30" s="1"/>
  <c r="BC29" i="30"/>
  <c r="BC63" i="30" s="1"/>
  <c r="BC109" i="30" s="1"/>
  <c r="BG29" i="30"/>
  <c r="BG63" i="30" s="1"/>
  <c r="BG109" i="30" s="1"/>
  <c r="BK29" i="30"/>
  <c r="BK63" i="30" s="1"/>
  <c r="BK109" i="30" s="1"/>
  <c r="BO29" i="30"/>
  <c r="BO74" i="30" s="1"/>
  <c r="BS29" i="30"/>
  <c r="BS74" i="30" s="1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M75" i="30" s="1"/>
  <c r="BQ30" i="30"/>
  <c r="BQ75" i="30" s="1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BZ31" i="30"/>
  <c r="BZ95" i="30" s="1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5" i="30"/>
  <c r="DC98" i="30" s="1"/>
  <c r="DC37" i="30"/>
  <c r="DC40" i="30"/>
  <c r="BZ43" i="30"/>
  <c r="DC44" i="30"/>
  <c r="DC60" i="30"/>
  <c r="DC61" i="30"/>
  <c r="DC62" i="30"/>
  <c r="DC63" i="30"/>
  <c r="AW64" i="30"/>
  <c r="AW110" i="30" s="1"/>
  <c r="BE64" i="30"/>
  <c r="BE110" i="30" s="1"/>
  <c r="BM64" i="30"/>
  <c r="BM110" i="30" s="1"/>
  <c r="CB64" i="30"/>
  <c r="CJ64" i="30"/>
  <c r="CR64" i="30"/>
  <c r="DC64" i="30"/>
  <c r="DL64" i="30"/>
  <c r="DT64" i="30"/>
  <c r="EB64" i="30"/>
  <c r="BA65" i="30"/>
  <c r="BI65" i="30"/>
  <c r="BQ65" i="30"/>
  <c r="CF65" i="30"/>
  <c r="CN65" i="30"/>
  <c r="CV65" i="30"/>
  <c r="DH65" i="30"/>
  <c r="DP65" i="30"/>
  <c r="DX65" i="30"/>
  <c r="AY67" i="30"/>
  <c r="BC67" i="30"/>
  <c r="BG67" i="30"/>
  <c r="BK67" i="30"/>
  <c r="BO67" i="30"/>
  <c r="BS67" i="30"/>
  <c r="CD67" i="30"/>
  <c r="CH67" i="30"/>
  <c r="CL67" i="30"/>
  <c r="CP67" i="30"/>
  <c r="CT67" i="30"/>
  <c r="CX67" i="30"/>
  <c r="DF67" i="30"/>
  <c r="DJ67" i="30"/>
  <c r="DN67" i="30"/>
  <c r="DR67" i="30"/>
  <c r="DV67" i="30"/>
  <c r="DZ67" i="30"/>
  <c r="AV68" i="30"/>
  <c r="AZ68" i="30"/>
  <c r="BD68" i="30"/>
  <c r="DC69" i="30"/>
  <c r="BJ71" i="30"/>
  <c r="BR71" i="30"/>
  <c r="CG71" i="30"/>
  <c r="CO71" i="30"/>
  <c r="CW71" i="30"/>
  <c r="DI71" i="30"/>
  <c r="DQ71" i="30"/>
  <c r="DY71" i="30"/>
  <c r="AX72" i="30"/>
  <c r="BF72" i="30"/>
  <c r="BN72" i="30"/>
  <c r="CC72" i="30"/>
  <c r="CK72" i="30"/>
  <c r="CS72" i="30"/>
  <c r="DE72" i="30"/>
  <c r="DM72" i="30"/>
  <c r="DU72" i="30"/>
  <c r="CG73" i="30"/>
  <c r="CO73" i="30"/>
  <c r="CW73" i="30"/>
  <c r="DI73" i="30"/>
  <c r="DQ73" i="30"/>
  <c r="DY73" i="30"/>
  <c r="BC75" i="30"/>
  <c r="BK75" i="30"/>
  <c r="BS75" i="30"/>
  <c r="CH75" i="30"/>
  <c r="CP75" i="30"/>
  <c r="CX75" i="30"/>
  <c r="DJ75" i="30"/>
  <c r="DR75" i="30"/>
  <c r="DZ75" i="30"/>
  <c r="AY76" i="30"/>
  <c r="BG76" i="30"/>
  <c r="BO76" i="30"/>
  <c r="CD76" i="30"/>
  <c r="CL76" i="30"/>
  <c r="CT76" i="30"/>
  <c r="DF76" i="30"/>
  <c r="DN76" i="30"/>
  <c r="DV76" i="30"/>
  <c r="BC77" i="30"/>
  <c r="BK77" i="30"/>
  <c r="BS77" i="30"/>
  <c r="CH77" i="30"/>
  <c r="CP77" i="30"/>
  <c r="CX77" i="30"/>
  <c r="DJ77" i="30"/>
  <c r="DR77" i="30"/>
  <c r="DZ77" i="30"/>
  <c r="E46" i="29"/>
  <c r="I46" i="29"/>
  <c r="M46" i="29"/>
  <c r="Q46" i="29"/>
  <c r="U46" i="29"/>
  <c r="Y46" i="29"/>
  <c r="AU2" i="30"/>
  <c r="AT9" i="30"/>
  <c r="AT11" i="30"/>
  <c r="BZ114" i="30"/>
  <c r="BZ79" i="30"/>
  <c r="DC15" i="30"/>
  <c r="DC48" i="30" s="1"/>
  <c r="DC17" i="30"/>
  <c r="DC50" i="30" s="1"/>
  <c r="BZ20" i="30"/>
  <c r="BZ53" i="30" s="1"/>
  <c r="BZ22" i="30"/>
  <c r="BZ55" i="30" s="1"/>
  <c r="DC23" i="30"/>
  <c r="DC56" i="30" s="1"/>
  <c r="AX26" i="30"/>
  <c r="BB26" i="30"/>
  <c r="BB71" i="30" s="1"/>
  <c r="BF26" i="30"/>
  <c r="BF71" i="30" s="1"/>
  <c r="BJ26" i="30"/>
  <c r="BN26" i="30"/>
  <c r="BR26" i="30"/>
  <c r="CB26" i="30"/>
  <c r="CF26" i="30"/>
  <c r="CJ26" i="30"/>
  <c r="CN26" i="30"/>
  <c r="CR26" i="30"/>
  <c r="DG26" i="30"/>
  <c r="DK26" i="30"/>
  <c r="DO26" i="30"/>
  <c r="DS26" i="30"/>
  <c r="DW26" i="30"/>
  <c r="EA26" i="30"/>
  <c r="AV27" i="30"/>
  <c r="AV72" i="30" s="1"/>
  <c r="AZ27" i="30"/>
  <c r="AZ72" i="30" s="1"/>
  <c r="BD27" i="30"/>
  <c r="BD61" i="30" s="1"/>
  <c r="BD107" i="30" s="1"/>
  <c r="BH27" i="30"/>
  <c r="BH72" i="30" s="1"/>
  <c r="BL27" i="30"/>
  <c r="BL72" i="30" s="1"/>
  <c r="CD27" i="30"/>
  <c r="CH27" i="30"/>
  <c r="CL27" i="30"/>
  <c r="CP27" i="30"/>
  <c r="CT27" i="30"/>
  <c r="CX27" i="30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62" i="30" s="1"/>
  <c r="BJ108" i="30" s="1"/>
  <c r="BN28" i="30"/>
  <c r="BN73" i="30" s="1"/>
  <c r="BR28" i="30"/>
  <c r="BR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EA28" i="30"/>
  <c r="AV29" i="30"/>
  <c r="AV74" i="30" s="1"/>
  <c r="AZ29" i="30"/>
  <c r="AZ74" i="30" s="1"/>
  <c r="BD29" i="30"/>
  <c r="BD63" i="30" s="1"/>
  <c r="BD109" i="30" s="1"/>
  <c r="BH29" i="30"/>
  <c r="BH63" i="30" s="1"/>
  <c r="BH109" i="30" s="1"/>
  <c r="BL29" i="30"/>
  <c r="BL74" i="30" s="1"/>
  <c r="CD29" i="30"/>
  <c r="CH29" i="30"/>
  <c r="CL29" i="30"/>
  <c r="CP29" i="30"/>
  <c r="CT29" i="30"/>
  <c r="CX29" i="30"/>
  <c r="DE29" i="30"/>
  <c r="DI29" i="30"/>
  <c r="DM29" i="30"/>
  <c r="DQ29" i="30"/>
  <c r="DU29" i="30"/>
  <c r="AX30" i="30"/>
  <c r="BB30" i="30"/>
  <c r="BF30" i="30"/>
  <c r="BJ30" i="30"/>
  <c r="BN30" i="30"/>
  <c r="BN64" i="30" s="1"/>
  <c r="BN110" i="30" s="1"/>
  <c r="BR30" i="30"/>
  <c r="BR75" i="30" s="1"/>
  <c r="CB30" i="30"/>
  <c r="CF30" i="30"/>
  <c r="CJ30" i="30"/>
  <c r="CN30" i="30"/>
  <c r="CR30" i="30"/>
  <c r="DG30" i="30"/>
  <c r="DK30" i="30"/>
  <c r="DO30" i="30"/>
  <c r="DS30" i="30"/>
  <c r="DW30" i="30"/>
  <c r="EA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BZ32" i="30"/>
  <c r="CD32" i="30"/>
  <c r="CH32" i="30"/>
  <c r="CL32" i="30"/>
  <c r="CP32" i="30"/>
  <c r="CT32" i="30"/>
  <c r="CX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BR99" i="30"/>
  <c r="BR100" i="30" s="1"/>
  <c r="BR101" i="30" s="1"/>
  <c r="CD99" i="30"/>
  <c r="CD100" i="30" s="1"/>
  <c r="CD101" i="30" s="1"/>
  <c r="CH99" i="30"/>
  <c r="CH100" i="30" s="1"/>
  <c r="CH101" i="30" s="1"/>
  <c r="CL99" i="30"/>
  <c r="CL100" i="30" s="1"/>
  <c r="CL101" i="30" s="1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N99" i="30"/>
  <c r="DN100" i="30" s="1"/>
  <c r="DN101" i="30" s="1"/>
  <c r="DV99" i="30"/>
  <c r="DV100" i="30" s="1"/>
  <c r="DV101" i="30" s="1"/>
  <c r="BZ46" i="30"/>
  <c r="AX60" i="30"/>
  <c r="AX106" i="30" s="1"/>
  <c r="BF60" i="30"/>
  <c r="BF106" i="30" s="1"/>
  <c r="BN60" i="30"/>
  <c r="BN106" i="30" s="1"/>
  <c r="CC60" i="30"/>
  <c r="CK60" i="30"/>
  <c r="CS60" i="30"/>
  <c r="DE60" i="30"/>
  <c r="DM60" i="30"/>
  <c r="DU60" i="30"/>
  <c r="C272" i="32"/>
  <c r="B107" i="30"/>
  <c r="B124" i="30" s="1"/>
  <c r="BB61" i="30"/>
  <c r="BB107" i="30" s="1"/>
  <c r="BR61" i="30"/>
  <c r="BR107" i="30" s="1"/>
  <c r="CG61" i="30"/>
  <c r="CO61" i="30"/>
  <c r="CW61" i="30"/>
  <c r="DI61" i="30"/>
  <c r="DQ61" i="30"/>
  <c r="DY61" i="30"/>
  <c r="AX62" i="30"/>
  <c r="AX108" i="30" s="1"/>
  <c r="BN62" i="30"/>
  <c r="BN108" i="30" s="1"/>
  <c r="CC62" i="30"/>
  <c r="CK62" i="30"/>
  <c r="CS62" i="30"/>
  <c r="DE62" i="30"/>
  <c r="DM62" i="30"/>
  <c r="DU62" i="30"/>
  <c r="C274" i="32"/>
  <c r="D274" i="32" s="1"/>
  <c r="C206" i="30"/>
  <c r="AX63" i="30"/>
  <c r="AX109" i="30" s="1"/>
  <c r="BB63" i="30"/>
  <c r="BB109" i="30" s="1"/>
  <c r="BF63" i="30"/>
  <c r="BF109" i="30" s="1"/>
  <c r="BJ63" i="30"/>
  <c r="BJ109" i="30" s="1"/>
  <c r="BN63" i="30"/>
  <c r="BN109" i="30" s="1"/>
  <c r="BR63" i="30"/>
  <c r="BR109" i="30" s="1"/>
  <c r="CC63" i="30"/>
  <c r="CG63" i="30"/>
  <c r="CK63" i="30"/>
  <c r="CO63" i="30"/>
  <c r="CS63" i="30"/>
  <c r="CW63" i="30"/>
  <c r="DE63" i="30"/>
  <c r="DI63" i="30"/>
  <c r="DM63" i="30"/>
  <c r="DQ63" i="30"/>
  <c r="DU63" i="30"/>
  <c r="DY63" i="30"/>
  <c r="AY66" i="30"/>
  <c r="BG66" i="30"/>
  <c r="BO66" i="30"/>
  <c r="CD66" i="30"/>
  <c r="CL66" i="30"/>
  <c r="CT66" i="30"/>
  <c r="DF66" i="30"/>
  <c r="DN66" i="30"/>
  <c r="DV66" i="30"/>
  <c r="BZ67" i="30"/>
  <c r="AY69" i="30"/>
  <c r="BG69" i="30"/>
  <c r="BO69" i="30"/>
  <c r="CD69" i="30"/>
  <c r="CL69" i="30"/>
  <c r="CT69" i="30"/>
  <c r="DF69" i="30"/>
  <c r="DN69" i="30"/>
  <c r="DV69" i="30"/>
  <c r="BZ80" i="30"/>
  <c r="DH100" i="30"/>
  <c r="DH101" i="30" s="1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26" i="30"/>
  <c r="BC26" i="30"/>
  <c r="BC60" i="30" s="1"/>
  <c r="BC106" i="30" s="1"/>
  <c r="BG26" i="30"/>
  <c r="BK26" i="30"/>
  <c r="BO26" i="30"/>
  <c r="DH26" i="30"/>
  <c r="DL26" i="30"/>
  <c r="DP26" i="30"/>
  <c r="DT26" i="30"/>
  <c r="DX26" i="30"/>
  <c r="CE27" i="30"/>
  <c r="CI27" i="30"/>
  <c r="CM27" i="30"/>
  <c r="CQ27" i="30"/>
  <c r="CU27" i="30"/>
  <c r="AY28" i="30"/>
  <c r="AY73" i="30" s="1"/>
  <c r="BC28" i="30"/>
  <c r="BC73" i="30" s="1"/>
  <c r="BG28" i="30"/>
  <c r="BG73" i="30" s="1"/>
  <c r="BK28" i="30"/>
  <c r="BK62" i="30" s="1"/>
  <c r="BK108" i="30" s="1"/>
  <c r="BO28" i="30"/>
  <c r="BO73" i="30" s="1"/>
  <c r="DH28" i="30"/>
  <c r="DL28" i="30"/>
  <c r="DP28" i="30"/>
  <c r="DT28" i="30"/>
  <c r="DX28" i="30"/>
  <c r="CE29" i="30"/>
  <c r="CI29" i="30"/>
  <c r="CM29" i="30"/>
  <c r="CQ29" i="30"/>
  <c r="CU29" i="30"/>
  <c r="AY30" i="30"/>
  <c r="BC30" i="30"/>
  <c r="BG30" i="30"/>
  <c r="BK30" i="30"/>
  <c r="BO30" i="30"/>
  <c r="BO64" i="30" s="1"/>
  <c r="BO110" i="30" s="1"/>
  <c r="DH30" i="30"/>
  <c r="DL30" i="30"/>
  <c r="DP30" i="30"/>
  <c r="DT30" i="30"/>
  <c r="DX30" i="30"/>
  <c r="CE32" i="30"/>
  <c r="CI32" i="30"/>
  <c r="CM32" i="30"/>
  <c r="CQ32" i="30"/>
  <c r="CU32" i="30"/>
  <c r="DC34" i="30"/>
  <c r="DC97" i="30" s="1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S100" i="30" s="1"/>
  <c r="BS101" i="30" s="1"/>
  <c r="CE99" i="30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BZ45" i="30"/>
  <c r="AY64" i="30"/>
  <c r="AY110" i="30" s="1"/>
  <c r="BG64" i="30"/>
  <c r="BG110" i="30" s="1"/>
  <c r="CD64" i="30"/>
  <c r="CL64" i="30"/>
  <c r="CT64" i="30"/>
  <c r="DF64" i="30"/>
  <c r="DN64" i="30"/>
  <c r="DV64" i="30"/>
  <c r="BC65" i="30"/>
  <c r="BK65" i="30"/>
  <c r="BS65" i="30"/>
  <c r="CH65" i="30"/>
  <c r="CP65" i="30"/>
  <c r="CX65" i="30"/>
  <c r="DJ65" i="30"/>
  <c r="DR65" i="30"/>
  <c r="DZ65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H67" i="30"/>
  <c r="DL67" i="30"/>
  <c r="DP67" i="30"/>
  <c r="DT67" i="30"/>
  <c r="DX67" i="30"/>
  <c r="EB67" i="30"/>
  <c r="AX68" i="30"/>
  <c r="BB68" i="30"/>
  <c r="J77" i="30"/>
  <c r="N77" i="30"/>
  <c r="R77" i="30"/>
  <c r="V77" i="30"/>
  <c r="AD77" i="30"/>
  <c r="CE100" i="30"/>
  <c r="CE101" i="30" s="1"/>
  <c r="DP100" i="30"/>
  <c r="DP101" i="30" s="1"/>
  <c r="D6" i="31"/>
  <c r="M6" i="31" s="1"/>
  <c r="L5" i="31"/>
  <c r="AC51" i="31"/>
  <c r="M5" i="31"/>
  <c r="V32" i="31"/>
  <c r="X32" i="31" s="1"/>
  <c r="AJ27" i="31" s="1"/>
  <c r="AK27" i="31" s="1"/>
  <c r="AK28" i="31" s="1"/>
  <c r="J38" i="31" s="1"/>
  <c r="AC48" i="31"/>
  <c r="V30" i="31"/>
  <c r="X30" i="31" s="1"/>
  <c r="I220" i="32"/>
  <c r="DM71" i="31"/>
  <c r="DQ71" i="31"/>
  <c r="DU71" i="31"/>
  <c r="DY71" i="31"/>
  <c r="DN72" i="31"/>
  <c r="DR72" i="31"/>
  <c r="DV72" i="31"/>
  <c r="DZ72" i="31"/>
  <c r="BK76" i="31"/>
  <c r="BO76" i="31"/>
  <c r="BS76" i="31"/>
  <c r="CE76" i="31"/>
  <c r="AG89" i="31"/>
  <c r="AW89" i="31"/>
  <c r="AM90" i="31"/>
  <c r="BE90" i="31"/>
  <c r="AT91" i="31"/>
  <c r="BO91" i="31"/>
  <c r="AT93" i="31"/>
  <c r="BS97" i="31"/>
  <c r="BO97" i="31"/>
  <c r="BK97" i="31"/>
  <c r="BG97" i="31"/>
  <c r="BC97" i="31"/>
  <c r="AY97" i="31"/>
  <c r="AU97" i="31"/>
  <c r="AQ97" i="31"/>
  <c r="AM97" i="31"/>
  <c r="AI97" i="31"/>
  <c r="AE97" i="31"/>
  <c r="BV97" i="31"/>
  <c r="BQ97" i="31"/>
  <c r="BF97" i="31"/>
  <c r="BA97" i="31"/>
  <c r="AV97" i="31"/>
  <c r="AP97" i="31"/>
  <c r="AK97" i="31"/>
  <c r="AF97" i="31"/>
  <c r="BU97" i="31"/>
  <c r="BP97" i="31"/>
  <c r="BJ97" i="31"/>
  <c r="BE97" i="31"/>
  <c r="AZ97" i="31"/>
  <c r="AT97" i="31"/>
  <c r="AO97" i="31"/>
  <c r="AJ97" i="31"/>
  <c r="AD97" i="31"/>
  <c r="BT97" i="31"/>
  <c r="BN97" i="31"/>
  <c r="BI97" i="31"/>
  <c r="BD97" i="31"/>
  <c r="AX97" i="31"/>
  <c r="AS97" i="31"/>
  <c r="AN97" i="31"/>
  <c r="AH97" i="31"/>
  <c r="AC97" i="31"/>
  <c r="AL97" i="31"/>
  <c r="BH97" i="31"/>
  <c r="AD98" i="31"/>
  <c r="AY98" i="31"/>
  <c r="AV99" i="31"/>
  <c r="BQ99" i="31"/>
  <c r="AS103" i="31"/>
  <c r="BO103" i="31"/>
  <c r="AI105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AK89" i="31"/>
  <c r="BA89" i="31"/>
  <c r="BQ89" i="31"/>
  <c r="AD93" i="31"/>
  <c r="AY93" i="31"/>
  <c r="BU93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BS105" i="31"/>
  <c r="BH105" i="31"/>
  <c r="BC105" i="31"/>
  <c r="AW105" i="31"/>
  <c r="AR105" i="31"/>
  <c r="AM105" i="31"/>
  <c r="AG105" i="31"/>
  <c r="AB105" i="31"/>
  <c r="BQ105" i="31"/>
  <c r="BL105" i="31"/>
  <c r="BG105" i="31"/>
  <c r="BA105" i="31"/>
  <c r="AV105" i="31"/>
  <c r="AQ105" i="31"/>
  <c r="AK105" i="31"/>
  <c r="AF105" i="31"/>
  <c r="BU105" i="31"/>
  <c r="BP105" i="31"/>
  <c r="BK105" i="31"/>
  <c r="BE105" i="31"/>
  <c r="AZ105" i="31"/>
  <c r="AU105" i="31"/>
  <c r="AO105" i="31"/>
  <c r="AJ105" i="31"/>
  <c r="AE105" i="31"/>
  <c r="AN105" i="31"/>
  <c r="BI105" i="31"/>
  <c r="AI146" i="31"/>
  <c r="AI143" i="31"/>
  <c r="AI137" i="31"/>
  <c r="AI128" i="31"/>
  <c r="AI131" i="31"/>
  <c r="AI134" i="31"/>
  <c r="AI140" i="31"/>
  <c r="CL75" i="31"/>
  <c r="CP75" i="31"/>
  <c r="CT75" i="31"/>
  <c r="CX75" i="31"/>
  <c r="DF75" i="31"/>
  <c r="AW76" i="31"/>
  <c r="BA76" i="31"/>
  <c r="BE76" i="31"/>
  <c r="AO89" i="31"/>
  <c r="BE89" i="31"/>
  <c r="BU89" i="31"/>
  <c r="AE90" i="31"/>
  <c r="AU90" i="31"/>
  <c r="AI91" i="31"/>
  <c r="AI93" i="31"/>
  <c r="BU98" i="31"/>
  <c r="BQ98" i="31"/>
  <c r="BI98" i="31"/>
  <c r="BE98" i="31"/>
  <c r="BA98" i="31"/>
  <c r="AW98" i="31"/>
  <c r="AS98" i="31"/>
  <c r="AO98" i="31"/>
  <c r="AK98" i="31"/>
  <c r="AG98" i="31"/>
  <c r="AC98" i="31"/>
  <c r="BS98" i="31"/>
  <c r="BN98" i="31"/>
  <c r="BH98" i="31"/>
  <c r="BC98" i="31"/>
  <c r="AX98" i="31"/>
  <c r="AR98" i="31"/>
  <c r="AM98" i="31"/>
  <c r="AH98" i="31"/>
  <c r="AB98" i="31"/>
  <c r="BR98" i="31"/>
  <c r="BL98" i="31"/>
  <c r="BG98" i="31"/>
  <c r="BB98" i="31"/>
  <c r="AV98" i="31"/>
  <c r="AQ98" i="31"/>
  <c r="AL98" i="31"/>
  <c r="AF98" i="31"/>
  <c r="BV98" i="31"/>
  <c r="BP98" i="31"/>
  <c r="BK98" i="31"/>
  <c r="BF98" i="31"/>
  <c r="AZ98" i="31"/>
  <c r="AU98" i="31"/>
  <c r="AP98" i="31"/>
  <c r="AJ98" i="31"/>
  <c r="AE98" i="31"/>
  <c r="AN98" i="31"/>
  <c r="BJ98" i="31"/>
  <c r="AK99" i="31"/>
  <c r="AI103" i="31"/>
  <c r="AS105" i="31"/>
  <c r="BO105" i="31"/>
  <c r="X136" i="31"/>
  <c r="Y136" i="31" s="1"/>
  <c r="X132" i="31"/>
  <c r="Y132" i="31" s="1"/>
  <c r="X135" i="31"/>
  <c r="Y135" i="31" s="1"/>
  <c r="X133" i="31"/>
  <c r="Y133" i="31" s="1"/>
  <c r="AS89" i="31"/>
  <c r="BI89" i="31"/>
  <c r="BV90" i="31"/>
  <c r="BR90" i="31"/>
  <c r="BN90" i="31"/>
  <c r="BJ90" i="31"/>
  <c r="BF90" i="31"/>
  <c r="BB90" i="31"/>
  <c r="AX90" i="31"/>
  <c r="BT90" i="31"/>
  <c r="BO90" i="31"/>
  <c r="BI90" i="31"/>
  <c r="BD90" i="31"/>
  <c r="AY90" i="31"/>
  <c r="AT90" i="31"/>
  <c r="AP90" i="31"/>
  <c r="AL90" i="31"/>
  <c r="AH90" i="31"/>
  <c r="AD90" i="31"/>
  <c r="BS90" i="31"/>
  <c r="BM90" i="31"/>
  <c r="BH90" i="31"/>
  <c r="BC90" i="31"/>
  <c r="AW90" i="31"/>
  <c r="AS90" i="31"/>
  <c r="AO90" i="31"/>
  <c r="AK90" i="31"/>
  <c r="AC90" i="31"/>
  <c r="BQ90" i="31"/>
  <c r="BG90" i="31"/>
  <c r="BA90" i="31"/>
  <c r="AV90" i="31"/>
  <c r="AR90" i="31"/>
  <c r="AN90" i="31"/>
  <c r="AJ90" i="31"/>
  <c r="AF90" i="31"/>
  <c r="AB90" i="31"/>
  <c r="AI90" i="31"/>
  <c r="AZ90" i="31"/>
  <c r="BU90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S91" i="31"/>
  <c r="BN91" i="31"/>
  <c r="BI91" i="31"/>
  <c r="BC91" i="31"/>
  <c r="AX91" i="31"/>
  <c r="AS91" i="31"/>
  <c r="AM91" i="31"/>
  <c r="AH91" i="31"/>
  <c r="AC91" i="31"/>
  <c r="BR91" i="31"/>
  <c r="BG91" i="31"/>
  <c r="BB91" i="31"/>
  <c r="AW91" i="31"/>
  <c r="AQ91" i="31"/>
  <c r="AL91" i="31"/>
  <c r="AG91" i="31"/>
  <c r="BV91" i="31"/>
  <c r="BQ91" i="31"/>
  <c r="BK91" i="31"/>
  <c r="BF91" i="31"/>
  <c r="BA91" i="31"/>
  <c r="AU91" i="31"/>
  <c r="AP91" i="31"/>
  <c r="AK91" i="31"/>
  <c r="AE91" i="31"/>
  <c r="AO91" i="31"/>
  <c r="BJ91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S93" i="31"/>
  <c r="BN93" i="31"/>
  <c r="BI93" i="31"/>
  <c r="BC93" i="31"/>
  <c r="AX93" i="31"/>
  <c r="AS93" i="31"/>
  <c r="AM93" i="31"/>
  <c r="AH93" i="31"/>
  <c r="AC93" i="31"/>
  <c r="BR93" i="31"/>
  <c r="BM93" i="31"/>
  <c r="BG93" i="31"/>
  <c r="BB93" i="31"/>
  <c r="AW93" i="31"/>
  <c r="AQ93" i="31"/>
  <c r="AL93" i="31"/>
  <c r="AG93" i="31"/>
  <c r="BV93" i="31"/>
  <c r="BQ93" i="31"/>
  <c r="BK93" i="31"/>
  <c r="BF93" i="31"/>
  <c r="BA93" i="31"/>
  <c r="AU93" i="31"/>
  <c r="AP93" i="31"/>
  <c r="AK93" i="31"/>
  <c r="AE93" i="31"/>
  <c r="AO93" i="31"/>
  <c r="BJ93" i="31"/>
  <c r="BS99" i="31"/>
  <c r="BO99" i="31"/>
  <c r="BK99" i="31"/>
  <c r="BG99" i="31"/>
  <c r="BC99" i="31"/>
  <c r="AY99" i="31"/>
  <c r="AU99" i="31"/>
  <c r="AQ99" i="31"/>
  <c r="AM99" i="31"/>
  <c r="AI99" i="31"/>
  <c r="AE99" i="31"/>
  <c r="BU99" i="31"/>
  <c r="BP99" i="31"/>
  <c r="BJ99" i="31"/>
  <c r="BE99" i="31"/>
  <c r="AZ99" i="31"/>
  <c r="AT99" i="31"/>
  <c r="AO99" i="31"/>
  <c r="AJ99" i="31"/>
  <c r="AD99" i="31"/>
  <c r="BT99" i="31"/>
  <c r="BI99" i="31"/>
  <c r="BD99" i="31"/>
  <c r="AX99" i="31"/>
  <c r="AS99" i="31"/>
  <c r="AN99" i="31"/>
  <c r="AH99" i="31"/>
  <c r="AC99" i="31"/>
  <c r="BR99" i="31"/>
  <c r="BM99" i="31"/>
  <c r="BH99" i="31"/>
  <c r="BB99" i="31"/>
  <c r="AW99" i="31"/>
  <c r="AR99" i="31"/>
  <c r="AL99" i="31"/>
  <c r="AG99" i="31"/>
  <c r="AB99" i="31"/>
  <c r="AP99" i="31"/>
  <c r="BL99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S103" i="31"/>
  <c r="BM103" i="31"/>
  <c r="BH103" i="31"/>
  <c r="BC103" i="31"/>
  <c r="AW103" i="31"/>
  <c r="AR103" i="31"/>
  <c r="AM103" i="31"/>
  <c r="AG103" i="31"/>
  <c r="AB103" i="31"/>
  <c r="BQ103" i="31"/>
  <c r="BL103" i="31"/>
  <c r="BG103" i="31"/>
  <c r="BA103" i="31"/>
  <c r="AV103" i="31"/>
  <c r="AQ103" i="31"/>
  <c r="AK103" i="31"/>
  <c r="AF103" i="31"/>
  <c r="BU103" i="31"/>
  <c r="BP103" i="31"/>
  <c r="BE103" i="31"/>
  <c r="AZ103" i="31"/>
  <c r="AU103" i="31"/>
  <c r="AO103" i="31"/>
  <c r="AJ103" i="31"/>
  <c r="AE103" i="31"/>
  <c r="AN103" i="31"/>
  <c r="BI103" i="31"/>
  <c r="AC105" i="31"/>
  <c r="AY105" i="31"/>
  <c r="BT105" i="31"/>
  <c r="S228" i="31"/>
  <c r="BZ121" i="32"/>
  <c r="BZ87" i="32"/>
  <c r="BZ151" i="32" s="1"/>
  <c r="BZ75" i="32"/>
  <c r="BZ109" i="32" s="1"/>
  <c r="BZ129" i="32"/>
  <c r="BZ106" i="32"/>
  <c r="BZ95" i="32"/>
  <c r="BZ158" i="32" s="1"/>
  <c r="BZ84" i="32"/>
  <c r="BZ117" i="32" s="1"/>
  <c r="BQ92" i="32"/>
  <c r="BM92" i="32"/>
  <c r="BI92" i="32"/>
  <c r="BE92" i="32"/>
  <c r="BA92" i="32"/>
  <c r="AW92" i="32"/>
  <c r="BP92" i="32"/>
  <c r="BL92" i="32"/>
  <c r="BH92" i="32"/>
  <c r="BD92" i="32"/>
  <c r="AZ92" i="32"/>
  <c r="AV92" i="32"/>
  <c r="CS92" i="32"/>
  <c r="CK92" i="32"/>
  <c r="CC92" i="32"/>
  <c r="BR92" i="32"/>
  <c r="BJ92" i="32"/>
  <c r="BB92" i="32"/>
  <c r="CR92" i="32"/>
  <c r="CJ92" i="32"/>
  <c r="CB92" i="32"/>
  <c r="BO92" i="32"/>
  <c r="BG92" i="32"/>
  <c r="AY92" i="32"/>
  <c r="CW92" i="32"/>
  <c r="CO92" i="32"/>
  <c r="CG92" i="32"/>
  <c r="BN92" i="32"/>
  <c r="BF92" i="32"/>
  <c r="AX92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EA93" i="32"/>
  <c r="DS93" i="32"/>
  <c r="DK93" i="32"/>
  <c r="DX93" i="32"/>
  <c r="DP93" i="32"/>
  <c r="DH93" i="32"/>
  <c r="DW93" i="32"/>
  <c r="DO93" i="32"/>
  <c r="DG93" i="32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D100" i="31"/>
  <c r="AI100" i="31"/>
  <c r="AN100" i="31"/>
  <c r="AT100" i="31"/>
  <c r="AY100" i="31"/>
  <c r="BD100" i="31"/>
  <c r="BJ100" i="31"/>
  <c r="BT100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D104" i="31"/>
  <c r="AI104" i="31"/>
  <c r="AO104" i="31"/>
  <c r="AT104" i="31"/>
  <c r="AY104" i="31"/>
  <c r="BE104" i="31"/>
  <c r="BJ104" i="31"/>
  <c r="BO104" i="31"/>
  <c r="BU104" i="31"/>
  <c r="BU106" i="31"/>
  <c r="BQ106" i="31"/>
  <c r="BM106" i="31"/>
  <c r="BI106" i="31"/>
  <c r="BE106" i="31"/>
  <c r="BA106" i="31"/>
  <c r="AW106" i="31"/>
  <c r="AS106" i="31"/>
  <c r="AO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D106" i="31"/>
  <c r="AI106" i="31"/>
  <c r="AP106" i="31"/>
  <c r="AX106" i="31"/>
  <c r="BF106" i="31"/>
  <c r="BV106" i="31"/>
  <c r="BC92" i="32"/>
  <c r="CF92" i="32"/>
  <c r="AT81" i="32"/>
  <c r="AT70" i="32"/>
  <c r="DL93" i="32"/>
  <c r="BZ98" i="32"/>
  <c r="AB92" i="31"/>
  <c r="AG92" i="31"/>
  <c r="AM92" i="31"/>
  <c r="AR92" i="31"/>
  <c r="AW92" i="31"/>
  <c r="BC92" i="31"/>
  <c r="BH92" i="31"/>
  <c r="BM92" i="31"/>
  <c r="AB96" i="31"/>
  <c r="AH96" i="31"/>
  <c r="AM96" i="31"/>
  <c r="AR96" i="31"/>
  <c r="AX96" i="31"/>
  <c r="BC96" i="31"/>
  <c r="BH96" i="31"/>
  <c r="BN96" i="31"/>
  <c r="AE100" i="31"/>
  <c r="AJ100" i="31"/>
  <c r="AP100" i="31"/>
  <c r="AU100" i="31"/>
  <c r="AZ100" i="31"/>
  <c r="BF100" i="31"/>
  <c r="BK100" i="31"/>
  <c r="BP100" i="31"/>
  <c r="BV100" i="31"/>
  <c r="AE104" i="31"/>
  <c r="AK104" i="31"/>
  <c r="AP104" i="31"/>
  <c r="AU104" i="31"/>
  <c r="BA104" i="31"/>
  <c r="BF104" i="31"/>
  <c r="BK104" i="31"/>
  <c r="BQ104" i="31"/>
  <c r="BV104" i="31"/>
  <c r="AE106" i="31"/>
  <c r="AK106" i="31"/>
  <c r="AQ106" i="31"/>
  <c r="AY106" i="31"/>
  <c r="BG106" i="31"/>
  <c r="BO106" i="31"/>
  <c r="AD107" i="31"/>
  <c r="AL107" i="31"/>
  <c r="AT107" i="31"/>
  <c r="BB107" i="31"/>
  <c r="BJ107" i="31"/>
  <c r="J128" i="31"/>
  <c r="C187" i="32"/>
  <c r="D187" i="32" s="1"/>
  <c r="AJ218" i="32" s="1"/>
  <c r="X235" i="31"/>
  <c r="C308" i="32" s="1"/>
  <c r="AU62" i="32"/>
  <c r="BS88" i="32"/>
  <c r="DZ89" i="32"/>
  <c r="DV89" i="32"/>
  <c r="DR89" i="32"/>
  <c r="DN89" i="32"/>
  <c r="DJ89" i="32"/>
  <c r="DF89" i="32"/>
  <c r="DY89" i="32"/>
  <c r="DU89" i="32"/>
  <c r="DQ89" i="32"/>
  <c r="DM89" i="32"/>
  <c r="DI89" i="32"/>
  <c r="DE89" i="32"/>
  <c r="EA89" i="32"/>
  <c r="DS89" i="32"/>
  <c r="DK89" i="32"/>
  <c r="DX89" i="32"/>
  <c r="DP89" i="32"/>
  <c r="DH89" i="32"/>
  <c r="DW89" i="32"/>
  <c r="DO89" i="32"/>
  <c r="DG89" i="32"/>
  <c r="BK92" i="32"/>
  <c r="CN92" i="32"/>
  <c r="DT93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X95" i="32"/>
  <c r="CP95" i="32"/>
  <c r="CH95" i="32"/>
  <c r="CU95" i="32"/>
  <c r="CM95" i="32"/>
  <c r="CE95" i="32"/>
  <c r="CT95" i="32"/>
  <c r="CL95" i="32"/>
  <c r="CD95" i="32"/>
  <c r="C117" i="32"/>
  <c r="D117" i="32" s="1"/>
  <c r="BV92" i="31"/>
  <c r="BR92" i="31"/>
  <c r="BJ92" i="31"/>
  <c r="BF92" i="31"/>
  <c r="BB92" i="31"/>
  <c r="AX92" i="31"/>
  <c r="AT92" i="31"/>
  <c r="AP92" i="31"/>
  <c r="AL92" i="31"/>
  <c r="AH92" i="31"/>
  <c r="AD92" i="31"/>
  <c r="AC92" i="31"/>
  <c r="AI92" i="31"/>
  <c r="AN92" i="31"/>
  <c r="AS92" i="31"/>
  <c r="AY92" i="31"/>
  <c r="BD92" i="31"/>
  <c r="BI92" i="31"/>
  <c r="BO92" i="31"/>
  <c r="BT92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D96" i="31"/>
  <c r="AI96" i="31"/>
  <c r="AN96" i="31"/>
  <c r="AT96" i="31"/>
  <c r="AY96" i="31"/>
  <c r="BD96" i="31"/>
  <c r="BJ96" i="31"/>
  <c r="BO96" i="31"/>
  <c r="BT96" i="31"/>
  <c r="AF100" i="31"/>
  <c r="AL100" i="31"/>
  <c r="AQ100" i="31"/>
  <c r="AV100" i="31"/>
  <c r="BB100" i="31"/>
  <c r="BG100" i="31"/>
  <c r="BL100" i="31"/>
  <c r="BR100" i="31"/>
  <c r="AG104" i="31"/>
  <c r="AL104" i="31"/>
  <c r="AQ104" i="31"/>
  <c r="AW104" i="31"/>
  <c r="BB104" i="31"/>
  <c r="BG104" i="31"/>
  <c r="BM104" i="31"/>
  <c r="BR104" i="31"/>
  <c r="AG106" i="31"/>
  <c r="AL106" i="31"/>
  <c r="AT106" i="31"/>
  <c r="BB106" i="31"/>
  <c r="BJ106" i="31"/>
  <c r="BR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G107" i="31"/>
  <c r="AO107" i="31"/>
  <c r="AW107" i="31"/>
  <c r="BE107" i="31"/>
  <c r="BM107" i="31"/>
  <c r="BU107" i="31"/>
  <c r="V133" i="31"/>
  <c r="W133" i="31" s="1"/>
  <c r="V135" i="31"/>
  <c r="W135" i="31" s="1"/>
  <c r="V132" i="31"/>
  <c r="W132" i="31" s="1"/>
  <c r="V136" i="31"/>
  <c r="W136" i="31" s="1"/>
  <c r="J141" i="31"/>
  <c r="C219" i="32" s="1"/>
  <c r="AM215" i="32"/>
  <c r="W274" i="31"/>
  <c r="AM218" i="32" s="1"/>
  <c r="BQ88" i="32"/>
  <c r="BM88" i="32"/>
  <c r="BI88" i="32"/>
  <c r="BE88" i="32"/>
  <c r="BA88" i="32"/>
  <c r="AW88" i="32"/>
  <c r="BP88" i="32"/>
  <c r="BL88" i="32"/>
  <c r="BH88" i="32"/>
  <c r="BD88" i="32"/>
  <c r="AZ88" i="32"/>
  <c r="AV88" i="32"/>
  <c r="CS88" i="32"/>
  <c r="CK88" i="32"/>
  <c r="CC88" i="32"/>
  <c r="BR88" i="32"/>
  <c r="BJ88" i="32"/>
  <c r="BB88" i="32"/>
  <c r="CR88" i="32"/>
  <c r="CJ88" i="32"/>
  <c r="CB88" i="32"/>
  <c r="BO88" i="32"/>
  <c r="BG88" i="32"/>
  <c r="AY88" i="32"/>
  <c r="CW88" i="32"/>
  <c r="CO88" i="32"/>
  <c r="CG88" i="32"/>
  <c r="BN88" i="32"/>
  <c r="BF88" i="32"/>
  <c r="AX88" i="32"/>
  <c r="AT153" i="32"/>
  <c r="AT77" i="32"/>
  <c r="AT66" i="32"/>
  <c r="BS92" i="32"/>
  <c r="CV92" i="32"/>
  <c r="EB93" i="32"/>
  <c r="DO160" i="32"/>
  <c r="DO161" i="32" s="1"/>
  <c r="DO162" i="32" s="1"/>
  <c r="H130" i="32"/>
  <c r="X236" i="31"/>
  <c r="C309" i="32" s="1"/>
  <c r="T275" i="31"/>
  <c r="X275" i="31" s="1"/>
  <c r="DC121" i="32"/>
  <c r="DC75" i="32"/>
  <c r="DC109" i="32" s="1"/>
  <c r="BZ99" i="32"/>
  <c r="BZ88" i="32"/>
  <c r="BZ152" i="32" s="1"/>
  <c r="BZ76" i="32"/>
  <c r="BZ110" i="32" s="1"/>
  <c r="BZ122" i="32"/>
  <c r="BZ124" i="32"/>
  <c r="BZ101" i="32"/>
  <c r="BZ90" i="32"/>
  <c r="BZ154" i="32" s="1"/>
  <c r="AT69" i="32"/>
  <c r="BZ128" i="32"/>
  <c r="BZ94" i="32"/>
  <c r="BZ157" i="32" s="1"/>
  <c r="BZ82" i="32"/>
  <c r="BZ116" i="32" s="1"/>
  <c r="BZ105" i="32"/>
  <c r="AT80" i="32"/>
  <c r="AY87" i="32"/>
  <c r="BG87" i="32"/>
  <c r="BO87" i="32"/>
  <c r="CB87" i="32"/>
  <c r="CJ87" i="32"/>
  <c r="CR87" i="32"/>
  <c r="DC87" i="32"/>
  <c r="DC151" i="32" s="1"/>
  <c r="CY88" i="32"/>
  <c r="DH88" i="32"/>
  <c r="DP88" i="32"/>
  <c r="DX88" i="32"/>
  <c r="BQ89" i="32"/>
  <c r="BM89" i="32"/>
  <c r="BI89" i="32"/>
  <c r="BE89" i="32"/>
  <c r="BA89" i="32"/>
  <c r="AW89" i="32"/>
  <c r="BP89" i="32"/>
  <c r="BL89" i="32"/>
  <c r="BH89" i="32"/>
  <c r="BD89" i="32"/>
  <c r="AZ89" i="32"/>
  <c r="AV89" i="32"/>
  <c r="BC89" i="32"/>
  <c r="BK89" i="32"/>
  <c r="BS89" i="32"/>
  <c r="CF89" i="32"/>
  <c r="CN89" i="32"/>
  <c r="CV89" i="32"/>
  <c r="AT154" i="32"/>
  <c r="AT78" i="32"/>
  <c r="AT67" i="32"/>
  <c r="DZ90" i="32"/>
  <c r="DV90" i="32"/>
  <c r="DR90" i="32"/>
  <c r="DN90" i="32"/>
  <c r="DJ90" i="32"/>
  <c r="DF90" i="32"/>
  <c r="DY90" i="32"/>
  <c r="DU90" i="32"/>
  <c r="DQ90" i="32"/>
  <c r="DM90" i="32"/>
  <c r="DI90" i="32"/>
  <c r="DE90" i="32"/>
  <c r="DL90" i="32"/>
  <c r="DT90" i="32"/>
  <c r="EB90" i="32"/>
  <c r="AY91" i="32"/>
  <c r="BG91" i="32"/>
  <c r="BO91" i="32"/>
  <c r="CB91" i="32"/>
  <c r="CJ91" i="32"/>
  <c r="CR91" i="32"/>
  <c r="CY92" i="32"/>
  <c r="DH92" i="32"/>
  <c r="DP92" i="32"/>
  <c r="DX92" i="32"/>
  <c r="BQ93" i="32"/>
  <c r="BM93" i="32"/>
  <c r="BI93" i="32"/>
  <c r="BE93" i="32"/>
  <c r="BA93" i="32"/>
  <c r="AW93" i="32"/>
  <c r="BP93" i="32"/>
  <c r="BL93" i="32"/>
  <c r="BH93" i="32"/>
  <c r="BD93" i="32"/>
  <c r="AZ93" i="32"/>
  <c r="AV93" i="32"/>
  <c r="BC93" i="32"/>
  <c r="BK93" i="32"/>
  <c r="BS93" i="32"/>
  <c r="CF93" i="32"/>
  <c r="CN93" i="32"/>
  <c r="CV93" i="32"/>
  <c r="K138" i="32"/>
  <c r="K129" i="32"/>
  <c r="K134" i="32"/>
  <c r="O138" i="32"/>
  <c r="O129" i="32"/>
  <c r="O134" i="32"/>
  <c r="S138" i="32"/>
  <c r="S129" i="32"/>
  <c r="S134" i="32"/>
  <c r="W138" i="32"/>
  <c r="W129" i="32"/>
  <c r="AA138" i="32"/>
  <c r="AA134" i="32"/>
  <c r="AA129" i="32"/>
  <c r="AE138" i="32"/>
  <c r="AE134" i="32"/>
  <c r="AE129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L96" i="32"/>
  <c r="DT96" i="32"/>
  <c r="EB96" i="32"/>
  <c r="DC98" i="32"/>
  <c r="DC100" i="32"/>
  <c r="T132" i="31"/>
  <c r="DC122" i="32"/>
  <c r="DC99" i="32"/>
  <c r="DC76" i="32"/>
  <c r="DC110" i="32" s="1"/>
  <c r="BZ77" i="32"/>
  <c r="BZ111" i="32" s="1"/>
  <c r="BZ89" i="32"/>
  <c r="BZ153" i="32" s="1"/>
  <c r="DC124" i="32"/>
  <c r="DC101" i="32"/>
  <c r="DC77" i="32"/>
  <c r="DC111" i="32" s="1"/>
  <c r="DC82" i="32"/>
  <c r="DC116" i="32" s="1"/>
  <c r="BB87" i="32"/>
  <c r="BJ87" i="32"/>
  <c r="BR87" i="32"/>
  <c r="CC87" i="32"/>
  <c r="CK87" i="32"/>
  <c r="DZ87" i="32"/>
  <c r="DV87" i="32"/>
  <c r="DR87" i="32"/>
  <c r="DN87" i="32"/>
  <c r="DJ87" i="32"/>
  <c r="DF87" i="32"/>
  <c r="DY87" i="32"/>
  <c r="DU87" i="32"/>
  <c r="DQ87" i="32"/>
  <c r="DM87" i="32"/>
  <c r="DI87" i="32"/>
  <c r="DE87" i="32"/>
  <c r="DL87" i="32"/>
  <c r="DT87" i="32"/>
  <c r="EB87" i="32"/>
  <c r="DC88" i="32"/>
  <c r="DC152" i="32" s="1"/>
  <c r="DK88" i="32"/>
  <c r="DS88" i="32"/>
  <c r="AX89" i="32"/>
  <c r="BF89" i="32"/>
  <c r="BN89" i="32"/>
  <c r="CY89" i="32"/>
  <c r="CG89" i="32"/>
  <c r="CO89" i="32"/>
  <c r="CW89" i="32"/>
  <c r="BQ90" i="32"/>
  <c r="BM90" i="32"/>
  <c r="BI90" i="32"/>
  <c r="BE90" i="32"/>
  <c r="BA90" i="32"/>
  <c r="AW90" i="32"/>
  <c r="BP90" i="32"/>
  <c r="BL90" i="32"/>
  <c r="BH90" i="32"/>
  <c r="BD90" i="32"/>
  <c r="AZ90" i="32"/>
  <c r="AV90" i="32"/>
  <c r="BC90" i="32"/>
  <c r="BK90" i="32"/>
  <c r="BS90" i="32"/>
  <c r="CF90" i="32"/>
  <c r="CN90" i="32"/>
  <c r="CV90" i="32"/>
  <c r="DG90" i="32"/>
  <c r="DO90" i="32"/>
  <c r="DW90" i="32"/>
  <c r="BB91" i="32"/>
  <c r="BJ91" i="32"/>
  <c r="BR91" i="32"/>
  <c r="CC91" i="32"/>
  <c r="CK91" i="32"/>
  <c r="DZ91" i="32"/>
  <c r="DV91" i="32"/>
  <c r="DR91" i="32"/>
  <c r="DN91" i="32"/>
  <c r="DJ91" i="32"/>
  <c r="DF91" i="32"/>
  <c r="DY91" i="32"/>
  <c r="DU91" i="32"/>
  <c r="DQ91" i="32"/>
  <c r="DM91" i="32"/>
  <c r="DI91" i="32"/>
  <c r="DE91" i="32"/>
  <c r="DL91" i="32"/>
  <c r="DT91" i="32"/>
  <c r="EB91" i="32"/>
  <c r="DK92" i="32"/>
  <c r="DS92" i="32"/>
  <c r="AX93" i="32"/>
  <c r="BF93" i="32"/>
  <c r="BN93" i="32"/>
  <c r="CY93" i="32"/>
  <c r="CG93" i="32"/>
  <c r="CO93" i="32"/>
  <c r="CW93" i="32"/>
  <c r="H138" i="32"/>
  <c r="H129" i="32"/>
  <c r="H134" i="32"/>
  <c r="C122" i="32"/>
  <c r="D122" i="32" s="1"/>
  <c r="C110" i="32"/>
  <c r="C116" i="32"/>
  <c r="D116" i="32" s="1"/>
  <c r="C113" i="32"/>
  <c r="D113" i="32" s="1"/>
  <c r="L138" i="32"/>
  <c r="L129" i="32"/>
  <c r="L134" i="32"/>
  <c r="P138" i="32"/>
  <c r="P129" i="32"/>
  <c r="P134" i="32"/>
  <c r="T138" i="32"/>
  <c r="T129" i="32"/>
  <c r="T134" i="32"/>
  <c r="X138" i="32"/>
  <c r="X129" i="32"/>
  <c r="X134" i="32"/>
  <c r="AB138" i="32"/>
  <c r="AB134" i="32"/>
  <c r="AB129" i="32"/>
  <c r="AT157" i="32"/>
  <c r="AT71" i="32"/>
  <c r="AT82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I94" i="32"/>
  <c r="CQ94" i="32"/>
  <c r="CY94" i="32"/>
  <c r="CV96" i="32"/>
  <c r="CR96" i="32"/>
  <c r="CN96" i="32"/>
  <c r="CJ96" i="32"/>
  <c r="CF96" i="32"/>
  <c r="CB96" i="32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C96" i="32"/>
  <c r="BK96" i="32"/>
  <c r="BS96" i="32"/>
  <c r="CD96" i="32"/>
  <c r="CL96" i="32"/>
  <c r="CT96" i="32"/>
  <c r="DE96" i="32"/>
  <c r="DM96" i="32"/>
  <c r="DU96" i="32"/>
  <c r="H139" i="32"/>
  <c r="H135" i="32"/>
  <c r="C120" i="32"/>
  <c r="D120" i="32" s="1"/>
  <c r="C114" i="32"/>
  <c r="D114" i="32" s="1"/>
  <c r="C123" i="32"/>
  <c r="D123" i="32" s="1"/>
  <c r="C111" i="32"/>
  <c r="L139" i="32"/>
  <c r="L135" i="32"/>
  <c r="L130" i="32"/>
  <c r="P139" i="32"/>
  <c r="P135" i="32"/>
  <c r="P130" i="32"/>
  <c r="T139" i="32"/>
  <c r="T135" i="32"/>
  <c r="T130" i="32"/>
  <c r="X139" i="32"/>
  <c r="X135" i="32"/>
  <c r="AB139" i="32"/>
  <c r="AB135" i="32"/>
  <c r="AB130" i="32"/>
  <c r="K140" i="32"/>
  <c r="K136" i="32"/>
  <c r="C112" i="32"/>
  <c r="K131" i="32"/>
  <c r="C115" i="32"/>
  <c r="D115" i="32" s="1"/>
  <c r="O140" i="32"/>
  <c r="O136" i="32"/>
  <c r="O131" i="32"/>
  <c r="S140" i="32"/>
  <c r="S136" i="32"/>
  <c r="W140" i="32"/>
  <c r="W136" i="32"/>
  <c r="W131" i="32"/>
  <c r="AA140" i="32"/>
  <c r="AA136" i="32"/>
  <c r="AA131" i="32"/>
  <c r="AE140" i="32"/>
  <c r="AE136" i="32"/>
  <c r="AE131" i="32"/>
  <c r="BZ123" i="32"/>
  <c r="S131" i="32"/>
  <c r="AJ219" i="32"/>
  <c r="AN219" i="32" s="1"/>
  <c r="AK227" i="32"/>
  <c r="AO227" i="32" s="1"/>
  <c r="DC173" i="32"/>
  <c r="DC138" i="32"/>
  <c r="BQ87" i="32"/>
  <c r="BM87" i="32"/>
  <c r="BI87" i="32"/>
  <c r="BE87" i="32"/>
  <c r="BA87" i="32"/>
  <c r="AW87" i="32"/>
  <c r="BP87" i="32"/>
  <c r="BL87" i="32"/>
  <c r="BH87" i="32"/>
  <c r="BD87" i="32"/>
  <c r="AZ87" i="32"/>
  <c r="AV87" i="32"/>
  <c r="BC87" i="32"/>
  <c r="BK87" i="32"/>
  <c r="BS87" i="32"/>
  <c r="CF87" i="32"/>
  <c r="CN87" i="32"/>
  <c r="CV87" i="32"/>
  <c r="DZ88" i="32"/>
  <c r="DV88" i="32"/>
  <c r="DR88" i="32"/>
  <c r="DN88" i="32"/>
  <c r="DJ88" i="32"/>
  <c r="DF88" i="32"/>
  <c r="DY88" i="32"/>
  <c r="DU88" i="32"/>
  <c r="DQ88" i="32"/>
  <c r="DM88" i="32"/>
  <c r="DI88" i="32"/>
  <c r="DE88" i="32"/>
  <c r="DL88" i="32"/>
  <c r="DT88" i="32"/>
  <c r="EB88" i="32"/>
  <c r="DC89" i="32"/>
  <c r="DC153" i="32" s="1"/>
  <c r="BQ91" i="32"/>
  <c r="BM91" i="32"/>
  <c r="BI91" i="32"/>
  <c r="BE91" i="32"/>
  <c r="BA91" i="32"/>
  <c r="AW91" i="32"/>
  <c r="BP91" i="32"/>
  <c r="BL91" i="32"/>
  <c r="BH91" i="32"/>
  <c r="BD91" i="32"/>
  <c r="AZ91" i="32"/>
  <c r="AV91" i="32"/>
  <c r="BC91" i="32"/>
  <c r="BK91" i="32"/>
  <c r="BS91" i="32"/>
  <c r="CF91" i="32"/>
  <c r="CN91" i="32"/>
  <c r="CV91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L92" i="32"/>
  <c r="DT92" i="32"/>
  <c r="EB92" i="32"/>
  <c r="DC93" i="32"/>
  <c r="Q129" i="32"/>
  <c r="BZ102" i="32"/>
  <c r="C119" i="32"/>
  <c r="D119" i="32" s="1"/>
  <c r="BZ125" i="32"/>
  <c r="DC128" i="32"/>
  <c r="W134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C102" i="32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5" i="32"/>
  <c r="I139" i="32"/>
  <c r="I130" i="32"/>
  <c r="M139" i="32"/>
  <c r="M130" i="32"/>
  <c r="M132" i="32" s="1"/>
  <c r="Q135" i="32"/>
  <c r="Q130" i="32"/>
  <c r="U135" i="32"/>
  <c r="U139" i="32"/>
  <c r="U130" i="32"/>
  <c r="Y135" i="32"/>
  <c r="Y139" i="32"/>
  <c r="Y130" i="32"/>
  <c r="AC139" i="32"/>
  <c r="AC130" i="32"/>
  <c r="BZ107" i="32"/>
  <c r="C124" i="32"/>
  <c r="D124" i="32" s="1"/>
  <c r="H131" i="32"/>
  <c r="L140" i="32"/>
  <c r="L136" i="32"/>
  <c r="L131" i="32"/>
  <c r="P140" i="32"/>
  <c r="P136" i="32"/>
  <c r="P131" i="32"/>
  <c r="T140" i="32"/>
  <c r="T136" i="32"/>
  <c r="T131" i="32"/>
  <c r="X131" i="32"/>
  <c r="AB140" i="32"/>
  <c r="AB136" i="32"/>
  <c r="AB131" i="32"/>
  <c r="C121" i="32"/>
  <c r="D121" i="32" s="1"/>
  <c r="X136" i="32"/>
  <c r="DC171" i="32"/>
  <c r="DC136" i="32"/>
  <c r="BZ172" i="32"/>
  <c r="BZ137" i="32"/>
  <c r="DC175" i="32"/>
  <c r="DC140" i="32"/>
  <c r="BZ176" i="32"/>
  <c r="BZ141" i="32"/>
  <c r="DC79" i="32"/>
  <c r="DC113" i="32" s="1"/>
  <c r="BZ80" i="32"/>
  <c r="BZ114" i="32" s="1"/>
  <c r="DC84" i="32"/>
  <c r="DC117" i="32" s="1"/>
  <c r="BZ85" i="32"/>
  <c r="BZ118" i="32" s="1"/>
  <c r="CD87" i="32"/>
  <c r="CH87" i="32"/>
  <c r="CL87" i="32"/>
  <c r="CP87" i="32"/>
  <c r="CT87" i="32"/>
  <c r="CX87" i="32"/>
  <c r="CD88" i="32"/>
  <c r="CH88" i="32"/>
  <c r="CL88" i="32"/>
  <c r="CP88" i="32"/>
  <c r="CT88" i="32"/>
  <c r="CX88" i="32"/>
  <c r="CD89" i="32"/>
  <c r="CH89" i="32"/>
  <c r="CL89" i="32"/>
  <c r="CP89" i="32"/>
  <c r="CT89" i="32"/>
  <c r="CX89" i="32"/>
  <c r="CD90" i="32"/>
  <c r="CH90" i="32"/>
  <c r="CL90" i="32"/>
  <c r="CP90" i="32"/>
  <c r="CT90" i="32"/>
  <c r="CX90" i="32"/>
  <c r="CD91" i="32"/>
  <c r="CH91" i="32"/>
  <c r="CL91" i="32"/>
  <c r="CP91" i="32"/>
  <c r="CT91" i="32"/>
  <c r="CX91" i="32"/>
  <c r="BZ92" i="32"/>
  <c r="BZ156" i="32" s="1"/>
  <c r="CD92" i="32"/>
  <c r="CH92" i="32"/>
  <c r="CL92" i="32"/>
  <c r="CP92" i="32"/>
  <c r="CT92" i="32"/>
  <c r="CX92" i="32"/>
  <c r="BZ93" i="32"/>
  <c r="CD93" i="32"/>
  <c r="CH93" i="32"/>
  <c r="CL93" i="32"/>
  <c r="CP93" i="32"/>
  <c r="CT93" i="32"/>
  <c r="CX93" i="32"/>
  <c r="I138" i="32"/>
  <c r="I134" i="32"/>
  <c r="M138" i="32"/>
  <c r="M134" i="32"/>
  <c r="Q138" i="32"/>
  <c r="Q134" i="32"/>
  <c r="U138" i="32"/>
  <c r="U134" i="32"/>
  <c r="Y138" i="32"/>
  <c r="Y134" i="32"/>
  <c r="AC138" i="32"/>
  <c r="AC134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DC95" i="32"/>
  <c r="DC158" i="32" s="1"/>
  <c r="DG95" i="32"/>
  <c r="DK95" i="32"/>
  <c r="DO95" i="32"/>
  <c r="DS95" i="32"/>
  <c r="DW95" i="32"/>
  <c r="EA95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BZ103" i="32"/>
  <c r="J139" i="32"/>
  <c r="J135" i="32"/>
  <c r="J130" i="32"/>
  <c r="N139" i="32"/>
  <c r="N135" i="32"/>
  <c r="N130" i="32"/>
  <c r="R139" i="32"/>
  <c r="R135" i="32"/>
  <c r="R130" i="32"/>
  <c r="V139" i="32"/>
  <c r="V135" i="32"/>
  <c r="V130" i="32"/>
  <c r="Z139" i="32"/>
  <c r="Z135" i="32"/>
  <c r="Z130" i="32"/>
  <c r="AD139" i="32"/>
  <c r="AD135" i="32"/>
  <c r="AD130" i="32"/>
  <c r="DC107" i="32"/>
  <c r="I140" i="32"/>
  <c r="I136" i="32"/>
  <c r="I131" i="32"/>
  <c r="M140" i="32"/>
  <c r="M136" i="32"/>
  <c r="M131" i="32"/>
  <c r="Q140" i="32"/>
  <c r="Q136" i="32"/>
  <c r="Q131" i="32"/>
  <c r="U140" i="32"/>
  <c r="U136" i="32"/>
  <c r="U131" i="32"/>
  <c r="Y140" i="32"/>
  <c r="Y136" i="32"/>
  <c r="Y131" i="32"/>
  <c r="AC140" i="32"/>
  <c r="AC136" i="32"/>
  <c r="AC131" i="32"/>
  <c r="C118" i="32"/>
  <c r="D118" i="32" s="1"/>
  <c r="U129" i="32"/>
  <c r="U132" i="32" s="1"/>
  <c r="M135" i="32"/>
  <c r="H140" i="32"/>
  <c r="DC172" i="32"/>
  <c r="DC137" i="32"/>
  <c r="BZ173" i="32"/>
  <c r="BZ138" i="32"/>
  <c r="DC176" i="32"/>
  <c r="DC141" i="32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E88" i="32"/>
  <c r="CI88" i="32"/>
  <c r="CM88" i="32"/>
  <c r="CQ88" i="32"/>
  <c r="CU88" i="32"/>
  <c r="CE89" i="32"/>
  <c r="CI89" i="32"/>
  <c r="CM89" i="32"/>
  <c r="CQ89" i="32"/>
  <c r="CU89" i="32"/>
  <c r="CE90" i="32"/>
  <c r="CI90" i="32"/>
  <c r="CM90" i="32"/>
  <c r="CQ90" i="32"/>
  <c r="CU90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4" i="32"/>
  <c r="J129" i="32"/>
  <c r="N134" i="32"/>
  <c r="N138" i="32"/>
  <c r="N129" i="32"/>
  <c r="R134" i="32"/>
  <c r="R138" i="32"/>
  <c r="R129" i="32"/>
  <c r="V138" i="32"/>
  <c r="V134" i="32"/>
  <c r="V129" i="32"/>
  <c r="Z134" i="32"/>
  <c r="Z129" i="32"/>
  <c r="AD134" i="32"/>
  <c r="AD138" i="32"/>
  <c r="AD129" i="32"/>
  <c r="AY95" i="32"/>
  <c r="BC95" i="32"/>
  <c r="BG95" i="32"/>
  <c r="BK95" i="32"/>
  <c r="BO95" i="32"/>
  <c r="DH95" i="32"/>
  <c r="DL95" i="32"/>
  <c r="DP95" i="32"/>
  <c r="DT95" i="32"/>
  <c r="DX95" i="32"/>
  <c r="DC96" i="32"/>
  <c r="DC159" i="32" s="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DC103" i="32"/>
  <c r="BZ104" i="32"/>
  <c r="K139" i="32"/>
  <c r="K135" i="32"/>
  <c r="K130" i="32"/>
  <c r="O139" i="32"/>
  <c r="O135" i="32"/>
  <c r="O130" i="32"/>
  <c r="S139" i="32"/>
  <c r="S135" i="32"/>
  <c r="S130" i="32"/>
  <c r="W139" i="32"/>
  <c r="W135" i="32"/>
  <c r="W130" i="32"/>
  <c r="AA139" i="32"/>
  <c r="AA135" i="32"/>
  <c r="AA130" i="32"/>
  <c r="AE139" i="32"/>
  <c r="AE135" i="32"/>
  <c r="AE130" i="32"/>
  <c r="J140" i="32"/>
  <c r="J136" i="32"/>
  <c r="J131" i="32"/>
  <c r="N140" i="32"/>
  <c r="N136" i="32"/>
  <c r="N131" i="32"/>
  <c r="R140" i="32"/>
  <c r="R136" i="32"/>
  <c r="R131" i="32"/>
  <c r="V140" i="32"/>
  <c r="V136" i="32"/>
  <c r="V131" i="32"/>
  <c r="Z140" i="32"/>
  <c r="Z136" i="32"/>
  <c r="Z131" i="32"/>
  <c r="AD140" i="32"/>
  <c r="AD136" i="32"/>
  <c r="AD131" i="32"/>
  <c r="I129" i="32"/>
  <c r="Y129" i="32"/>
  <c r="AC135" i="32"/>
  <c r="J138" i="32"/>
  <c r="J141" i="32" s="1"/>
  <c r="Q139" i="32"/>
  <c r="X140" i="32"/>
  <c r="AJ204" i="32"/>
  <c r="AK204" i="32" s="1"/>
  <c r="AJ202" i="32"/>
  <c r="AK202" i="32" s="1"/>
  <c r="AJ201" i="32"/>
  <c r="AK201" i="32" s="1"/>
  <c r="AJ203" i="32"/>
  <c r="AK203" i="32" s="1"/>
  <c r="AP201" i="32"/>
  <c r="AQ201" i="32" s="1"/>
  <c r="T8" i="7"/>
  <c r="BB9" i="29" s="1"/>
  <c r="BI9" i="29" s="1"/>
  <c r="N214" i="29" l="1"/>
  <c r="C252" i="32"/>
  <c r="D252" i="32" s="1"/>
  <c r="B96" i="30"/>
  <c r="D96" i="30" s="1"/>
  <c r="F214" i="29"/>
  <c r="V224" i="31"/>
  <c r="D225" i="32"/>
  <c r="AE180" i="28"/>
  <c r="W173" i="28"/>
  <c r="V204" i="31"/>
  <c r="AJ196" i="28"/>
  <c r="AE188" i="28"/>
  <c r="AJ5" i="29"/>
  <c r="AE189" i="31"/>
  <c r="B116" i="30"/>
  <c r="C279" i="32"/>
  <c r="D279" i="32" s="1"/>
  <c r="AA240" i="31"/>
  <c r="AB240" i="31" s="1"/>
  <c r="AC240" i="31" s="1"/>
  <c r="AF240" i="31" s="1"/>
  <c r="C310" i="32"/>
  <c r="H77" i="30"/>
  <c r="T214" i="29"/>
  <c r="S19" i="29"/>
  <c r="S6" i="29" s="1"/>
  <c r="S10" i="29" s="1"/>
  <c r="S11" i="29" s="1"/>
  <c r="S13" i="29" s="1"/>
  <c r="AI185" i="31"/>
  <c r="K214" i="29"/>
  <c r="U185" i="31"/>
  <c r="V214" i="29"/>
  <c r="U214" i="29"/>
  <c r="AJ206" i="28"/>
  <c r="AG206" i="28"/>
  <c r="AF206" i="28"/>
  <c r="V181" i="28"/>
  <c r="AJ172" i="28"/>
  <c r="AG173" i="28"/>
  <c r="U206" i="28"/>
  <c r="AG180" i="28"/>
  <c r="AF172" i="28"/>
  <c r="W180" i="28"/>
  <c r="V169" i="28"/>
  <c r="V173" i="28"/>
  <c r="AI173" i="28"/>
  <c r="AF167" i="28"/>
  <c r="U167" i="28"/>
  <c r="AJ180" i="31"/>
  <c r="AD226" i="31"/>
  <c r="AH226" i="31" s="1"/>
  <c r="W192" i="31"/>
  <c r="U200" i="31"/>
  <c r="AD224" i="31"/>
  <c r="AH224" i="31" s="1"/>
  <c r="U184" i="28"/>
  <c r="AJ176" i="28"/>
  <c r="W205" i="28"/>
  <c r="AF179" i="31"/>
  <c r="V196" i="28"/>
  <c r="AE181" i="31"/>
  <c r="AJ216" i="31"/>
  <c r="W216" i="31"/>
  <c r="AG216" i="31"/>
  <c r="U176" i="31"/>
  <c r="U184" i="31"/>
  <c r="V176" i="31"/>
  <c r="AF193" i="28"/>
  <c r="AE205" i="28"/>
  <c r="V181" i="31"/>
  <c r="AE179" i="31"/>
  <c r="V164" i="31"/>
  <c r="AE196" i="28"/>
  <c r="V205" i="28"/>
  <c r="AG184" i="28"/>
  <c r="U176" i="28"/>
  <c r="AF184" i="28"/>
  <c r="AG181" i="31"/>
  <c r="AI205" i="28"/>
  <c r="AD180" i="31"/>
  <c r="AH180" i="31" s="1"/>
  <c r="AE202" i="28"/>
  <c r="W181" i="31"/>
  <c r="AI179" i="31"/>
  <c r="W196" i="28"/>
  <c r="V176" i="28"/>
  <c r="AD202" i="28"/>
  <c r="AH202" i="28" s="1"/>
  <c r="AE184" i="28"/>
  <c r="AF176" i="28"/>
  <c r="U205" i="28"/>
  <c r="AG196" i="28"/>
  <c r="AF196" i="28"/>
  <c r="U181" i="31"/>
  <c r="AG179" i="31"/>
  <c r="AI181" i="31"/>
  <c r="W184" i="28"/>
  <c r="AJ179" i="31"/>
  <c r="AF164" i="31"/>
  <c r="U196" i="28"/>
  <c r="V179" i="31"/>
  <c r="W164" i="31"/>
  <c r="AJ205" i="28"/>
  <c r="W176" i="28"/>
  <c r="AG176" i="28"/>
  <c r="AJ181" i="31"/>
  <c r="W179" i="31"/>
  <c r="AF205" i="28"/>
  <c r="V184" i="28"/>
  <c r="AJ184" i="28"/>
  <c r="AG164" i="31"/>
  <c r="V189" i="28"/>
  <c r="AI224" i="31"/>
  <c r="AE169" i="28"/>
  <c r="AD179" i="31"/>
  <c r="AH179" i="31" s="1"/>
  <c r="AD165" i="31"/>
  <c r="AJ165" i="31" s="1"/>
  <c r="AE220" i="31"/>
  <c r="AE212" i="31"/>
  <c r="AD196" i="28"/>
  <c r="AH196" i="28" s="1"/>
  <c r="AE176" i="28"/>
  <c r="AD207" i="28"/>
  <c r="AH207" i="28" s="1"/>
  <c r="AD199" i="28"/>
  <c r="AH199" i="28" s="1"/>
  <c r="AD175" i="28"/>
  <c r="AH175" i="28" s="1"/>
  <c r="AD197" i="28"/>
  <c r="AH197" i="28" s="1"/>
  <c r="AD185" i="28"/>
  <c r="AH185" i="28" s="1"/>
  <c r="AD177" i="28"/>
  <c r="AH177" i="28" s="1"/>
  <c r="AD165" i="28"/>
  <c r="AJ165" i="28" s="1"/>
  <c r="AD193" i="31"/>
  <c r="AH193" i="31" s="1"/>
  <c r="AD180" i="28"/>
  <c r="AH180" i="28" s="1"/>
  <c r="AD218" i="31"/>
  <c r="AH218" i="31" s="1"/>
  <c r="AD202" i="31"/>
  <c r="AH202" i="31" s="1"/>
  <c r="AD194" i="31"/>
  <c r="AH194" i="31" s="1"/>
  <c r="AD192" i="28"/>
  <c r="AH192" i="28" s="1"/>
  <c r="V193" i="31"/>
  <c r="AF165" i="28"/>
  <c r="AD172" i="28"/>
  <c r="AH172" i="28" s="1"/>
  <c r="AF185" i="28"/>
  <c r="AD200" i="31"/>
  <c r="AH200" i="31" s="1"/>
  <c r="AD192" i="31"/>
  <c r="AH192" i="31" s="1"/>
  <c r="AD184" i="28"/>
  <c r="AH184" i="28" s="1"/>
  <c r="U201" i="31"/>
  <c r="AF220" i="31"/>
  <c r="W220" i="31"/>
  <c r="AI197" i="28"/>
  <c r="AE177" i="28"/>
  <c r="AD206" i="28"/>
  <c r="AH206" i="28" s="1"/>
  <c r="AD198" i="28"/>
  <c r="AH198" i="28" s="1"/>
  <c r="W202" i="28"/>
  <c r="W212" i="31"/>
  <c r="AJ212" i="31"/>
  <c r="AE171" i="28"/>
  <c r="U168" i="28"/>
  <c r="AG171" i="28"/>
  <c r="W171" i="28"/>
  <c r="AE185" i="31"/>
  <c r="W197" i="28"/>
  <c r="AF212" i="31"/>
  <c r="AJ217" i="31"/>
  <c r="AJ201" i="31"/>
  <c r="AE193" i="31"/>
  <c r="AJ177" i="31"/>
  <c r="AJ220" i="31"/>
  <c r="U212" i="31"/>
  <c r="AG165" i="31"/>
  <c r="AG202" i="28"/>
  <c r="AE168" i="28"/>
  <c r="AF202" i="28"/>
  <c r="AE197" i="28"/>
  <c r="U197" i="28"/>
  <c r="AG217" i="31"/>
  <c r="AF201" i="31"/>
  <c r="L214" i="29"/>
  <c r="AI220" i="31"/>
  <c r="AF193" i="31"/>
  <c r="AF177" i="31"/>
  <c r="V217" i="31"/>
  <c r="V201" i="31"/>
  <c r="AI193" i="31"/>
  <c r="U177" i="31"/>
  <c r="U220" i="31"/>
  <c r="AG212" i="31"/>
  <c r="V165" i="31"/>
  <c r="U202" i="28"/>
  <c r="W168" i="28"/>
  <c r="V197" i="28"/>
  <c r="V177" i="28"/>
  <c r="U171" i="28"/>
  <c r="AG165" i="28"/>
  <c r="AI185" i="28"/>
  <c r="AG185" i="28"/>
  <c r="V189" i="31"/>
  <c r="AE177" i="31"/>
  <c r="U217" i="31"/>
  <c r="W217" i="31"/>
  <c r="W201" i="31"/>
  <c r="AG177" i="31"/>
  <c r="AG220" i="31"/>
  <c r="V212" i="31"/>
  <c r="W165" i="31"/>
  <c r="AF197" i="28"/>
  <c r="AE165" i="28"/>
  <c r="V185" i="28"/>
  <c r="W185" i="28"/>
  <c r="U185" i="28"/>
  <c r="U189" i="31"/>
  <c r="AD181" i="31"/>
  <c r="AH181" i="31" s="1"/>
  <c r="W193" i="31"/>
  <c r="AF165" i="31"/>
  <c r="AG197" i="28"/>
  <c r="AF217" i="31"/>
  <c r="W189" i="31"/>
  <c r="AI201" i="31"/>
  <c r="AJ185" i="31"/>
  <c r="V177" i="31"/>
  <c r="AE165" i="31"/>
  <c r="V202" i="28"/>
  <c r="AF177" i="28"/>
  <c r="W165" i="28"/>
  <c r="V171" i="28"/>
  <c r="AI202" i="28"/>
  <c r="U165" i="28"/>
  <c r="AF171" i="28"/>
  <c r="AD176" i="28"/>
  <c r="AH176" i="28" s="1"/>
  <c r="AE185" i="28"/>
  <c r="AG177" i="28"/>
  <c r="AD209" i="31"/>
  <c r="AH209" i="31" s="1"/>
  <c r="E214" i="29"/>
  <c r="U165" i="31"/>
  <c r="V165" i="28"/>
  <c r="AJ202" i="28"/>
  <c r="AE217" i="31"/>
  <c r="U193" i="31"/>
  <c r="W177" i="31"/>
  <c r="V185" i="31"/>
  <c r="AG168" i="28"/>
  <c r="AF168" i="28"/>
  <c r="AI177" i="28"/>
  <c r="U177" i="28"/>
  <c r="AF185" i="31"/>
  <c r="AJ193" i="31"/>
  <c r="W185" i="31"/>
  <c r="AD201" i="31"/>
  <c r="AH201" i="31" s="1"/>
  <c r="W177" i="28"/>
  <c r="AD191" i="28"/>
  <c r="AH191" i="28" s="1"/>
  <c r="AE196" i="31"/>
  <c r="AJ204" i="31"/>
  <c r="W196" i="31"/>
  <c r="W169" i="28"/>
  <c r="V180" i="28"/>
  <c r="U180" i="28"/>
  <c r="AG172" i="28"/>
  <c r="AJ180" i="28"/>
  <c r="AI181" i="28"/>
  <c r="AE173" i="28"/>
  <c r="U173" i="28"/>
  <c r="AD184" i="31"/>
  <c r="AH184" i="31" s="1"/>
  <c r="W204" i="31"/>
  <c r="AF196" i="31"/>
  <c r="AF189" i="28"/>
  <c r="U172" i="28"/>
  <c r="AF180" i="28"/>
  <c r="W181" i="28"/>
  <c r="AF204" i="31"/>
  <c r="AI196" i="31"/>
  <c r="AF169" i="28"/>
  <c r="AI189" i="28"/>
  <c r="AE181" i="28"/>
  <c r="AI204" i="31"/>
  <c r="U196" i="31"/>
  <c r="AF173" i="28"/>
  <c r="AD193" i="28"/>
  <c r="AH193" i="28" s="1"/>
  <c r="AI206" i="28"/>
  <c r="W189" i="28"/>
  <c r="AG181" i="28"/>
  <c r="U204" i="31"/>
  <c r="AG196" i="31"/>
  <c r="V206" i="28"/>
  <c r="AE172" i="28"/>
  <c r="AE206" i="28"/>
  <c r="AE189" i="28"/>
  <c r="U181" i="28"/>
  <c r="V196" i="31"/>
  <c r="AF181" i="28"/>
  <c r="W172" i="28"/>
  <c r="V172" i="28"/>
  <c r="AE204" i="31"/>
  <c r="AD189" i="28"/>
  <c r="AH189" i="28" s="1"/>
  <c r="AD181" i="28"/>
  <c r="AH181" i="28" s="1"/>
  <c r="AD173" i="28"/>
  <c r="AH173" i="28" s="1"/>
  <c r="AG189" i="31"/>
  <c r="AD167" i="28"/>
  <c r="AJ167" i="28" s="1"/>
  <c r="U216" i="31"/>
  <c r="AJ176" i="31"/>
  <c r="W178" i="31"/>
  <c r="AE193" i="28"/>
  <c r="U197" i="31"/>
  <c r="AE224" i="31"/>
  <c r="AF224" i="31"/>
  <c r="AE184" i="31"/>
  <c r="AD197" i="31"/>
  <c r="AH197" i="31" s="1"/>
  <c r="AE205" i="31"/>
  <c r="AF176" i="31"/>
  <c r="V216" i="31"/>
  <c r="AJ184" i="31"/>
  <c r="AG176" i="31"/>
  <c r="AE192" i="28"/>
  <c r="W224" i="31"/>
  <c r="AF189" i="31"/>
  <c r="AI205" i="31"/>
  <c r="AJ224" i="31"/>
  <c r="AG184" i="31"/>
  <c r="W176" i="31"/>
  <c r="AI216" i="31"/>
  <c r="AI184" i="31"/>
  <c r="AF184" i="31"/>
  <c r="U224" i="31"/>
  <c r="V184" i="31"/>
  <c r="W226" i="31"/>
  <c r="AE216" i="31"/>
  <c r="AF226" i="31"/>
  <c r="AF178" i="31"/>
  <c r="W192" i="28"/>
  <c r="AI178" i="31"/>
  <c r="AJ197" i="31"/>
  <c r="V208" i="31"/>
  <c r="U178" i="31"/>
  <c r="W188" i="28"/>
  <c r="V197" i="31"/>
  <c r="AG178" i="31"/>
  <c r="AJ205" i="31"/>
  <c r="W197" i="31"/>
  <c r="V178" i="31"/>
  <c r="V226" i="31"/>
  <c r="V205" i="31"/>
  <c r="AE197" i="31"/>
  <c r="AG192" i="28"/>
  <c r="AI226" i="31"/>
  <c r="W205" i="31"/>
  <c r="AI197" i="31"/>
  <c r="AE178" i="31"/>
  <c r="V192" i="28"/>
  <c r="U205" i="31"/>
  <c r="AD183" i="28"/>
  <c r="AH183" i="28" s="1"/>
  <c r="S15" i="29"/>
  <c r="AG197" i="31"/>
  <c r="AJ192" i="28"/>
  <c r="AF192" i="28"/>
  <c r="AD168" i="28"/>
  <c r="AJ168" i="28" s="1"/>
  <c r="AG226" i="31"/>
  <c r="AF205" i="31"/>
  <c r="AD170" i="28"/>
  <c r="AH170" i="28" s="1"/>
  <c r="U226" i="31"/>
  <c r="U192" i="28"/>
  <c r="AF188" i="28"/>
  <c r="AD179" i="28"/>
  <c r="AH179" i="28" s="1"/>
  <c r="AD171" i="28"/>
  <c r="AH171" i="28" s="1"/>
  <c r="AH168" i="28"/>
  <c r="V180" i="31"/>
  <c r="AG200" i="31"/>
  <c r="AJ201" i="28"/>
  <c r="AE167" i="28"/>
  <c r="U170" i="28"/>
  <c r="U213" i="31"/>
  <c r="AG193" i="28"/>
  <c r="W180" i="31"/>
  <c r="V200" i="31"/>
  <c r="U201" i="28"/>
  <c r="AF201" i="28"/>
  <c r="W167" i="28"/>
  <c r="AE201" i="28"/>
  <c r="U193" i="28"/>
  <c r="AJ213" i="31"/>
  <c r="AE180" i="31"/>
  <c r="AJ192" i="31"/>
  <c r="AE170" i="28"/>
  <c r="V201" i="28"/>
  <c r="AD195" i="28"/>
  <c r="AH195" i="28" s="1"/>
  <c r="AG189" i="28"/>
  <c r="V213" i="31"/>
  <c r="AI180" i="31"/>
  <c r="U192" i="31"/>
  <c r="W170" i="28"/>
  <c r="V170" i="28"/>
  <c r="V193" i="28"/>
  <c r="AF170" i="28"/>
  <c r="AF180" i="31"/>
  <c r="AF213" i="31"/>
  <c r="AF200" i="31"/>
  <c r="AE200" i="31"/>
  <c r="W213" i="31"/>
  <c r="AG192" i="31"/>
  <c r="AD203" i="28"/>
  <c r="AH203" i="28" s="1"/>
  <c r="AG180" i="31"/>
  <c r="AG213" i="31"/>
  <c r="AF192" i="31"/>
  <c r="V192" i="31"/>
  <c r="AG167" i="28"/>
  <c r="AI193" i="28"/>
  <c r="W201" i="28"/>
  <c r="AE192" i="31"/>
  <c r="AD189" i="31"/>
  <c r="AJ189" i="31" s="1"/>
  <c r="AJ200" i="31"/>
  <c r="V167" i="28"/>
  <c r="AG170" i="28"/>
  <c r="AI201" i="28"/>
  <c r="W193" i="28"/>
  <c r="AI200" i="31"/>
  <c r="AE213" i="31"/>
  <c r="AG169" i="28"/>
  <c r="U188" i="28"/>
  <c r="AE208" i="31"/>
  <c r="AD169" i="28"/>
  <c r="AH169" i="28" s="1"/>
  <c r="V188" i="28"/>
  <c r="W208" i="31"/>
  <c r="AJ208" i="31"/>
  <c r="U208" i="31"/>
  <c r="AG208" i="31"/>
  <c r="AI208" i="31"/>
  <c r="U15" i="29"/>
  <c r="AD188" i="28"/>
  <c r="AI188" i="28" s="1"/>
  <c r="AI189" i="31"/>
  <c r="AG188" i="28"/>
  <c r="T76" i="30"/>
  <c r="T77" i="30" s="1"/>
  <c r="L76" i="30"/>
  <c r="L77" i="30" s="1"/>
  <c r="AO28" i="31"/>
  <c r="AP28" i="31" s="1"/>
  <c r="AB28" i="31"/>
  <c r="AC28" i="31" s="1"/>
  <c r="AC30" i="31" s="1"/>
  <c r="J34" i="31" s="1"/>
  <c r="C201" i="32" s="1"/>
  <c r="AB29" i="31"/>
  <c r="AC29" i="31" s="1"/>
  <c r="M214" i="29"/>
  <c r="H214" i="29"/>
  <c r="AN217" i="32"/>
  <c r="P214" i="29"/>
  <c r="AD187" i="28"/>
  <c r="AH187" i="28" s="1"/>
  <c r="U188" i="31"/>
  <c r="AG188" i="31"/>
  <c r="U221" i="31"/>
  <c r="AD217" i="31"/>
  <c r="AH217" i="31" s="1"/>
  <c r="AG221" i="31"/>
  <c r="V166" i="28"/>
  <c r="AD166" i="28"/>
  <c r="AH166" i="28" s="1"/>
  <c r="AE226" i="31"/>
  <c r="AE166" i="28"/>
  <c r="AG166" i="28"/>
  <c r="AF166" i="28"/>
  <c r="W166" i="28"/>
  <c r="W188" i="31"/>
  <c r="V188" i="31"/>
  <c r="AD185" i="31"/>
  <c r="AH185" i="31" s="1"/>
  <c r="AE188" i="31"/>
  <c r="W221" i="31"/>
  <c r="AI221" i="31"/>
  <c r="V221" i="31"/>
  <c r="AD195" i="31"/>
  <c r="AH195" i="31" s="1"/>
  <c r="AJ221" i="31"/>
  <c r="AH167" i="28"/>
  <c r="AD205" i="31"/>
  <c r="AH205" i="31" s="1"/>
  <c r="AE221" i="31"/>
  <c r="AD225" i="31"/>
  <c r="AH225" i="31" s="1"/>
  <c r="AD208" i="31"/>
  <c r="AH208" i="31" s="1"/>
  <c r="AD176" i="31"/>
  <c r="AH176" i="31" s="1"/>
  <c r="AG225" i="31"/>
  <c r="AD213" i="31"/>
  <c r="AH213" i="31" s="1"/>
  <c r="V225" i="31"/>
  <c r="AE225" i="31"/>
  <c r="W225" i="31"/>
  <c r="AF225" i="31"/>
  <c r="AI225" i="31"/>
  <c r="AD203" i="31"/>
  <c r="AH203" i="31" s="1"/>
  <c r="AJ225" i="31"/>
  <c r="AD221" i="31"/>
  <c r="AH221" i="31" s="1"/>
  <c r="B109" i="30"/>
  <c r="B112" i="30" s="1"/>
  <c r="AI166" i="28"/>
  <c r="AE164" i="31"/>
  <c r="AD172" i="31"/>
  <c r="AH172" i="31" s="1"/>
  <c r="AR101" i="31"/>
  <c r="BZ105" i="31" s="1"/>
  <c r="AD210" i="31"/>
  <c r="AH210" i="31" s="1"/>
  <c r="AD188" i="31"/>
  <c r="AH188" i="31" s="1"/>
  <c r="AD178" i="31"/>
  <c r="AH178" i="31" s="1"/>
  <c r="AK231" i="32"/>
  <c r="AO231" i="32" s="1"/>
  <c r="AR231" i="32" s="1"/>
  <c r="AS231" i="32" s="1"/>
  <c r="AT231" i="32" s="1"/>
  <c r="AW231" i="32" s="1"/>
  <c r="AD219" i="31"/>
  <c r="AH219" i="31" s="1"/>
  <c r="AD168" i="31"/>
  <c r="AH168" i="31" s="1"/>
  <c r="O214" i="29"/>
  <c r="AJ209" i="31"/>
  <c r="X214" i="29"/>
  <c r="V209" i="31"/>
  <c r="AD204" i="31"/>
  <c r="AH204" i="31" s="1"/>
  <c r="W209" i="31"/>
  <c r="K11" i="29"/>
  <c r="K13" i="29" s="1"/>
  <c r="AF209" i="31"/>
  <c r="BR101" i="31"/>
  <c r="AE209" i="31"/>
  <c r="U209" i="31"/>
  <c r="AI209" i="31"/>
  <c r="Y132" i="32"/>
  <c r="BH61" i="30"/>
  <c r="BH107" i="30" s="1"/>
  <c r="BE62" i="30"/>
  <c r="BE108" i="30" s="1"/>
  <c r="AD187" i="31"/>
  <c r="AH187" i="31" s="1"/>
  <c r="BF62" i="30"/>
  <c r="BF108" i="30" s="1"/>
  <c r="BL75" i="30"/>
  <c r="C16" i="29"/>
  <c r="BC71" i="30"/>
  <c r="BB60" i="30"/>
  <c r="BB106" i="30" s="1"/>
  <c r="BK74" i="30"/>
  <c r="BN75" i="30"/>
  <c r="BD72" i="30"/>
  <c r="K16" i="29"/>
  <c r="K18" i="29" s="1"/>
  <c r="K22" i="29" s="1"/>
  <c r="BL63" i="30"/>
  <c r="BL109" i="30" s="1"/>
  <c r="BK73" i="30"/>
  <c r="BG74" i="30"/>
  <c r="AD220" i="31"/>
  <c r="AH220" i="31" s="1"/>
  <c r="AD174" i="31"/>
  <c r="AH174" i="31" s="1"/>
  <c r="DG82" i="30"/>
  <c r="BM62" i="30"/>
  <c r="BM108" i="30" s="1"/>
  <c r="BK61" i="30"/>
  <c r="BK107" i="30" s="1"/>
  <c r="D214" i="29"/>
  <c r="S214" i="29"/>
  <c r="G214" i="29"/>
  <c r="AV101" i="31"/>
  <c r="BZ109" i="31" s="1"/>
  <c r="C191" i="32"/>
  <c r="C275" i="32" s="1"/>
  <c r="C214" i="29"/>
  <c r="AD216" i="31"/>
  <c r="AH216" i="31" s="1"/>
  <c r="W214" i="29"/>
  <c r="AD196" i="31"/>
  <c r="AH196" i="31" s="1"/>
  <c r="AE201" i="31"/>
  <c r="AD212" i="31"/>
  <c r="AH212" i="31" s="1"/>
  <c r="BJ101" i="31"/>
  <c r="AC108" i="31"/>
  <c r="CA90" i="31" s="1"/>
  <c r="BF101" i="31"/>
  <c r="AT101" i="31"/>
  <c r="BZ107" i="31" s="1"/>
  <c r="AC101" i="31"/>
  <c r="BZ90" i="31" s="1"/>
  <c r="AS101" i="31"/>
  <c r="BZ106" i="31" s="1"/>
  <c r="AX101" i="31"/>
  <c r="BZ111" i="31" s="1"/>
  <c r="AB101" i="31"/>
  <c r="BZ89" i="31" s="1"/>
  <c r="AD175" i="31"/>
  <c r="AH175" i="31" s="1"/>
  <c r="AP29" i="31"/>
  <c r="J35" i="31" s="1"/>
  <c r="C202" i="32" s="1"/>
  <c r="BP64" i="30"/>
  <c r="BP110" i="30" s="1"/>
  <c r="BO75" i="30"/>
  <c r="BH74" i="30"/>
  <c r="BH82" i="30" s="1"/>
  <c r="BI63" i="30"/>
  <c r="BI109" i="30" s="1"/>
  <c r="BA63" i="30"/>
  <c r="BA109" i="30" s="1"/>
  <c r="BD74" i="30"/>
  <c r="BC74" i="30"/>
  <c r="AX82" i="30"/>
  <c r="BP82" i="30"/>
  <c r="BG62" i="30"/>
  <c r="BG108" i="30" s="1"/>
  <c r="AZ82" i="30"/>
  <c r="BJ73" i="30"/>
  <c r="BL62" i="30"/>
  <c r="BL108" i="30" s="1"/>
  <c r="BI62" i="30"/>
  <c r="BI108" i="30" s="1"/>
  <c r="BC61" i="30"/>
  <c r="BC107" i="30" s="1"/>
  <c r="BJ61" i="30"/>
  <c r="BJ107" i="30" s="1"/>
  <c r="BH81" i="30"/>
  <c r="AZ81" i="30"/>
  <c r="BG61" i="30"/>
  <c r="BG107" i="30" s="1"/>
  <c r="BL61" i="30"/>
  <c r="BL107" i="30" s="1"/>
  <c r="BE71" i="30"/>
  <c r="BD71" i="30"/>
  <c r="C251" i="32"/>
  <c r="D251" i="32" s="1"/>
  <c r="B95" i="30"/>
  <c r="D95" i="30" s="1"/>
  <c r="AK191" i="32"/>
  <c r="AO191" i="32" s="1"/>
  <c r="AO192" i="32" s="1"/>
  <c r="AL209" i="32" s="1"/>
  <c r="T247" i="31"/>
  <c r="X247" i="31" s="1"/>
  <c r="L132" i="32"/>
  <c r="K110" i="31"/>
  <c r="AO169" i="31"/>
  <c r="C77" i="32" s="1"/>
  <c r="AD171" i="31"/>
  <c r="AH171" i="31" s="1"/>
  <c r="CS83" i="30"/>
  <c r="BF82" i="30"/>
  <c r="EA81" i="30"/>
  <c r="DS81" i="30"/>
  <c r="DK81" i="30"/>
  <c r="CY83" i="30"/>
  <c r="CQ83" i="30"/>
  <c r="CI83" i="30"/>
  <c r="O60" i="29"/>
  <c r="O64" i="29" s="1"/>
  <c r="E41" i="29"/>
  <c r="E42" i="29" s="1"/>
  <c r="E28" i="29" s="1"/>
  <c r="E33" i="29" s="1"/>
  <c r="E38" i="29"/>
  <c r="E36" i="29"/>
  <c r="E40" i="29"/>
  <c r="E27" i="29" s="1"/>
  <c r="E32" i="29" s="1"/>
  <c r="E37" i="29"/>
  <c r="P36" i="29"/>
  <c r="P41" i="29"/>
  <c r="P42" i="29" s="1"/>
  <c r="P28" i="29" s="1"/>
  <c r="P33" i="29" s="1"/>
  <c r="P37" i="29"/>
  <c r="P40" i="29"/>
  <c r="P27" i="29" s="1"/>
  <c r="P38" i="29"/>
  <c r="V40" i="29"/>
  <c r="V27" i="29" s="1"/>
  <c r="V32" i="29" s="1"/>
  <c r="V36" i="29"/>
  <c r="V38" i="29"/>
  <c r="V39" i="29" s="1"/>
  <c r="V41" i="29"/>
  <c r="V42" i="29" s="1"/>
  <c r="V28" i="29" s="1"/>
  <c r="V33" i="29" s="1"/>
  <c r="F38" i="29"/>
  <c r="F37" i="29"/>
  <c r="F41" i="29"/>
  <c r="F42" i="29" s="1"/>
  <c r="F28" i="29" s="1"/>
  <c r="F33" i="29" s="1"/>
  <c r="F40" i="29"/>
  <c r="F27" i="29" s="1"/>
  <c r="F32" i="29" s="1"/>
  <c r="F36" i="29"/>
  <c r="F39" i="29" s="1"/>
  <c r="F43" i="29" s="1"/>
  <c r="G40" i="29"/>
  <c r="G27" i="29" s="1"/>
  <c r="G32" i="29" s="1"/>
  <c r="G37" i="29"/>
  <c r="G38" i="29"/>
  <c r="G36" i="29"/>
  <c r="G41" i="29"/>
  <c r="G42" i="29" s="1"/>
  <c r="G28" i="29" s="1"/>
  <c r="G33" i="29" s="1"/>
  <c r="C37" i="29"/>
  <c r="C36" i="29"/>
  <c r="C38" i="29"/>
  <c r="S16" i="29"/>
  <c r="C127" i="32"/>
  <c r="D127" i="32" s="1"/>
  <c r="Z141" i="32"/>
  <c r="AD207" i="31"/>
  <c r="AH207" i="31" s="1"/>
  <c r="AD211" i="31"/>
  <c r="AH211" i="31" s="1"/>
  <c r="DU82" i="30"/>
  <c r="CK83" i="30"/>
  <c r="BL84" i="30"/>
  <c r="AV84" i="30"/>
  <c r="P32" i="29"/>
  <c r="BJ3" i="29"/>
  <c r="AV81" i="30"/>
  <c r="DW81" i="30"/>
  <c r="DO81" i="30"/>
  <c r="DG81" i="30"/>
  <c r="CU83" i="30"/>
  <c r="CM83" i="30"/>
  <c r="CE83" i="30"/>
  <c r="BL83" i="30"/>
  <c r="AV83" i="30"/>
  <c r="BK3" i="29"/>
  <c r="AC228" i="28"/>
  <c r="K40" i="28" s="1"/>
  <c r="Q41" i="29"/>
  <c r="Q42" i="29" s="1"/>
  <c r="Q28" i="29" s="1"/>
  <c r="Q33" i="29" s="1"/>
  <c r="Q40" i="29"/>
  <c r="Q27" i="29" s="1"/>
  <c r="Q32" i="29" s="1"/>
  <c r="Q38" i="29"/>
  <c r="Q37" i="29"/>
  <c r="Q36" i="29"/>
  <c r="L40" i="29"/>
  <c r="L27" i="29" s="1"/>
  <c r="L32" i="29" s="1"/>
  <c r="L36" i="29"/>
  <c r="L41" i="29"/>
  <c r="L42" i="29" s="1"/>
  <c r="L28" i="29" s="1"/>
  <c r="L33" i="29" s="1"/>
  <c r="L38" i="29"/>
  <c r="L37" i="29"/>
  <c r="R38" i="29"/>
  <c r="R37" i="29"/>
  <c r="R40" i="29"/>
  <c r="R27" i="29" s="1"/>
  <c r="R41" i="29"/>
  <c r="R42" i="29" s="1"/>
  <c r="R28" i="29" s="1"/>
  <c r="R33" i="29" s="1"/>
  <c r="R36" i="29"/>
  <c r="Z37" i="29"/>
  <c r="Z38" i="29"/>
  <c r="Z36" i="29"/>
  <c r="Z41" i="29"/>
  <c r="Z42" i="29" s="1"/>
  <c r="Z28" i="29" s="1"/>
  <c r="Z33" i="29" s="1"/>
  <c r="Z40" i="29"/>
  <c r="Z27" i="29" s="1"/>
  <c r="Z32" i="29" s="1"/>
  <c r="AD141" i="32"/>
  <c r="V132" i="32"/>
  <c r="R141" i="32"/>
  <c r="N137" i="32"/>
  <c r="AC141" i="32"/>
  <c r="U141" i="32"/>
  <c r="M141" i="32"/>
  <c r="AD223" i="31"/>
  <c r="AH223" i="31" s="1"/>
  <c r="AD199" i="31"/>
  <c r="AH199" i="31" s="1"/>
  <c r="DM82" i="30"/>
  <c r="CC83" i="30"/>
  <c r="BG3" i="29"/>
  <c r="M41" i="29"/>
  <c r="M42" i="29" s="1"/>
  <c r="M28" i="29" s="1"/>
  <c r="M33" i="29" s="1"/>
  <c r="M38" i="29"/>
  <c r="M37" i="29"/>
  <c r="M40" i="29"/>
  <c r="M27" i="29" s="1"/>
  <c r="M32" i="29" s="1"/>
  <c r="M36" i="29"/>
  <c r="X38" i="29"/>
  <c r="X37" i="29"/>
  <c r="X41" i="29"/>
  <c r="X42" i="29" s="1"/>
  <c r="X28" i="29" s="1"/>
  <c r="X33" i="29" s="1"/>
  <c r="X40" i="29"/>
  <c r="X27" i="29" s="1"/>
  <c r="X32" i="29" s="1"/>
  <c r="H36" i="29"/>
  <c r="H41" i="29"/>
  <c r="H42" i="29" s="1"/>
  <c r="H28" i="29" s="1"/>
  <c r="H33" i="29" s="1"/>
  <c r="H40" i="29"/>
  <c r="H27" i="29" s="1"/>
  <c r="H32" i="29" s="1"/>
  <c r="H38" i="29"/>
  <c r="H37" i="29"/>
  <c r="N40" i="29"/>
  <c r="N27" i="29" s="1"/>
  <c r="N32" i="29" s="1"/>
  <c r="N38" i="29"/>
  <c r="N37" i="29"/>
  <c r="N41" i="29"/>
  <c r="N42" i="29" s="1"/>
  <c r="N28" i="29" s="1"/>
  <c r="N33" i="29" s="1"/>
  <c r="N36" i="29"/>
  <c r="N39" i="29" s="1"/>
  <c r="V137" i="32"/>
  <c r="J132" i="32"/>
  <c r="Y137" i="32"/>
  <c r="I137" i="32"/>
  <c r="AC132" i="32"/>
  <c r="AB132" i="32"/>
  <c r="T141" i="32"/>
  <c r="AE132" i="32"/>
  <c r="AA137" i="32"/>
  <c r="O132" i="32"/>
  <c r="AF188" i="31"/>
  <c r="AU101" i="31"/>
  <c r="BZ108" i="31" s="1"/>
  <c r="BP101" i="31"/>
  <c r="AP101" i="31"/>
  <c r="BZ103" i="31" s="1"/>
  <c r="DE82" i="30"/>
  <c r="BN82" i="30"/>
  <c r="DU84" i="30"/>
  <c r="DM84" i="30"/>
  <c r="DE84" i="30"/>
  <c r="CK81" i="30"/>
  <c r="CC81" i="30"/>
  <c r="BN83" i="30"/>
  <c r="AX83" i="30"/>
  <c r="BP81" i="30"/>
  <c r="X39" i="29"/>
  <c r="EA84" i="30"/>
  <c r="DS84" i="30"/>
  <c r="DK84" i="30"/>
  <c r="CY82" i="30"/>
  <c r="CQ82" i="30"/>
  <c r="CI82" i="30"/>
  <c r="BP84" i="30"/>
  <c r="BH84" i="30"/>
  <c r="AZ84" i="30"/>
  <c r="BL81" i="30"/>
  <c r="I41" i="29"/>
  <c r="I42" i="29" s="1"/>
  <c r="I28" i="29" s="1"/>
  <c r="I33" i="29" s="1"/>
  <c r="I38" i="29"/>
  <c r="I36" i="29"/>
  <c r="I40" i="29"/>
  <c r="I27" i="29" s="1"/>
  <c r="I32" i="29" s="1"/>
  <c r="I37" i="29"/>
  <c r="T36" i="29"/>
  <c r="T41" i="29"/>
  <c r="T42" i="29" s="1"/>
  <c r="T28" i="29" s="1"/>
  <c r="T33" i="29" s="1"/>
  <c r="T40" i="29"/>
  <c r="T27" i="29" s="1"/>
  <c r="T38" i="29"/>
  <c r="T37" i="29"/>
  <c r="D36" i="29"/>
  <c r="D41" i="29"/>
  <c r="D42" i="29" s="1"/>
  <c r="D28" i="29" s="1"/>
  <c r="D33" i="29" s="1"/>
  <c r="D37" i="29"/>
  <c r="D40" i="29"/>
  <c r="D27" i="29" s="1"/>
  <c r="D32" i="29" s="1"/>
  <c r="D38" i="29"/>
  <c r="J38" i="29"/>
  <c r="J40" i="29"/>
  <c r="J27" i="29" s="1"/>
  <c r="J37" i="29"/>
  <c r="J36" i="29"/>
  <c r="J41" i="29"/>
  <c r="J42" i="29" s="1"/>
  <c r="J28" i="29" s="1"/>
  <c r="J33" i="29" s="1"/>
  <c r="W41" i="29"/>
  <c r="W42" i="29" s="1"/>
  <c r="W28" i="29" s="1"/>
  <c r="W33" i="29" s="1"/>
  <c r="W40" i="29"/>
  <c r="W27" i="29" s="1"/>
  <c r="W32" i="29" s="1"/>
  <c r="W38" i="29"/>
  <c r="W37" i="29"/>
  <c r="W36" i="29"/>
  <c r="W39" i="29" s="1"/>
  <c r="W43" i="29" s="1"/>
  <c r="S37" i="29"/>
  <c r="S36" i="29"/>
  <c r="S41" i="29"/>
  <c r="S42" i="29" s="1"/>
  <c r="S28" i="29" s="1"/>
  <c r="S33" i="29" s="1"/>
  <c r="S38" i="29"/>
  <c r="S40" i="29"/>
  <c r="S27" i="29" s="1"/>
  <c r="S32" i="29" s="1"/>
  <c r="O37" i="29"/>
  <c r="O36" i="29"/>
  <c r="O38" i="29"/>
  <c r="O41" i="29"/>
  <c r="O42" i="29" s="1"/>
  <c r="O28" i="29" s="1"/>
  <c r="O33" i="29" s="1"/>
  <c r="O40" i="29"/>
  <c r="O27" i="29" s="1"/>
  <c r="O32" i="29" s="1"/>
  <c r="K37" i="29"/>
  <c r="K40" i="29"/>
  <c r="K27" i="29" s="1"/>
  <c r="K32" i="29" s="1"/>
  <c r="K36" i="29"/>
  <c r="K41" i="29"/>
  <c r="K42" i="29" s="1"/>
  <c r="K28" i="29" s="1"/>
  <c r="K33" i="29" s="1"/>
  <c r="K38" i="29"/>
  <c r="BL3" i="29"/>
  <c r="BB101" i="31"/>
  <c r="AN101" i="31"/>
  <c r="BZ101" i="31" s="1"/>
  <c r="AG101" i="31"/>
  <c r="BZ94" i="31" s="1"/>
  <c r="AW101" i="31"/>
  <c r="BZ110" i="31" s="1"/>
  <c r="BT108" i="31"/>
  <c r="BG108" i="31"/>
  <c r="BC108" i="31"/>
  <c r="AD108" i="31"/>
  <c r="CA91" i="31" s="1"/>
  <c r="AT108" i="31"/>
  <c r="CA107" i="31" s="1"/>
  <c r="AZ101" i="31"/>
  <c r="BZ113" i="31" s="1"/>
  <c r="AR94" i="31"/>
  <c r="BY105" i="31" s="1"/>
  <c r="BH94" i="31"/>
  <c r="BV101" i="31"/>
  <c r="AQ101" i="31"/>
  <c r="BZ104" i="31" s="1"/>
  <c r="BG101" i="31"/>
  <c r="AI101" i="31"/>
  <c r="BZ96" i="31" s="1"/>
  <c r="AK101" i="31"/>
  <c r="BZ98" i="31" s="1"/>
  <c r="BD108" i="31"/>
  <c r="BI108" i="31"/>
  <c r="AO108" i="31"/>
  <c r="CA102" i="31" s="1"/>
  <c r="BU94" i="31"/>
  <c r="AK94" i="31"/>
  <c r="BY98" i="31" s="1"/>
  <c r="AP94" i="31"/>
  <c r="BY103" i="31" s="1"/>
  <c r="BF94" i="31"/>
  <c r="BV94" i="31"/>
  <c r="BG94" i="31"/>
  <c r="AJ101" i="31"/>
  <c r="BZ97" i="31" s="1"/>
  <c r="AF101" i="31"/>
  <c r="BZ93" i="31" s="1"/>
  <c r="AE101" i="31"/>
  <c r="BZ92" i="31" s="1"/>
  <c r="AY108" i="31"/>
  <c r="CA112" i="31" s="1"/>
  <c r="BC101" i="31"/>
  <c r="BS101" i="31"/>
  <c r="AL101" i="31"/>
  <c r="BZ99" i="31" s="1"/>
  <c r="DQ117" i="30"/>
  <c r="S7" i="30" s="1"/>
  <c r="CX117" i="30"/>
  <c r="AC6" i="30" s="1"/>
  <c r="DI117" i="30"/>
  <c r="K7" i="30" s="1"/>
  <c r="DS117" i="30"/>
  <c r="U7" i="30" s="1"/>
  <c r="CI117" i="30"/>
  <c r="N6" i="30" s="1"/>
  <c r="CG117" i="30"/>
  <c r="L6" i="30" s="1"/>
  <c r="BR117" i="30"/>
  <c r="AC5" i="30" s="1"/>
  <c r="CW117" i="30"/>
  <c r="AB6" i="30" s="1"/>
  <c r="CY117" i="30"/>
  <c r="AD6" i="30" s="1"/>
  <c r="DY117" i="30"/>
  <c r="AA7" i="30" s="1"/>
  <c r="CO117" i="30"/>
  <c r="T6" i="30" s="1"/>
  <c r="AB228" i="31"/>
  <c r="R34" i="31" s="1"/>
  <c r="B39" i="31" s="1"/>
  <c r="AA228" i="31"/>
  <c r="AO167" i="31"/>
  <c r="AO170" i="28"/>
  <c r="EB84" i="30"/>
  <c r="EB83" i="30"/>
  <c r="EB82" i="30"/>
  <c r="EB81" i="30"/>
  <c r="DT84" i="30"/>
  <c r="DT83" i="30"/>
  <c r="DT82" i="30"/>
  <c r="DT81" i="30"/>
  <c r="DL84" i="30"/>
  <c r="DL83" i="30"/>
  <c r="DL82" i="30"/>
  <c r="DL81" i="30"/>
  <c r="CV82" i="30"/>
  <c r="CV81" i="30"/>
  <c r="CV84" i="30"/>
  <c r="CV83" i="30"/>
  <c r="CN82" i="30"/>
  <c r="CN81" i="30"/>
  <c r="CN84" i="30"/>
  <c r="CN83" i="30"/>
  <c r="CF82" i="30"/>
  <c r="CF81" i="30"/>
  <c r="CF84" i="30"/>
  <c r="CF83" i="30"/>
  <c r="BQ83" i="30"/>
  <c r="BQ84" i="30"/>
  <c r="BQ82" i="30"/>
  <c r="BQ81" i="30"/>
  <c r="BI83" i="30"/>
  <c r="BI84" i="30"/>
  <c r="BI82" i="30"/>
  <c r="BI81" i="30"/>
  <c r="BA83" i="30"/>
  <c r="BA84" i="30"/>
  <c r="BA82" i="30"/>
  <c r="BA81" i="30"/>
  <c r="M16" i="29"/>
  <c r="I19" i="29"/>
  <c r="I6" i="29" s="1"/>
  <c r="I15" i="29"/>
  <c r="I17" i="29"/>
  <c r="I16" i="29"/>
  <c r="CS81" i="30"/>
  <c r="BF83" i="30"/>
  <c r="W17" i="29"/>
  <c r="W19" i="29"/>
  <c r="W6" i="29" s="1"/>
  <c r="W15" i="29"/>
  <c r="W16" i="29"/>
  <c r="AG194" i="28"/>
  <c r="U194" i="28"/>
  <c r="AJ194" i="28"/>
  <c r="AF194" i="28"/>
  <c r="AI194" i="28"/>
  <c r="AE194" i="28"/>
  <c r="W194" i="28"/>
  <c r="V194" i="28"/>
  <c r="AG178" i="28"/>
  <c r="U178" i="28"/>
  <c r="AJ178" i="28"/>
  <c r="AF178" i="28"/>
  <c r="AI178" i="28"/>
  <c r="AE178" i="28"/>
  <c r="W178" i="28"/>
  <c r="V178" i="28"/>
  <c r="DZ117" i="30"/>
  <c r="AB7" i="30" s="1"/>
  <c r="DR117" i="30"/>
  <c r="T7" i="30" s="1"/>
  <c r="DJ117" i="30"/>
  <c r="L7" i="30" s="1"/>
  <c r="CP117" i="30"/>
  <c r="U6" i="30" s="1"/>
  <c r="CH117" i="30"/>
  <c r="M6" i="30" s="1"/>
  <c r="BS117" i="30"/>
  <c r="AD5" i="30" s="1"/>
  <c r="M17" i="29"/>
  <c r="V198" i="28"/>
  <c r="AG198" i="28"/>
  <c r="U198" i="28"/>
  <c r="AJ198" i="28"/>
  <c r="AF198" i="28"/>
  <c r="AI198" i="28"/>
  <c r="AE198" i="28"/>
  <c r="W198" i="28"/>
  <c r="H62" i="29"/>
  <c r="H63" i="29" s="1"/>
  <c r="H49" i="29" s="1"/>
  <c r="H54" i="29" s="1"/>
  <c r="H61" i="29"/>
  <c r="H48" i="29" s="1"/>
  <c r="H59" i="29"/>
  <c r="H58" i="29"/>
  <c r="H57" i="29"/>
  <c r="X62" i="29"/>
  <c r="X63" i="29" s="1"/>
  <c r="X49" i="29" s="1"/>
  <c r="X54" i="29" s="1"/>
  <c r="X61" i="29"/>
  <c r="X48" i="29" s="1"/>
  <c r="X59" i="29"/>
  <c r="X58" i="29"/>
  <c r="X57" i="29"/>
  <c r="Q62" i="29"/>
  <c r="Q63" i="29" s="1"/>
  <c r="Q49" i="29" s="1"/>
  <c r="Q54" i="29" s="1"/>
  <c r="Q61" i="29"/>
  <c r="Q48" i="29" s="1"/>
  <c r="Q53" i="29" s="1"/>
  <c r="Q59" i="29"/>
  <c r="Q58" i="29"/>
  <c r="Q57" i="29"/>
  <c r="J62" i="29"/>
  <c r="J63" i="29" s="1"/>
  <c r="J49" i="29" s="1"/>
  <c r="J54" i="29" s="1"/>
  <c r="J61" i="29"/>
  <c r="J48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O16" i="29"/>
  <c r="R16" i="29"/>
  <c r="R17" i="29"/>
  <c r="R15" i="29"/>
  <c r="R19" i="29"/>
  <c r="R6" i="29" s="1"/>
  <c r="H16" i="29"/>
  <c r="H19" i="29"/>
  <c r="H6" i="29" s="1"/>
  <c r="H17" i="29"/>
  <c r="H15" i="29"/>
  <c r="X16" i="29"/>
  <c r="X19" i="29"/>
  <c r="X6" i="29" s="1"/>
  <c r="X17" i="29"/>
  <c r="X15" i="29"/>
  <c r="AK224" i="32"/>
  <c r="AO224" i="32" s="1"/>
  <c r="AN215" i="32"/>
  <c r="AI207" i="28"/>
  <c r="AE207" i="28"/>
  <c r="W207" i="28"/>
  <c r="V207" i="28"/>
  <c r="AG207" i="28"/>
  <c r="U207" i="28"/>
  <c r="AJ207" i="28"/>
  <c r="AF207" i="28"/>
  <c r="V195" i="28"/>
  <c r="U195" i="28"/>
  <c r="AG195" i="28"/>
  <c r="AJ195" i="28"/>
  <c r="AF195" i="28"/>
  <c r="AI195" i="28"/>
  <c r="AE195" i="28"/>
  <c r="W195" i="28"/>
  <c r="V179" i="28"/>
  <c r="AG179" i="28"/>
  <c r="U179" i="28"/>
  <c r="AJ179" i="28"/>
  <c r="AF179" i="28"/>
  <c r="AI179" i="28"/>
  <c r="AE179" i="28"/>
  <c r="W179" i="28"/>
  <c r="AA228" i="28"/>
  <c r="K42" i="28" s="1"/>
  <c r="AO167" i="28"/>
  <c r="Z34" i="28"/>
  <c r="K37" i="28" s="1"/>
  <c r="C93" i="32" s="1"/>
  <c r="X34" i="28"/>
  <c r="K35" i="28" s="1"/>
  <c r="X234" i="31"/>
  <c r="X272" i="31"/>
  <c r="K141" i="32"/>
  <c r="BZ174" i="32"/>
  <c r="BZ139" i="32"/>
  <c r="L111" i="31"/>
  <c r="AG183" i="31"/>
  <c r="U183" i="31"/>
  <c r="AJ183" i="31"/>
  <c r="AF183" i="31"/>
  <c r="AI183" i="31"/>
  <c r="AE183" i="31"/>
  <c r="W183" i="31"/>
  <c r="V183" i="31"/>
  <c r="AD222" i="31"/>
  <c r="AH222" i="31" s="1"/>
  <c r="AF166" i="31"/>
  <c r="AE166" i="31"/>
  <c r="W166" i="31"/>
  <c r="U166" i="31"/>
  <c r="AG166" i="31"/>
  <c r="V166" i="31"/>
  <c r="AK108" i="31"/>
  <c r="CA98" i="31" s="1"/>
  <c r="BJ108" i="31"/>
  <c r="AG168" i="31"/>
  <c r="U168" i="31"/>
  <c r="AF168" i="31"/>
  <c r="AE168" i="31"/>
  <c r="W168" i="31"/>
  <c r="V168" i="31"/>
  <c r="DM117" i="30"/>
  <c r="O7" i="30" s="1"/>
  <c r="DC72" i="30"/>
  <c r="DC107" i="30"/>
  <c r="BZ110" i="30"/>
  <c r="BZ75" i="30"/>
  <c r="R137" i="32"/>
  <c r="Q132" i="32"/>
  <c r="BZ169" i="32"/>
  <c r="BZ134" i="32"/>
  <c r="C134" i="32"/>
  <c r="D134" i="32" s="1"/>
  <c r="D111" i="32"/>
  <c r="C126" i="32"/>
  <c r="D126" i="32" s="1"/>
  <c r="AB137" i="32"/>
  <c r="X141" i="32"/>
  <c r="P137" i="32"/>
  <c r="C136" i="32"/>
  <c r="D136" i="32" s="1"/>
  <c r="C133" i="32"/>
  <c r="D133" i="32" s="1"/>
  <c r="D110" i="32"/>
  <c r="H141" i="32"/>
  <c r="C129" i="32"/>
  <c r="D129" i="32" s="1"/>
  <c r="DC170" i="32"/>
  <c r="DC135" i="32"/>
  <c r="AE137" i="32"/>
  <c r="AA141" i="32"/>
  <c r="S132" i="32"/>
  <c r="O141" i="32"/>
  <c r="BZ168" i="32"/>
  <c r="BZ133" i="32"/>
  <c r="AO170" i="31"/>
  <c r="AC228" i="31"/>
  <c r="C73" i="32" s="1"/>
  <c r="AO166" i="31"/>
  <c r="C76" i="32" s="1"/>
  <c r="BD101" i="31"/>
  <c r="BA101" i="31"/>
  <c r="BQ101" i="31"/>
  <c r="AG223" i="31"/>
  <c r="U223" i="31"/>
  <c r="AJ223" i="31"/>
  <c r="AF223" i="31"/>
  <c r="AI223" i="31"/>
  <c r="AE223" i="31"/>
  <c r="W223" i="31"/>
  <c r="V223" i="31"/>
  <c r="AJ218" i="31"/>
  <c r="AF218" i="31"/>
  <c r="AI218" i="31"/>
  <c r="AE218" i="31"/>
  <c r="W218" i="31"/>
  <c r="AG218" i="31"/>
  <c r="V218" i="31"/>
  <c r="U218" i="31"/>
  <c r="AG207" i="31"/>
  <c r="U207" i="31"/>
  <c r="AJ207" i="31"/>
  <c r="AF207" i="31"/>
  <c r="AI207" i="31"/>
  <c r="AE207" i="31"/>
  <c r="W207" i="31"/>
  <c r="V207" i="31"/>
  <c r="AJ194" i="31"/>
  <c r="AF194" i="31"/>
  <c r="AI194" i="31"/>
  <c r="AE194" i="31"/>
  <c r="W194" i="31"/>
  <c r="AG194" i="31"/>
  <c r="V194" i="31"/>
  <c r="U194" i="31"/>
  <c r="AE176" i="31"/>
  <c r="AD169" i="31"/>
  <c r="AH169" i="31" s="1"/>
  <c r="BH101" i="31"/>
  <c r="AM101" i="31"/>
  <c r="BZ100" i="31" s="1"/>
  <c r="AD173" i="31"/>
  <c r="AH173" i="31" s="1"/>
  <c r="BZ167" i="32"/>
  <c r="BZ132" i="32"/>
  <c r="AG203" i="31"/>
  <c r="U203" i="31"/>
  <c r="AJ203" i="31"/>
  <c r="AF203" i="31"/>
  <c r="AE203" i="31"/>
  <c r="W203" i="31"/>
  <c r="V203" i="31"/>
  <c r="AI203" i="31"/>
  <c r="AN108" i="31"/>
  <c r="CA101" i="31" s="1"/>
  <c r="AU108" i="31"/>
  <c r="CA108" i="31" s="1"/>
  <c r="BP108" i="31"/>
  <c r="AQ108" i="31"/>
  <c r="CA104" i="31" s="1"/>
  <c r="AM108" i="31"/>
  <c r="CA100" i="31" s="1"/>
  <c r="BH108" i="31"/>
  <c r="AH108" i="31"/>
  <c r="CA95" i="31" s="1"/>
  <c r="AX108" i="31"/>
  <c r="CA111" i="31" s="1"/>
  <c r="AF171" i="31"/>
  <c r="AI171" i="31"/>
  <c r="AE171" i="31"/>
  <c r="W171" i="31"/>
  <c r="V171" i="31"/>
  <c r="U171" i="31"/>
  <c r="AG171" i="31"/>
  <c r="M111" i="31"/>
  <c r="BE94" i="31"/>
  <c r="AJ198" i="31"/>
  <c r="AF198" i="31"/>
  <c r="AI198" i="31"/>
  <c r="AE198" i="31"/>
  <c r="W198" i="31"/>
  <c r="V198" i="31"/>
  <c r="U198" i="31"/>
  <c r="AG198" i="31"/>
  <c r="AD94" i="31"/>
  <c r="BY91" i="31" s="1"/>
  <c r="AT94" i="31"/>
  <c r="BY107" i="31" s="1"/>
  <c r="BJ94" i="31"/>
  <c r="AE94" i="31"/>
  <c r="BY92" i="31" s="1"/>
  <c r="AU94" i="31"/>
  <c r="BY108" i="31" s="1"/>
  <c r="AF94" i="31"/>
  <c r="BY93" i="31" s="1"/>
  <c r="AV94" i="31"/>
  <c r="BY109" i="31" s="1"/>
  <c r="AD186" i="31"/>
  <c r="AH186" i="31" s="1"/>
  <c r="AF28" i="31"/>
  <c r="AG28" i="31" s="1"/>
  <c r="AF27" i="31"/>
  <c r="AG27" i="31" s="1"/>
  <c r="BZ113" i="30"/>
  <c r="BZ78" i="30"/>
  <c r="DE117" i="30"/>
  <c r="G7" i="30" s="1"/>
  <c r="U41" i="29"/>
  <c r="U42" i="29" s="1"/>
  <c r="U28" i="29" s="1"/>
  <c r="U33" i="29" s="1"/>
  <c r="U40" i="29"/>
  <c r="U27" i="29" s="1"/>
  <c r="U32" i="29" s="1"/>
  <c r="U38" i="29"/>
  <c r="U37" i="29"/>
  <c r="U36" i="29"/>
  <c r="CW83" i="30"/>
  <c r="CW84" i="30"/>
  <c r="CW82" i="30"/>
  <c r="CW81" i="30"/>
  <c r="BJ82" i="30"/>
  <c r="BJ81" i="30"/>
  <c r="BJ84" i="30"/>
  <c r="BJ83" i="30"/>
  <c r="DC106" i="30"/>
  <c r="DC71" i="30"/>
  <c r="BZ109" i="30"/>
  <c r="BZ74" i="30"/>
  <c r="DO117" i="30"/>
  <c r="Q7" i="30" s="1"/>
  <c r="CU117" i="30"/>
  <c r="Z6" i="30" s="1"/>
  <c r="CE117" i="30"/>
  <c r="J6" i="30" s="1"/>
  <c r="DW83" i="30"/>
  <c r="DO83" i="30"/>
  <c r="DG83" i="30"/>
  <c r="CU81" i="30"/>
  <c r="CM81" i="30"/>
  <c r="CE81" i="30"/>
  <c r="BP83" i="30"/>
  <c r="BH83" i="30"/>
  <c r="AZ83" i="30"/>
  <c r="DX117" i="30"/>
  <c r="Z7" i="30" s="1"/>
  <c r="DP117" i="30"/>
  <c r="R7" i="30" s="1"/>
  <c r="DH117" i="30"/>
  <c r="J7" i="30" s="1"/>
  <c r="CR117" i="30"/>
  <c r="W6" i="30" s="1"/>
  <c r="CJ117" i="30"/>
  <c r="O6" i="30" s="1"/>
  <c r="CB117" i="30"/>
  <c r="G6" i="30" s="1"/>
  <c r="AW117" i="30"/>
  <c r="H5" i="30" s="1"/>
  <c r="W62" i="29"/>
  <c r="W63" i="29" s="1"/>
  <c r="W49" i="29" s="1"/>
  <c r="W54" i="29" s="1"/>
  <c r="W61" i="29"/>
  <c r="W48" i="29" s="1"/>
  <c r="W59" i="29"/>
  <c r="W58" i="29"/>
  <c r="W57" i="29"/>
  <c r="E16" i="29"/>
  <c r="E18" i="29" s="1"/>
  <c r="AJ200" i="28"/>
  <c r="AF200" i="28"/>
  <c r="AI200" i="28"/>
  <c r="AE200" i="28"/>
  <c r="W200" i="28"/>
  <c r="V200" i="28"/>
  <c r="AG200" i="28"/>
  <c r="U200" i="28"/>
  <c r="DU83" i="30"/>
  <c r="DM83" i="30"/>
  <c r="DE83" i="30"/>
  <c r="CS82" i="30"/>
  <c r="CK82" i="30"/>
  <c r="CC82" i="30"/>
  <c r="BN84" i="30"/>
  <c r="BF84" i="30"/>
  <c r="AX84" i="30"/>
  <c r="C278" i="32"/>
  <c r="B113" i="30"/>
  <c r="S62" i="29"/>
  <c r="S63" i="29" s="1"/>
  <c r="S49" i="29" s="1"/>
  <c r="S54" i="29" s="1"/>
  <c r="S61" i="29"/>
  <c r="S48" i="29" s="1"/>
  <c r="S53" i="29" s="1"/>
  <c r="S59" i="29"/>
  <c r="S58" i="29"/>
  <c r="S57" i="29"/>
  <c r="O15" i="29"/>
  <c r="G19" i="29"/>
  <c r="G6" i="29" s="1"/>
  <c r="AG190" i="28"/>
  <c r="U190" i="28"/>
  <c r="AF190" i="28"/>
  <c r="AE190" i="28"/>
  <c r="W190" i="28"/>
  <c r="V190" i="28"/>
  <c r="AG174" i="28"/>
  <c r="U174" i="28"/>
  <c r="AJ174" i="28"/>
  <c r="AF174" i="28"/>
  <c r="AI174" i="28"/>
  <c r="AE174" i="28"/>
  <c r="W174" i="28"/>
  <c r="V174" i="28"/>
  <c r="EA82" i="30"/>
  <c r="DS82" i="30"/>
  <c r="DK82" i="30"/>
  <c r="CY84" i="30"/>
  <c r="CQ84" i="30"/>
  <c r="CI84" i="30"/>
  <c r="BL82" i="30"/>
  <c r="AV82" i="30"/>
  <c r="DZ83" i="30"/>
  <c r="DZ84" i="30"/>
  <c r="DZ82" i="30"/>
  <c r="DZ81" i="30"/>
  <c r="DR83" i="30"/>
  <c r="DR84" i="30"/>
  <c r="DR82" i="30"/>
  <c r="DR81" i="30"/>
  <c r="DJ83" i="30"/>
  <c r="DJ84" i="30"/>
  <c r="DJ82" i="30"/>
  <c r="DJ81" i="30"/>
  <c r="CX82" i="30"/>
  <c r="CX81" i="30"/>
  <c r="CX84" i="30"/>
  <c r="CX83" i="30"/>
  <c r="CP82" i="30"/>
  <c r="CP81" i="30"/>
  <c r="CP84" i="30"/>
  <c r="CP83" i="30"/>
  <c r="CH82" i="30"/>
  <c r="CH81" i="30"/>
  <c r="CH84" i="30"/>
  <c r="CH83" i="30"/>
  <c r="BS84" i="30"/>
  <c r="BS83" i="30"/>
  <c r="BS82" i="30"/>
  <c r="BS81" i="30"/>
  <c r="BK84" i="30"/>
  <c r="BK83" i="30"/>
  <c r="BK82" i="30"/>
  <c r="BK81" i="30"/>
  <c r="BC84" i="30"/>
  <c r="BC83" i="30"/>
  <c r="BC82" i="30"/>
  <c r="BC81" i="30"/>
  <c r="U17" i="29"/>
  <c r="M15" i="29"/>
  <c r="E19" i="29"/>
  <c r="E6" i="29" s="1"/>
  <c r="L62" i="29"/>
  <c r="L63" i="29" s="1"/>
  <c r="L49" i="29" s="1"/>
  <c r="L54" i="29" s="1"/>
  <c r="L61" i="29"/>
  <c r="L48" i="29" s="1"/>
  <c r="L59" i="29"/>
  <c r="L58" i="29"/>
  <c r="L57" i="29"/>
  <c r="L60" i="29" s="1"/>
  <c r="E62" i="29"/>
  <c r="E63" i="29" s="1"/>
  <c r="E49" i="29" s="1"/>
  <c r="E54" i="29" s="1"/>
  <c r="E61" i="29"/>
  <c r="E48" i="29" s="1"/>
  <c r="E53" i="29" s="1"/>
  <c r="E59" i="29"/>
  <c r="E58" i="29"/>
  <c r="E57" i="29"/>
  <c r="U62" i="29"/>
  <c r="U63" i="29" s="1"/>
  <c r="U49" i="29" s="1"/>
  <c r="U54" i="29" s="1"/>
  <c r="U61" i="29"/>
  <c r="U48" i="29" s="1"/>
  <c r="U59" i="29"/>
  <c r="U58" i="29"/>
  <c r="U57" i="29"/>
  <c r="N62" i="29"/>
  <c r="N63" i="29" s="1"/>
  <c r="N49" i="29" s="1"/>
  <c r="N54" i="29" s="1"/>
  <c r="N61" i="29"/>
  <c r="N48" i="29" s="1"/>
  <c r="N59" i="29"/>
  <c r="N58" i="29"/>
  <c r="N57" i="29"/>
  <c r="K60" i="29"/>
  <c r="K64" i="29" s="1"/>
  <c r="F16" i="29"/>
  <c r="F19" i="29"/>
  <c r="F6" i="29" s="1"/>
  <c r="F17" i="29"/>
  <c r="F15" i="29"/>
  <c r="V16" i="29"/>
  <c r="V19" i="29"/>
  <c r="V6" i="29" s="1"/>
  <c r="V17" i="29"/>
  <c r="V15" i="29"/>
  <c r="L16" i="29"/>
  <c r="L15" i="29"/>
  <c r="L19" i="29"/>
  <c r="L6" i="29" s="1"/>
  <c r="L17" i="29"/>
  <c r="AD201" i="28"/>
  <c r="AH201" i="28" s="1"/>
  <c r="V191" i="28"/>
  <c r="AG191" i="28"/>
  <c r="U191" i="28"/>
  <c r="AJ191" i="28"/>
  <c r="AF191" i="28"/>
  <c r="AI191" i="28"/>
  <c r="AE191" i="28"/>
  <c r="W191" i="28"/>
  <c r="V175" i="28"/>
  <c r="AG175" i="28"/>
  <c r="U175" i="28"/>
  <c r="AJ175" i="28"/>
  <c r="AF175" i="28"/>
  <c r="AI175" i="28"/>
  <c r="AE175" i="28"/>
  <c r="W175" i="28"/>
  <c r="AB228" i="28"/>
  <c r="AC34" i="28"/>
  <c r="K39" i="28" s="1"/>
  <c r="C96" i="32" s="1"/>
  <c r="AB34" i="28"/>
  <c r="K32" i="28" s="1"/>
  <c r="K73" i="28"/>
  <c r="AO166" i="28"/>
  <c r="X132" i="32"/>
  <c r="L137" i="32"/>
  <c r="S137" i="32"/>
  <c r="BZ170" i="32"/>
  <c r="BZ135" i="32"/>
  <c r="AG108" i="31"/>
  <c r="CA94" i="31" s="1"/>
  <c r="AG195" i="31"/>
  <c r="U195" i="31"/>
  <c r="AJ195" i="31"/>
  <c r="AF195" i="31"/>
  <c r="AE195" i="31"/>
  <c r="W195" i="31"/>
  <c r="V195" i="31"/>
  <c r="AI195" i="31"/>
  <c r="AI108" i="31"/>
  <c r="CA96" i="31" s="1"/>
  <c r="AD198" i="31"/>
  <c r="AH198" i="31" s="1"/>
  <c r="AG187" i="31"/>
  <c r="U187" i="31"/>
  <c r="AF187" i="31"/>
  <c r="AE187" i="31"/>
  <c r="W187" i="31"/>
  <c r="V187" i="31"/>
  <c r="AB94" i="31"/>
  <c r="BY89" i="31" s="1"/>
  <c r="CC117" i="30"/>
  <c r="H6" i="30" s="1"/>
  <c r="DI82" i="30"/>
  <c r="DI81" i="30"/>
  <c r="DI84" i="30"/>
  <c r="DI83" i="30"/>
  <c r="Z132" i="32"/>
  <c r="V141" i="32"/>
  <c r="N132" i="32"/>
  <c r="J137" i="32"/>
  <c r="Y141" i="32"/>
  <c r="Q141" i="32"/>
  <c r="I141" i="32"/>
  <c r="C108" i="32"/>
  <c r="D108" i="32" s="1"/>
  <c r="C104" i="32"/>
  <c r="D104" i="32" s="1"/>
  <c r="C100" i="32"/>
  <c r="D100" i="32" s="1"/>
  <c r="W137" i="32"/>
  <c r="C135" i="32"/>
  <c r="D135" i="32" s="1"/>
  <c r="D112" i="32"/>
  <c r="C130" i="32"/>
  <c r="D130" i="32" s="1"/>
  <c r="AB141" i="32"/>
  <c r="T137" i="32"/>
  <c r="P132" i="32"/>
  <c r="L141" i="32"/>
  <c r="DC168" i="32"/>
  <c r="DC133" i="32"/>
  <c r="AE141" i="32"/>
  <c r="W132" i="32"/>
  <c r="S141" i="32"/>
  <c r="K137" i="32"/>
  <c r="DC167" i="32"/>
  <c r="DC132" i="32"/>
  <c r="AG174" i="31"/>
  <c r="U174" i="31"/>
  <c r="AJ174" i="31"/>
  <c r="AF174" i="31"/>
  <c r="AE174" i="31"/>
  <c r="W174" i="31"/>
  <c r="V174" i="31"/>
  <c r="AI174" i="31"/>
  <c r="AJ172" i="31"/>
  <c r="AF172" i="31"/>
  <c r="AI172" i="31"/>
  <c r="AE172" i="31"/>
  <c r="W172" i="31"/>
  <c r="AG172" i="31"/>
  <c r="V172" i="31"/>
  <c r="U172" i="31"/>
  <c r="L110" i="31"/>
  <c r="BT101" i="31"/>
  <c r="AY101" i="31"/>
  <c r="BZ112" i="31" s="1"/>
  <c r="AD101" i="31"/>
  <c r="BZ91" i="31" s="1"/>
  <c r="AO101" i="31"/>
  <c r="BZ102" i="31" s="1"/>
  <c r="BE101" i="31"/>
  <c r="BU101" i="31"/>
  <c r="X274" i="31"/>
  <c r="AD215" i="31"/>
  <c r="AH215" i="31" s="1"/>
  <c r="AG199" i="31"/>
  <c r="U199" i="31"/>
  <c r="AJ199" i="31"/>
  <c r="AF199" i="31"/>
  <c r="AI199" i="31"/>
  <c r="AE199" i="31"/>
  <c r="W199" i="31"/>
  <c r="V199" i="31"/>
  <c r="AD191" i="31"/>
  <c r="AH191" i="31" s="1"/>
  <c r="AF186" i="31"/>
  <c r="AE186" i="31"/>
  <c r="W186" i="31"/>
  <c r="AG186" i="31"/>
  <c r="V186" i="31"/>
  <c r="U186" i="31"/>
  <c r="AG169" i="31"/>
  <c r="U169" i="31"/>
  <c r="AJ169" i="31"/>
  <c r="AF169" i="31"/>
  <c r="AE169" i="31"/>
  <c r="W169" i="31"/>
  <c r="V169" i="31"/>
  <c r="AD167" i="31"/>
  <c r="AH167" i="31" s="1"/>
  <c r="AD166" i="31"/>
  <c r="AH166" i="31" s="1"/>
  <c r="L114" i="31"/>
  <c r="AH101" i="31"/>
  <c r="BZ95" i="31" s="1"/>
  <c r="AD214" i="31"/>
  <c r="AH214" i="31" s="1"/>
  <c r="AG175" i="31"/>
  <c r="U175" i="31"/>
  <c r="AJ175" i="31"/>
  <c r="AF175" i="31"/>
  <c r="V175" i="31"/>
  <c r="AI175" i="31"/>
  <c r="AE175" i="31"/>
  <c r="W175" i="31"/>
  <c r="AG173" i="31"/>
  <c r="U173" i="31"/>
  <c r="AJ173" i="31"/>
  <c r="AF173" i="31"/>
  <c r="V173" i="31"/>
  <c r="AI173" i="31"/>
  <c r="AE173" i="31"/>
  <c r="W173" i="31"/>
  <c r="AI147" i="31"/>
  <c r="W126" i="31" s="1"/>
  <c r="AD182" i="31"/>
  <c r="AH182" i="31" s="1"/>
  <c r="AD177" i="31"/>
  <c r="AH177" i="31" s="1"/>
  <c r="AD164" i="31"/>
  <c r="AJ164" i="31" s="1"/>
  <c r="AE108" i="31"/>
  <c r="CA92" i="31" s="1"/>
  <c r="AZ108" i="31"/>
  <c r="CA113" i="31" s="1"/>
  <c r="BU108" i="31"/>
  <c r="AV108" i="31"/>
  <c r="CA109" i="31" s="1"/>
  <c r="BQ108" i="31"/>
  <c r="AR108" i="31"/>
  <c r="CA105" i="31" s="1"/>
  <c r="AL108" i="31"/>
  <c r="CA99" i="31" s="1"/>
  <c r="BB108" i="31"/>
  <c r="BR108" i="31"/>
  <c r="M113" i="31"/>
  <c r="AO94" i="31"/>
  <c r="BY102" i="31" s="1"/>
  <c r="BQ94" i="31"/>
  <c r="AH94" i="31"/>
  <c r="BY95" i="31" s="1"/>
  <c r="AX94" i="31"/>
  <c r="BY111" i="31" s="1"/>
  <c r="AI94" i="31"/>
  <c r="BY96" i="31" s="1"/>
  <c r="AY94" i="31"/>
  <c r="BY112" i="31" s="1"/>
  <c r="AJ94" i="31"/>
  <c r="BY97" i="31" s="1"/>
  <c r="AZ94" i="31"/>
  <c r="BY113" i="31" s="1"/>
  <c r="BP94" i="31"/>
  <c r="AD190" i="31"/>
  <c r="AH190" i="31" s="1"/>
  <c r="D272" i="32"/>
  <c r="D288" i="32" s="1"/>
  <c r="C288" i="32"/>
  <c r="CS117" i="30"/>
  <c r="X6" i="30" s="1"/>
  <c r="AU120" i="32"/>
  <c r="AU59" i="30"/>
  <c r="DY82" i="30"/>
  <c r="DY81" i="30"/>
  <c r="DY84" i="30"/>
  <c r="DY83" i="30"/>
  <c r="CO83" i="30"/>
  <c r="CO84" i="30"/>
  <c r="CO82" i="30"/>
  <c r="CO81" i="30"/>
  <c r="BB82" i="30"/>
  <c r="BB81" i="30"/>
  <c r="BB84" i="30"/>
  <c r="BB83" i="30"/>
  <c r="DC109" i="30"/>
  <c r="DC74" i="30"/>
  <c r="DC112" i="30"/>
  <c r="DC77" i="30"/>
  <c r="EA117" i="30"/>
  <c r="AC7" i="30" s="1"/>
  <c r="DK117" i="30"/>
  <c r="M7" i="30" s="1"/>
  <c r="CQ117" i="30"/>
  <c r="V6" i="30" s="1"/>
  <c r="AZ117" i="30"/>
  <c r="K5" i="30" s="1"/>
  <c r="C53" i="29"/>
  <c r="C55" i="29" s="1"/>
  <c r="DW84" i="30"/>
  <c r="DO84" i="30"/>
  <c r="DG84" i="30"/>
  <c r="CU82" i="30"/>
  <c r="CM82" i="30"/>
  <c r="CE82" i="30"/>
  <c r="DX84" i="30"/>
  <c r="DX83" i="30"/>
  <c r="DX82" i="30"/>
  <c r="DX81" i="30"/>
  <c r="DP84" i="30"/>
  <c r="DP83" i="30"/>
  <c r="DP82" i="30"/>
  <c r="DP81" i="30"/>
  <c r="DH84" i="30"/>
  <c r="DH83" i="30"/>
  <c r="DH82" i="30"/>
  <c r="DH81" i="30"/>
  <c r="CR82" i="30"/>
  <c r="CR81" i="30"/>
  <c r="CR83" i="30"/>
  <c r="CR84" i="30"/>
  <c r="CJ82" i="30"/>
  <c r="CJ81" i="30"/>
  <c r="CJ83" i="30"/>
  <c r="CJ84" i="30"/>
  <c r="CB82" i="30"/>
  <c r="CB81" i="30"/>
  <c r="CB83" i="30"/>
  <c r="CB84" i="30"/>
  <c r="BM83" i="30"/>
  <c r="BM84" i="30"/>
  <c r="BM82" i="30"/>
  <c r="BM81" i="30"/>
  <c r="BE83" i="30"/>
  <c r="BE84" i="30"/>
  <c r="BE82" i="30"/>
  <c r="BE81" i="30"/>
  <c r="AW83" i="30"/>
  <c r="AW84" i="30"/>
  <c r="AW82" i="30"/>
  <c r="AW81" i="30"/>
  <c r="G62" i="29"/>
  <c r="G63" i="29" s="1"/>
  <c r="G49" i="29" s="1"/>
  <c r="G54" i="29" s="1"/>
  <c r="G61" i="29"/>
  <c r="G48" i="29" s="1"/>
  <c r="G59" i="29"/>
  <c r="G58" i="29"/>
  <c r="G57" i="29"/>
  <c r="Y19" i="29"/>
  <c r="Y6" i="29" s="1"/>
  <c r="Y15" i="29"/>
  <c r="Y17" i="29"/>
  <c r="Y16" i="29"/>
  <c r="AJ204" i="28"/>
  <c r="AF204" i="28"/>
  <c r="AI204" i="28"/>
  <c r="AE204" i="28"/>
  <c r="W204" i="28"/>
  <c r="V204" i="28"/>
  <c r="AG204" i="28"/>
  <c r="U204" i="28"/>
  <c r="DU81" i="30"/>
  <c r="DU85" i="30" s="1"/>
  <c r="DM81" i="30"/>
  <c r="DM85" i="30" s="1"/>
  <c r="DE81" i="30"/>
  <c r="DE85" i="30" s="1"/>
  <c r="CS84" i="30"/>
  <c r="CK84" i="30"/>
  <c r="CC84" i="30"/>
  <c r="BN81" i="30"/>
  <c r="BF81" i="30"/>
  <c r="AX81" i="30"/>
  <c r="C59" i="29"/>
  <c r="C58" i="29"/>
  <c r="C57" i="29"/>
  <c r="T32" i="29"/>
  <c r="O19" i="29"/>
  <c r="O6" i="29" s="1"/>
  <c r="G17" i="29"/>
  <c r="G18" i="29" s="1"/>
  <c r="G22" i="29" s="1"/>
  <c r="C11" i="29"/>
  <c r="C13" i="29" s="1"/>
  <c r="T260" i="31"/>
  <c r="U260" i="31" s="1"/>
  <c r="T259" i="31"/>
  <c r="U259" i="31" s="1"/>
  <c r="T258" i="31"/>
  <c r="U258" i="31" s="1"/>
  <c r="T257" i="31"/>
  <c r="U257" i="31" s="1"/>
  <c r="T256" i="31"/>
  <c r="U256" i="31" s="1"/>
  <c r="AG186" i="28"/>
  <c r="U186" i="28"/>
  <c r="AF186" i="28"/>
  <c r="AE186" i="28"/>
  <c r="W186" i="28"/>
  <c r="V186" i="28"/>
  <c r="EA83" i="30"/>
  <c r="DS83" i="30"/>
  <c r="DK83" i="30"/>
  <c r="CY81" i="30"/>
  <c r="CY85" i="30" s="1"/>
  <c r="CQ81" i="30"/>
  <c r="CQ85" i="30" s="1"/>
  <c r="CI81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M19" i="29"/>
  <c r="M6" i="29" s="1"/>
  <c r="AD204" i="28"/>
  <c r="AH204" i="28" s="1"/>
  <c r="AD200" i="28"/>
  <c r="AH200" i="28" s="1"/>
  <c r="P62" i="29"/>
  <c r="P63" i="29" s="1"/>
  <c r="P49" i="29" s="1"/>
  <c r="P54" i="29" s="1"/>
  <c r="P61" i="29"/>
  <c r="P48" i="29" s="1"/>
  <c r="P59" i="29"/>
  <c r="P58" i="29"/>
  <c r="P57" i="29"/>
  <c r="I62" i="29"/>
  <c r="I63" i="29" s="1"/>
  <c r="I49" i="29" s="1"/>
  <c r="I54" i="29" s="1"/>
  <c r="I61" i="29"/>
  <c r="I48" i="29" s="1"/>
  <c r="I59" i="29"/>
  <c r="I58" i="29"/>
  <c r="I57" i="29"/>
  <c r="Y62" i="29"/>
  <c r="Y63" i="29" s="1"/>
  <c r="Y49" i="29" s="1"/>
  <c r="Y54" i="29" s="1"/>
  <c r="Y61" i="29"/>
  <c r="Y48" i="29" s="1"/>
  <c r="Y59" i="29"/>
  <c r="Y58" i="29"/>
  <c r="Y57" i="29"/>
  <c r="R62" i="29"/>
  <c r="R63" i="29" s="1"/>
  <c r="R49" i="29" s="1"/>
  <c r="R54" i="29" s="1"/>
  <c r="R61" i="29"/>
  <c r="R48" i="29" s="1"/>
  <c r="R59" i="29"/>
  <c r="R58" i="29"/>
  <c r="R57" i="29"/>
  <c r="R32" i="29"/>
  <c r="J32" i="29"/>
  <c r="J16" i="29"/>
  <c r="J17" i="29"/>
  <c r="J15" i="29"/>
  <c r="J19" i="29"/>
  <c r="J6" i="29" s="1"/>
  <c r="Z16" i="29"/>
  <c r="Z17" i="29"/>
  <c r="Z15" i="29"/>
  <c r="Z19" i="29"/>
  <c r="Z6" i="29" s="1"/>
  <c r="P16" i="29"/>
  <c r="P19" i="29"/>
  <c r="P6" i="29" s="1"/>
  <c r="P17" i="29"/>
  <c r="P15" i="29"/>
  <c r="AD205" i="28"/>
  <c r="AH205" i="28" s="1"/>
  <c r="AI199" i="28"/>
  <c r="AE199" i="28"/>
  <c r="W199" i="28"/>
  <c r="V199" i="28"/>
  <c r="AG199" i="28"/>
  <c r="U199" i="28"/>
  <c r="AJ199" i="28"/>
  <c r="AF199" i="28"/>
  <c r="V187" i="28"/>
  <c r="AG187" i="28"/>
  <c r="U187" i="28"/>
  <c r="AF187" i="28"/>
  <c r="AE187" i="28"/>
  <c r="W187" i="28"/>
  <c r="W34" i="28"/>
  <c r="K34" i="28" s="1"/>
  <c r="AD164" i="28"/>
  <c r="AJ164" i="28" s="1"/>
  <c r="BZ171" i="32"/>
  <c r="BZ136" i="32"/>
  <c r="H132" i="32"/>
  <c r="C106" i="32"/>
  <c r="D106" i="32" s="1"/>
  <c r="C102" i="32"/>
  <c r="D102" i="32" s="1"/>
  <c r="C98" i="32"/>
  <c r="D98" i="32" s="1"/>
  <c r="AJ202" i="31"/>
  <c r="AF202" i="31"/>
  <c r="AI202" i="31"/>
  <c r="AE202" i="31"/>
  <c r="W202" i="31"/>
  <c r="AG202" i="31"/>
  <c r="V202" i="31"/>
  <c r="U202" i="31"/>
  <c r="AD206" i="31"/>
  <c r="AH206" i="31" s="1"/>
  <c r="BZ175" i="32"/>
  <c r="BZ140" i="32"/>
  <c r="AS94" i="31"/>
  <c r="BY106" i="31" s="1"/>
  <c r="M114" i="31"/>
  <c r="AQ94" i="31"/>
  <c r="BY104" i="31" s="1"/>
  <c r="BR82" i="30"/>
  <c r="BR81" i="30"/>
  <c r="BR84" i="30"/>
  <c r="BR83" i="30"/>
  <c r="BZ108" i="30"/>
  <c r="BZ73" i="30"/>
  <c r="K55" i="29"/>
  <c r="K53" i="29"/>
  <c r="AD137" i="32"/>
  <c r="Q137" i="32"/>
  <c r="I132" i="32"/>
  <c r="AD132" i="32"/>
  <c r="Z137" i="32"/>
  <c r="R132" i="32"/>
  <c r="N141" i="32"/>
  <c r="C131" i="32"/>
  <c r="D131" i="32" s="1"/>
  <c r="AC137" i="32"/>
  <c r="U137" i="32"/>
  <c r="M137" i="32"/>
  <c r="DC174" i="32"/>
  <c r="DC139" i="32"/>
  <c r="X137" i="32"/>
  <c r="T132" i="32"/>
  <c r="P141" i="32"/>
  <c r="H137" i="32"/>
  <c r="C125" i="32"/>
  <c r="D125" i="32" s="1"/>
  <c r="AA132" i="32"/>
  <c r="W141" i="32"/>
  <c r="O137" i="32"/>
  <c r="K132" i="32"/>
  <c r="C103" i="32"/>
  <c r="D103" i="32" s="1"/>
  <c r="C99" i="32"/>
  <c r="D99" i="32" s="1"/>
  <c r="C107" i="32"/>
  <c r="D107" i="32" s="1"/>
  <c r="AD227" i="31"/>
  <c r="AH227" i="31" s="1"/>
  <c r="L113" i="31"/>
  <c r="BI101" i="31"/>
  <c r="AK226" i="32"/>
  <c r="AO226" i="32" s="1"/>
  <c r="AN218" i="32"/>
  <c r="AG215" i="31"/>
  <c r="U215" i="31"/>
  <c r="AJ215" i="31"/>
  <c r="AF215" i="31"/>
  <c r="AI215" i="31"/>
  <c r="AE215" i="31"/>
  <c r="W215" i="31"/>
  <c r="V215" i="31"/>
  <c r="AJ210" i="31"/>
  <c r="AF210" i="31"/>
  <c r="AI210" i="31"/>
  <c r="AE210" i="31"/>
  <c r="W210" i="31"/>
  <c r="AG210" i="31"/>
  <c r="V210" i="31"/>
  <c r="U210" i="31"/>
  <c r="AG191" i="31"/>
  <c r="U191" i="31"/>
  <c r="AF191" i="31"/>
  <c r="AI191" i="31"/>
  <c r="AE191" i="31"/>
  <c r="W191" i="31"/>
  <c r="V191" i="31"/>
  <c r="AD183" i="31"/>
  <c r="AH183" i="31" s="1"/>
  <c r="AD170" i="31"/>
  <c r="AH170" i="31" s="1"/>
  <c r="AG167" i="31"/>
  <c r="U167" i="31"/>
  <c r="AF167" i="31"/>
  <c r="AI167" i="31"/>
  <c r="AE167" i="31"/>
  <c r="W167" i="31"/>
  <c r="V167" i="31"/>
  <c r="AF170" i="31"/>
  <c r="AI170" i="31"/>
  <c r="AE170" i="31"/>
  <c r="W170" i="31"/>
  <c r="U170" i="31"/>
  <c r="AG170" i="31"/>
  <c r="V170" i="31"/>
  <c r="AG227" i="31"/>
  <c r="U227" i="31"/>
  <c r="AJ227" i="31"/>
  <c r="AF227" i="31"/>
  <c r="AI227" i="31"/>
  <c r="AE227" i="31"/>
  <c r="W227" i="31"/>
  <c r="V227" i="31"/>
  <c r="AJ222" i="31"/>
  <c r="AF222" i="31"/>
  <c r="AI222" i="31"/>
  <c r="AE222" i="31"/>
  <c r="W222" i="31"/>
  <c r="V222" i="31"/>
  <c r="U222" i="31"/>
  <c r="AG222" i="31"/>
  <c r="AG219" i="31"/>
  <c r="U219" i="31"/>
  <c r="AJ219" i="31"/>
  <c r="AF219" i="31"/>
  <c r="AE219" i="31"/>
  <c r="W219" i="31"/>
  <c r="V219" i="31"/>
  <c r="AI219" i="31"/>
  <c r="AJ214" i="31"/>
  <c r="AF214" i="31"/>
  <c r="AI214" i="31"/>
  <c r="AE214" i="31"/>
  <c r="W214" i="31"/>
  <c r="V214" i="31"/>
  <c r="U214" i="31"/>
  <c r="AG214" i="31"/>
  <c r="AG211" i="31"/>
  <c r="U211" i="31"/>
  <c r="AJ211" i="31"/>
  <c r="AF211" i="31"/>
  <c r="AE211" i="31"/>
  <c r="W211" i="31"/>
  <c r="V211" i="31"/>
  <c r="AI211" i="31"/>
  <c r="AJ206" i="31"/>
  <c r="AF206" i="31"/>
  <c r="AI206" i="31"/>
  <c r="AE206" i="31"/>
  <c r="W206" i="31"/>
  <c r="V206" i="31"/>
  <c r="U206" i="31"/>
  <c r="AG206" i="31"/>
  <c r="AJ182" i="31"/>
  <c r="AF182" i="31"/>
  <c r="AI182" i="31"/>
  <c r="AE182" i="31"/>
  <c r="W182" i="31"/>
  <c r="V182" i="31"/>
  <c r="U182" i="31"/>
  <c r="AG182" i="31"/>
  <c r="AJ108" i="31"/>
  <c r="CA97" i="31" s="1"/>
  <c r="BE108" i="31"/>
  <c r="AF108" i="31"/>
  <c r="CA93" i="31" s="1"/>
  <c r="BA108" i="31"/>
  <c r="AB108" i="31"/>
  <c r="CA89" i="31" s="1"/>
  <c r="AW108" i="31"/>
  <c r="CA110" i="31" s="1"/>
  <c r="BS108" i="31"/>
  <c r="AP108" i="31"/>
  <c r="CA103" i="31" s="1"/>
  <c r="BF108" i="31"/>
  <c r="BV108" i="31"/>
  <c r="BI94" i="31"/>
  <c r="M110" i="31"/>
  <c r="BA94" i="31"/>
  <c r="AL94" i="31"/>
  <c r="BY99" i="31" s="1"/>
  <c r="BB94" i="31"/>
  <c r="BR94" i="31"/>
  <c r="AM94" i="31"/>
  <c r="BY100" i="31" s="1"/>
  <c r="BC94" i="31"/>
  <c r="BS94" i="31"/>
  <c r="AN94" i="31"/>
  <c r="BY101" i="31" s="1"/>
  <c r="BD94" i="31"/>
  <c r="BT94" i="31"/>
  <c r="AF190" i="31"/>
  <c r="AI190" i="31"/>
  <c r="AE190" i="31"/>
  <c r="W190" i="31"/>
  <c r="V190" i="31"/>
  <c r="U190" i="31"/>
  <c r="AG190" i="31"/>
  <c r="AS108" i="31"/>
  <c r="CA106" i="31" s="1"/>
  <c r="AW94" i="31"/>
  <c r="BY110" i="31" s="1"/>
  <c r="DU117" i="30"/>
  <c r="W7" i="30" s="1"/>
  <c r="CK117" i="30"/>
  <c r="P6" i="30" s="1"/>
  <c r="AX117" i="30"/>
  <c r="I5" i="30" s="1"/>
  <c r="DQ82" i="30"/>
  <c r="DQ81" i="30"/>
  <c r="DQ84" i="30"/>
  <c r="DQ83" i="30"/>
  <c r="CG83" i="30"/>
  <c r="CG84" i="30"/>
  <c r="CG82" i="30"/>
  <c r="CG81" i="30"/>
  <c r="DC115" i="30"/>
  <c r="DC80" i="30"/>
  <c r="DC110" i="30"/>
  <c r="DC75" i="30"/>
  <c r="DC108" i="30"/>
  <c r="DC73" i="30"/>
  <c r="BZ111" i="30"/>
  <c r="BZ76" i="30"/>
  <c r="BZ107" i="30"/>
  <c r="BZ72" i="30"/>
  <c r="DW117" i="30"/>
  <c r="Y7" i="30" s="1"/>
  <c r="DG117" i="30"/>
  <c r="I7" i="30" s="1"/>
  <c r="CM117" i="30"/>
  <c r="R6" i="30" s="1"/>
  <c r="AV117" i="30"/>
  <c r="G5" i="30" s="1"/>
  <c r="O55" i="29"/>
  <c r="O53" i="29"/>
  <c r="EB117" i="30"/>
  <c r="AD7" i="30" s="1"/>
  <c r="DT117" i="30"/>
  <c r="V7" i="30" s="1"/>
  <c r="DL117" i="30"/>
  <c r="N7" i="30" s="1"/>
  <c r="CV117" i="30"/>
  <c r="AA6" i="30" s="1"/>
  <c r="CN117" i="30"/>
  <c r="S6" i="30" s="1"/>
  <c r="CF117" i="30"/>
  <c r="K6" i="30" s="1"/>
  <c r="BQ117" i="30"/>
  <c r="AB5" i="30" s="1"/>
  <c r="U16" i="29"/>
  <c r="Q19" i="29"/>
  <c r="Q6" i="29" s="1"/>
  <c r="Q15" i="29"/>
  <c r="Q17" i="29"/>
  <c r="Q16" i="29"/>
  <c r="C193" i="32"/>
  <c r="D193" i="32" s="1"/>
  <c r="C277" i="32"/>
  <c r="D277" i="32" s="1"/>
  <c r="Y39" i="29"/>
  <c r="Y43" i="29" s="1"/>
  <c r="Y34" i="29"/>
  <c r="O17" i="29"/>
  <c r="AG182" i="28"/>
  <c r="U182" i="28"/>
  <c r="AJ182" i="28"/>
  <c r="AF182" i="28"/>
  <c r="AI182" i="28"/>
  <c r="AE182" i="28"/>
  <c r="W182" i="28"/>
  <c r="V182" i="28"/>
  <c r="DV83" i="30"/>
  <c r="DV84" i="30"/>
  <c r="DV82" i="30"/>
  <c r="DV81" i="30"/>
  <c r="DN83" i="30"/>
  <c r="DN84" i="30"/>
  <c r="DN82" i="30"/>
  <c r="DN81" i="30"/>
  <c r="DF83" i="30"/>
  <c r="DF84" i="30"/>
  <c r="DF82" i="30"/>
  <c r="DF81" i="30"/>
  <c r="CT82" i="30"/>
  <c r="CT81" i="30"/>
  <c r="CT84" i="30"/>
  <c r="CT83" i="30"/>
  <c r="CL82" i="30"/>
  <c r="CL81" i="30"/>
  <c r="CL84" i="30"/>
  <c r="CL83" i="30"/>
  <c r="CD82" i="30"/>
  <c r="CD81" i="30"/>
  <c r="CD84" i="30"/>
  <c r="CD83" i="30"/>
  <c r="BO84" i="30"/>
  <c r="BO83" i="30"/>
  <c r="BO82" i="30"/>
  <c r="BO81" i="30"/>
  <c r="BG84" i="30"/>
  <c r="BG83" i="30"/>
  <c r="BG82" i="30"/>
  <c r="BG81" i="30"/>
  <c r="AY84" i="30"/>
  <c r="AY83" i="30"/>
  <c r="AY82" i="30"/>
  <c r="AY81" i="30"/>
  <c r="U19" i="29"/>
  <c r="U6" i="29" s="1"/>
  <c r="D62" i="29"/>
  <c r="D63" i="29" s="1"/>
  <c r="D49" i="29" s="1"/>
  <c r="D54" i="29" s="1"/>
  <c r="D61" i="29"/>
  <c r="D48" i="29" s="1"/>
  <c r="D59" i="29"/>
  <c r="D58" i="29"/>
  <c r="D57" i="29"/>
  <c r="T62" i="29"/>
  <c r="T63" i="29" s="1"/>
  <c r="T49" i="29" s="1"/>
  <c r="T54" i="29" s="1"/>
  <c r="T61" i="29"/>
  <c r="T48" i="29" s="1"/>
  <c r="T59" i="29"/>
  <c r="T58" i="29"/>
  <c r="T57" i="29"/>
  <c r="M62" i="29"/>
  <c r="M63" i="29" s="1"/>
  <c r="M49" i="29" s="1"/>
  <c r="M54" i="29" s="1"/>
  <c r="M61" i="29"/>
  <c r="M48" i="29" s="1"/>
  <c r="M59" i="29"/>
  <c r="M58" i="29"/>
  <c r="M57" i="29"/>
  <c r="M60" i="29" s="1"/>
  <c r="F62" i="29"/>
  <c r="F63" i="29" s="1"/>
  <c r="F49" i="29" s="1"/>
  <c r="F54" i="29" s="1"/>
  <c r="F61" i="29"/>
  <c r="F48" i="29" s="1"/>
  <c r="F59" i="29"/>
  <c r="F58" i="29"/>
  <c r="F57" i="29"/>
  <c r="V62" i="29"/>
  <c r="V63" i="29" s="1"/>
  <c r="V49" i="29" s="1"/>
  <c r="V54" i="29" s="1"/>
  <c r="V61" i="29"/>
  <c r="V48" i="29" s="1"/>
  <c r="V59" i="29"/>
  <c r="V58" i="29"/>
  <c r="V57" i="29"/>
  <c r="C34" i="29"/>
  <c r="N16" i="29"/>
  <c r="N19" i="29"/>
  <c r="N6" i="29" s="1"/>
  <c r="N17" i="29"/>
  <c r="N15" i="29"/>
  <c r="D16" i="29"/>
  <c r="D15" i="29"/>
  <c r="D19" i="29"/>
  <c r="D6" i="29" s="1"/>
  <c r="D10" i="29" s="1"/>
  <c r="D17" i="29"/>
  <c r="T16" i="29"/>
  <c r="T15" i="29"/>
  <c r="T19" i="29"/>
  <c r="T6" i="29" s="1"/>
  <c r="T17" i="29"/>
  <c r="C18" i="29"/>
  <c r="C22" i="29" s="1"/>
  <c r="AI203" i="28"/>
  <c r="AE203" i="28"/>
  <c r="W203" i="28"/>
  <c r="V203" i="28"/>
  <c r="AG203" i="28"/>
  <c r="U203" i="28"/>
  <c r="AJ203" i="28"/>
  <c r="AF203" i="28"/>
  <c r="V183" i="28"/>
  <c r="AG183" i="28"/>
  <c r="U183" i="28"/>
  <c r="AJ183" i="28"/>
  <c r="AF183" i="28"/>
  <c r="AI183" i="28"/>
  <c r="AE183" i="28"/>
  <c r="W183" i="28"/>
  <c r="V164" i="28"/>
  <c r="AG164" i="28"/>
  <c r="U164" i="28"/>
  <c r="AF164" i="28"/>
  <c r="AI164" i="28"/>
  <c r="AE164" i="28"/>
  <c r="W164" i="28"/>
  <c r="AD194" i="28"/>
  <c r="AH194" i="28" s="1"/>
  <c r="AD190" i="28"/>
  <c r="AH190" i="28" s="1"/>
  <c r="AO169" i="28"/>
  <c r="AD186" i="28"/>
  <c r="AH186" i="28" s="1"/>
  <c r="AD182" i="28"/>
  <c r="AH182" i="28" s="1"/>
  <c r="AD178" i="28"/>
  <c r="AH178" i="28" s="1"/>
  <c r="AD174" i="28"/>
  <c r="AH174" i="28" s="1"/>
  <c r="Y34" i="28"/>
  <c r="K36" i="28" s="1"/>
  <c r="C92" i="32" s="1"/>
  <c r="AA34" i="28"/>
  <c r="K38" i="28" s="1"/>
  <c r="F84" i="30"/>
  <c r="F83" i="30"/>
  <c r="V43" i="29" l="1"/>
  <c r="V34" i="29"/>
  <c r="B52" i="30"/>
  <c r="C52" i="30" s="1"/>
  <c r="X249" i="31"/>
  <c r="AH189" i="31"/>
  <c r="AI168" i="31"/>
  <c r="AH188" i="28"/>
  <c r="X237" i="31"/>
  <c r="AA237" i="31" s="1"/>
  <c r="C307" i="32"/>
  <c r="U18" i="29"/>
  <c r="U22" i="29" s="1"/>
  <c r="AI168" i="28"/>
  <c r="S18" i="29"/>
  <c r="S22" i="29" s="1"/>
  <c r="AJ171" i="31"/>
  <c r="AH165" i="31"/>
  <c r="AJ170" i="31"/>
  <c r="AI169" i="31"/>
  <c r="AH165" i="28"/>
  <c r="AJ171" i="28"/>
  <c r="AJ170" i="28"/>
  <c r="AI169" i="28"/>
  <c r="AJ187" i="31"/>
  <c r="AJ168" i="31"/>
  <c r="AJ189" i="28"/>
  <c r="AJ188" i="28"/>
  <c r="AJ187" i="28"/>
  <c r="AJ190" i="31"/>
  <c r="AI188" i="31"/>
  <c r="AJ169" i="28"/>
  <c r="AJ166" i="31"/>
  <c r="AJ166" i="28"/>
  <c r="AJ191" i="31"/>
  <c r="AI190" i="28"/>
  <c r="AI186" i="28"/>
  <c r="AI186" i="31"/>
  <c r="AI164" i="31"/>
  <c r="AJ190" i="28"/>
  <c r="AI187" i="28"/>
  <c r="AJ186" i="31"/>
  <c r="AI187" i="31"/>
  <c r="BD83" i="30"/>
  <c r="J10" i="29"/>
  <c r="J11" i="29" s="1"/>
  <c r="J13" i="29" s="1"/>
  <c r="I10" i="29"/>
  <c r="I11" i="29" s="1"/>
  <c r="I13" i="29" s="1"/>
  <c r="L10" i="29"/>
  <c r="L11" i="29" s="1"/>
  <c r="L13" i="29" s="1"/>
  <c r="O10" i="29"/>
  <c r="O11" i="29" s="1"/>
  <c r="O13" i="29" s="1"/>
  <c r="V10" i="29"/>
  <c r="V11" i="29" s="1"/>
  <c r="V13" i="29" s="1"/>
  <c r="T10" i="29"/>
  <c r="T11" i="29" s="1"/>
  <c r="T13" i="29" s="1"/>
  <c r="P10" i="29"/>
  <c r="P11" i="29" s="1"/>
  <c r="P13" i="29" s="1"/>
  <c r="R10" i="29"/>
  <c r="R11" i="29" s="1"/>
  <c r="R13" i="29" s="1"/>
  <c r="W10" i="29"/>
  <c r="W11" i="29" s="1"/>
  <c r="W13" i="29" s="1"/>
  <c r="Q10" i="29"/>
  <c r="Q11" i="29" s="1"/>
  <c r="Q13" i="29" s="1"/>
  <c r="Z10" i="29"/>
  <c r="Z11" i="29" s="1"/>
  <c r="Z13" i="29" s="1"/>
  <c r="X10" i="29"/>
  <c r="X11" i="29" s="1"/>
  <c r="X13" i="29" s="1"/>
  <c r="Y10" i="29"/>
  <c r="Y11" i="29" s="1"/>
  <c r="Y13" i="29" s="1"/>
  <c r="N10" i="29"/>
  <c r="N11" i="29" s="1"/>
  <c r="N13" i="29" s="1"/>
  <c r="U10" i="29"/>
  <c r="U11" i="29" s="1"/>
  <c r="U13" i="29" s="1"/>
  <c r="M10" i="29"/>
  <c r="M11" i="29" s="1"/>
  <c r="M13" i="29" s="1"/>
  <c r="H10" i="29"/>
  <c r="H11" i="29" s="1"/>
  <c r="H13" i="29" s="1"/>
  <c r="G10" i="29"/>
  <c r="G11" i="29" s="1"/>
  <c r="G13" i="29" s="1"/>
  <c r="E10" i="29"/>
  <c r="E11" i="29" s="1"/>
  <c r="E13" i="29" s="1"/>
  <c r="F10" i="29"/>
  <c r="F11" i="29" s="1"/>
  <c r="F13" i="29" s="1"/>
  <c r="B98" i="30"/>
  <c r="AJ167" i="31"/>
  <c r="E55" i="29"/>
  <c r="U34" i="29"/>
  <c r="U55" i="29"/>
  <c r="AJ188" i="31"/>
  <c r="AH164" i="28"/>
  <c r="B125" i="30"/>
  <c r="U53" i="29"/>
  <c r="M34" i="29"/>
  <c r="T34" i="29"/>
  <c r="D191" i="32"/>
  <c r="J113" i="31"/>
  <c r="W60" i="29"/>
  <c r="DY85" i="30"/>
  <c r="DS85" i="30"/>
  <c r="R39" i="29"/>
  <c r="G34" i="29"/>
  <c r="M18" i="29"/>
  <c r="M22" i="29" s="1"/>
  <c r="E22" i="29"/>
  <c r="J39" i="29"/>
  <c r="Q39" i="29"/>
  <c r="Q43" i="29" s="1"/>
  <c r="G39" i="29"/>
  <c r="F34" i="29"/>
  <c r="Q55" i="29"/>
  <c r="X43" i="29"/>
  <c r="J34" i="29"/>
  <c r="D34" i="29"/>
  <c r="L34" i="29"/>
  <c r="AL208" i="32"/>
  <c r="I34" i="29"/>
  <c r="H34" i="29"/>
  <c r="X248" i="31"/>
  <c r="R34" i="29"/>
  <c r="S55" i="29"/>
  <c r="W55" i="29"/>
  <c r="S34" i="29"/>
  <c r="P34" i="29"/>
  <c r="E34" i="29"/>
  <c r="J110" i="31"/>
  <c r="J111" i="31"/>
  <c r="BP117" i="30"/>
  <c r="AA5" i="30" s="1"/>
  <c r="BO117" i="30"/>
  <c r="Z5" i="30" s="1"/>
  <c r="W34" i="29"/>
  <c r="Q34" i="29"/>
  <c r="BJ31" i="29"/>
  <c r="BK31" i="29"/>
  <c r="AQ6" i="29" s="1"/>
  <c r="J142" i="31"/>
  <c r="C220" i="32" s="1"/>
  <c r="BD82" i="30"/>
  <c r="BD84" i="30"/>
  <c r="BH85" i="30"/>
  <c r="BD81" i="30"/>
  <c r="BL85" i="30"/>
  <c r="AZ85" i="30"/>
  <c r="AX85" i="30"/>
  <c r="BB85" i="30"/>
  <c r="AV85" i="30"/>
  <c r="BP85" i="30"/>
  <c r="BN85" i="30"/>
  <c r="X34" i="29"/>
  <c r="G43" i="29"/>
  <c r="Z34" i="29"/>
  <c r="N34" i="29"/>
  <c r="M55" i="29"/>
  <c r="Y55" i="29"/>
  <c r="N43" i="29"/>
  <c r="BK89" i="31"/>
  <c r="BK94" i="31" s="1"/>
  <c r="AI166" i="31"/>
  <c r="X18" i="29"/>
  <c r="X22" i="29" s="1"/>
  <c r="H18" i="29"/>
  <c r="H22" i="29" s="1"/>
  <c r="X60" i="29"/>
  <c r="X64" i="29" s="1"/>
  <c r="O39" i="29"/>
  <c r="O43" i="29" s="1"/>
  <c r="H39" i="29"/>
  <c r="H43" i="29" s="1"/>
  <c r="V228" i="31"/>
  <c r="C86" i="32" s="1"/>
  <c r="U228" i="28"/>
  <c r="M28" i="28" s="1"/>
  <c r="B55" i="30" s="1"/>
  <c r="C55" i="30" s="1"/>
  <c r="M64" i="29"/>
  <c r="AY85" i="30"/>
  <c r="BG85" i="30"/>
  <c r="BO85" i="30"/>
  <c r="DF85" i="30"/>
  <c r="DN85" i="30"/>
  <c r="DV85" i="30"/>
  <c r="W228" i="31"/>
  <c r="C87" i="32" s="1"/>
  <c r="AF228" i="31"/>
  <c r="C136" i="31" s="1"/>
  <c r="J136" i="31" s="1"/>
  <c r="Y18" i="29"/>
  <c r="Y22" i="29" s="1"/>
  <c r="V18" i="29"/>
  <c r="V22" i="29" s="1"/>
  <c r="F18" i="29"/>
  <c r="F22" i="29" s="1"/>
  <c r="L64" i="29"/>
  <c r="EA85" i="30"/>
  <c r="W64" i="29"/>
  <c r="F6" i="30"/>
  <c r="DG85" i="30"/>
  <c r="BL90" i="31"/>
  <c r="BL94" i="31" s="1"/>
  <c r="K34" i="29"/>
  <c r="S39" i="29"/>
  <c r="S43" i="29" s="1"/>
  <c r="J43" i="29"/>
  <c r="D39" i="29"/>
  <c r="D43" i="29" s="1"/>
  <c r="I39" i="29"/>
  <c r="I43" i="29" s="1"/>
  <c r="M39" i="29"/>
  <c r="M43" i="29" s="1"/>
  <c r="R43" i="29"/>
  <c r="L39" i="29"/>
  <c r="L43" i="29" s="1"/>
  <c r="BL31" i="29"/>
  <c r="C304" i="32" s="1"/>
  <c r="E39" i="29"/>
  <c r="E43" i="29" s="1"/>
  <c r="J114" i="31"/>
  <c r="AE228" i="28"/>
  <c r="T60" i="29"/>
  <c r="T64" i="29" s="1"/>
  <c r="Q18" i="29"/>
  <c r="Q22" i="29" s="1"/>
  <c r="AE228" i="31"/>
  <c r="C135" i="31" s="1"/>
  <c r="J135" i="31" s="1"/>
  <c r="P18" i="29"/>
  <c r="P22" i="29" s="1"/>
  <c r="Y60" i="29"/>
  <c r="Y64" i="29" s="1"/>
  <c r="I55" i="29"/>
  <c r="AJ186" i="28"/>
  <c r="G55" i="29"/>
  <c r="CB85" i="30"/>
  <c r="CJ85" i="30"/>
  <c r="CC85" i="30"/>
  <c r="DO85" i="30"/>
  <c r="CF85" i="30"/>
  <c r="CN85" i="30"/>
  <c r="CV85" i="30"/>
  <c r="K39" i="29"/>
  <c r="K43" i="29" s="1"/>
  <c r="O34" i="29"/>
  <c r="T39" i="29"/>
  <c r="T43" i="29" s="1"/>
  <c r="Z39" i="29"/>
  <c r="Z43" i="29" s="1"/>
  <c r="C39" i="29"/>
  <c r="C43" i="29" s="1"/>
  <c r="P39" i="29"/>
  <c r="P43" i="29" s="1"/>
  <c r="AG228" i="31"/>
  <c r="C137" i="31" s="1"/>
  <c r="J137" i="31" s="1"/>
  <c r="AD30" i="29"/>
  <c r="AD31" i="29" s="1"/>
  <c r="CG85" i="30"/>
  <c r="U228" i="31"/>
  <c r="C85" i="32" s="1"/>
  <c r="CI85" i="30"/>
  <c r="BF85" i="30"/>
  <c r="DK85" i="30"/>
  <c r="CK85" i="30"/>
  <c r="DW85" i="30"/>
  <c r="AG29" i="31"/>
  <c r="J37" i="31" s="1"/>
  <c r="C203" i="32" s="1"/>
  <c r="C94" i="32"/>
  <c r="B40" i="31"/>
  <c r="J40" i="31" s="1"/>
  <c r="C205" i="32" s="1"/>
  <c r="AF228" i="28"/>
  <c r="V228" i="28"/>
  <c r="M29" i="28" s="1"/>
  <c r="B56" i="30" s="1"/>
  <c r="C56" i="30" s="1"/>
  <c r="D11" i="29"/>
  <c r="D13" i="29" s="1"/>
  <c r="V60" i="29"/>
  <c r="V64" i="29" s="1"/>
  <c r="F53" i="29"/>
  <c r="F55" i="29"/>
  <c r="D60" i="29"/>
  <c r="D64" i="29" s="1"/>
  <c r="C128" i="32"/>
  <c r="D128" i="32" s="1"/>
  <c r="C109" i="32"/>
  <c r="D109" i="32" s="1"/>
  <c r="C101" i="32"/>
  <c r="D101" i="32" s="1"/>
  <c r="C105" i="32"/>
  <c r="D105" i="32" s="1"/>
  <c r="Z18" i="29"/>
  <c r="Z22" i="29" s="1"/>
  <c r="J18" i="29"/>
  <c r="J22" i="29" s="1"/>
  <c r="I60" i="29"/>
  <c r="I64" i="29" s="1"/>
  <c r="P55" i="29"/>
  <c r="P53" i="29"/>
  <c r="G60" i="29"/>
  <c r="G64" i="29" s="1"/>
  <c r="CO85" i="30"/>
  <c r="I53" i="29"/>
  <c r="DI85" i="30"/>
  <c r="C41" i="32"/>
  <c r="D41" i="32" s="1"/>
  <c r="AE33" i="29"/>
  <c r="N60" i="29"/>
  <c r="N64" i="29" s="1"/>
  <c r="BC85" i="30"/>
  <c r="BK85" i="30"/>
  <c r="BS85" i="30"/>
  <c r="DJ85" i="30"/>
  <c r="DR85" i="30"/>
  <c r="DZ85" i="30"/>
  <c r="S60" i="29"/>
  <c r="S64" i="29" s="1"/>
  <c r="CE85" i="30"/>
  <c r="W53" i="29"/>
  <c r="CW85" i="30"/>
  <c r="M53" i="29"/>
  <c r="F7" i="30"/>
  <c r="C91" i="32"/>
  <c r="B50" i="30"/>
  <c r="C50" i="30" s="1"/>
  <c r="R18" i="29"/>
  <c r="R22" i="29" s="1"/>
  <c r="Z60" i="29"/>
  <c r="Z64" i="29" s="1"/>
  <c r="J53" i="29"/>
  <c r="J55" i="29"/>
  <c r="H60" i="29"/>
  <c r="H64" i="29" s="1"/>
  <c r="BA85" i="30"/>
  <c r="BI85" i="30"/>
  <c r="BQ85" i="30"/>
  <c r="DL85" i="30"/>
  <c r="DT85" i="30"/>
  <c r="EB85" i="30"/>
  <c r="C72" i="32"/>
  <c r="C138" i="31"/>
  <c r="J138" i="31" s="1"/>
  <c r="T42" i="31"/>
  <c r="AG228" i="28"/>
  <c r="V53" i="29"/>
  <c r="V55" i="29"/>
  <c r="AO168" i="28"/>
  <c r="W228" i="28"/>
  <c r="M30" i="28" s="1"/>
  <c r="B57" i="30" s="1"/>
  <c r="C57" i="30" s="1"/>
  <c r="T18" i="29"/>
  <c r="T22" i="29" s="1"/>
  <c r="D18" i="29"/>
  <c r="D22" i="29" s="1"/>
  <c r="F60" i="29"/>
  <c r="F64" i="29" s="1"/>
  <c r="CD85" i="30"/>
  <c r="CL85" i="30"/>
  <c r="CT85" i="30"/>
  <c r="DQ85" i="30"/>
  <c r="BR85" i="30"/>
  <c r="AD228" i="28"/>
  <c r="K41" i="28" s="1"/>
  <c r="B54" i="30" s="1"/>
  <c r="C54" i="30" s="1"/>
  <c r="AO165" i="28"/>
  <c r="R55" i="29"/>
  <c r="R53" i="29"/>
  <c r="P60" i="29"/>
  <c r="P64" i="29" s="1"/>
  <c r="C60" i="29"/>
  <c r="C64" i="29" s="1"/>
  <c r="AW85" i="30"/>
  <c r="BE85" i="30"/>
  <c r="BM85" i="30"/>
  <c r="DH85" i="30"/>
  <c r="DP85" i="30"/>
  <c r="DX85" i="30"/>
  <c r="C89" i="32"/>
  <c r="B59" i="30"/>
  <c r="F59" i="30" s="1"/>
  <c r="C271" i="32" s="1"/>
  <c r="L18" i="29"/>
  <c r="L22" i="29" s="1"/>
  <c r="U60" i="29"/>
  <c r="U64" i="29" s="1"/>
  <c r="CM85" i="30"/>
  <c r="AO168" i="31"/>
  <c r="C79" i="32" s="1"/>
  <c r="C132" i="32"/>
  <c r="D132" i="32" s="1"/>
  <c r="J60" i="29"/>
  <c r="J64" i="29" s="1"/>
  <c r="I18" i="29"/>
  <c r="I22" i="29" s="1"/>
  <c r="C192" i="32"/>
  <c r="C276" i="32" s="1"/>
  <c r="C290" i="32" s="1"/>
  <c r="B115" i="30"/>
  <c r="B126" i="30" s="1"/>
  <c r="T53" i="29"/>
  <c r="T55" i="29"/>
  <c r="C90" i="32"/>
  <c r="B51" i="30"/>
  <c r="C51" i="30" s="1"/>
  <c r="K33" i="28"/>
  <c r="C71" i="32" s="1"/>
  <c r="R60" i="29"/>
  <c r="R64" i="29" s="1"/>
  <c r="Y53" i="29"/>
  <c r="AD228" i="31"/>
  <c r="AO165" i="31"/>
  <c r="C78" i="32" s="1"/>
  <c r="AH164" i="31"/>
  <c r="E60" i="29"/>
  <c r="E64" i="29" s="1"/>
  <c r="L55" i="29"/>
  <c r="L53" i="29"/>
  <c r="CH85" i="30"/>
  <c r="CP85" i="30"/>
  <c r="CX85" i="30"/>
  <c r="D278" i="32"/>
  <c r="C293" i="32"/>
  <c r="C291" i="32"/>
  <c r="CU85" i="30"/>
  <c r="G53" i="29"/>
  <c r="BJ85" i="30"/>
  <c r="U39" i="29"/>
  <c r="U43" i="29" s="1"/>
  <c r="Q60" i="29"/>
  <c r="Q64" i="29" s="1"/>
  <c r="X53" i="29"/>
  <c r="X55" i="29"/>
  <c r="C95" i="32"/>
  <c r="J39" i="31"/>
  <c r="C204" i="32" s="1"/>
  <c r="N18" i="29"/>
  <c r="N22" i="29" s="1"/>
  <c r="D55" i="29"/>
  <c r="D53" i="29"/>
  <c r="CR85" i="30"/>
  <c r="D275" i="32"/>
  <c r="N55" i="29"/>
  <c r="N53" i="29"/>
  <c r="O18" i="29"/>
  <c r="O22" i="29" s="1"/>
  <c r="B53" i="30"/>
  <c r="C53" i="30" s="1"/>
  <c r="Z53" i="29"/>
  <c r="Z55" i="29"/>
  <c r="H53" i="29"/>
  <c r="H55" i="29"/>
  <c r="W18" i="29"/>
  <c r="W22" i="29" s="1"/>
  <c r="CS85" i="30"/>
  <c r="F52" i="30"/>
  <c r="C264" i="32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K48" i="28" l="1"/>
  <c r="C243" i="32"/>
  <c r="D243" i="32" s="1"/>
  <c r="AQ3" i="29"/>
  <c r="C305" i="32"/>
  <c r="BD85" i="30"/>
  <c r="BD87" i="30" s="1"/>
  <c r="AH228" i="28"/>
  <c r="AH228" i="31"/>
  <c r="C132" i="31" s="1"/>
  <c r="J132" i="31" s="1"/>
  <c r="AI228" i="28"/>
  <c r="AJ228" i="28"/>
  <c r="AI228" i="31"/>
  <c r="C133" i="31" s="1"/>
  <c r="J133" i="31" s="1"/>
  <c r="BB87" i="30"/>
  <c r="BB86" i="30"/>
  <c r="BE87" i="30"/>
  <c r="BE86" i="30"/>
  <c r="BC87" i="30"/>
  <c r="BC86" i="30"/>
  <c r="BP87" i="30"/>
  <c r="BP86" i="30"/>
  <c r="BS87" i="30"/>
  <c r="BS86" i="30"/>
  <c r="BG87" i="30"/>
  <c r="BG86" i="30"/>
  <c r="BM87" i="30"/>
  <c r="BM86" i="30"/>
  <c r="BK87" i="30"/>
  <c r="BK86" i="30"/>
  <c r="BJ87" i="30"/>
  <c r="BJ86" i="30"/>
  <c r="BR87" i="30"/>
  <c r="BR86" i="30"/>
  <c r="BL87" i="30"/>
  <c r="BL86" i="30"/>
  <c r="BQ86" i="30"/>
  <c r="BQ87" i="30"/>
  <c r="BI86" i="30"/>
  <c r="BI87" i="30"/>
  <c r="BO87" i="30"/>
  <c r="BO86" i="30"/>
  <c r="BN87" i="30"/>
  <c r="BN86" i="30"/>
  <c r="BH87" i="30"/>
  <c r="BH86" i="30"/>
  <c r="BF87" i="30"/>
  <c r="BF86" i="30"/>
  <c r="BA86" i="30"/>
  <c r="BA87" i="30"/>
  <c r="AX87" i="30"/>
  <c r="AX86" i="30"/>
  <c r="AY86" i="30"/>
  <c r="AY87" i="30"/>
  <c r="AZ86" i="30"/>
  <c r="AZ87" i="30"/>
  <c r="AW86" i="30"/>
  <c r="AW87" i="30"/>
  <c r="AV87" i="30"/>
  <c r="AV86" i="30"/>
  <c r="AJ228" i="31"/>
  <c r="C134" i="31" s="1"/>
  <c r="J134" i="31" s="1"/>
  <c r="BK117" i="30"/>
  <c r="V5" i="30" s="1"/>
  <c r="W154" i="31"/>
  <c r="Y154" i="31" s="1"/>
  <c r="Z154" i="31" s="1"/>
  <c r="B159" i="31" s="1"/>
  <c r="J159" i="31" s="1"/>
  <c r="C231" i="32" s="1"/>
  <c r="K43" i="28"/>
  <c r="C88" i="32" s="1"/>
  <c r="W153" i="31"/>
  <c r="Y153" i="31" s="1"/>
  <c r="Y156" i="31" s="1"/>
  <c r="Z156" i="31" s="1"/>
  <c r="B161" i="31" s="1"/>
  <c r="J161" i="31" s="1"/>
  <c r="C233" i="32" s="1"/>
  <c r="BD117" i="30"/>
  <c r="O5" i="30" s="1"/>
  <c r="BF117" i="30"/>
  <c r="Q5" i="30" s="1"/>
  <c r="V264" i="31"/>
  <c r="V265" i="31"/>
  <c r="BE117" i="30"/>
  <c r="P5" i="30" s="1"/>
  <c r="BG117" i="30"/>
  <c r="R5" i="30" s="1"/>
  <c r="BL117" i="30"/>
  <c r="W5" i="30" s="1"/>
  <c r="DW102" i="30"/>
  <c r="Y11" i="30" s="1"/>
  <c r="BN117" i="30"/>
  <c r="Y5" i="30" s="1"/>
  <c r="BC117" i="30"/>
  <c r="N5" i="30" s="1"/>
  <c r="CK102" i="30"/>
  <c r="P10" i="30" s="1"/>
  <c r="BM117" i="30"/>
  <c r="X5" i="30" s="1"/>
  <c r="BI117" i="30"/>
  <c r="T5" i="30" s="1"/>
  <c r="BB117" i="30"/>
  <c r="M5" i="30" s="1"/>
  <c r="BJ117" i="30"/>
  <c r="U5" i="30" s="1"/>
  <c r="BA117" i="30"/>
  <c r="L5" i="30" s="1"/>
  <c r="BH117" i="30"/>
  <c r="S5" i="30" s="1"/>
  <c r="AQ4" i="29"/>
  <c r="W155" i="31"/>
  <c r="Y155" i="31" s="1"/>
  <c r="Z155" i="31" s="1"/>
  <c r="B160" i="31" s="1"/>
  <c r="J160" i="31" s="1"/>
  <c r="C232" i="32" s="1"/>
  <c r="CV102" i="30"/>
  <c r="AA10" i="30" s="1"/>
  <c r="DY102" i="30"/>
  <c r="AA11" i="30" s="1"/>
  <c r="CC102" i="30"/>
  <c r="H10" i="30" s="1"/>
  <c r="DO102" i="30"/>
  <c r="Q11" i="30" s="1"/>
  <c r="DU102" i="30"/>
  <c r="W11" i="30" s="1"/>
  <c r="CG102" i="30"/>
  <c r="L10" i="30" s="1"/>
  <c r="DG102" i="30"/>
  <c r="I11" i="30" s="1"/>
  <c r="F53" i="30"/>
  <c r="C265" i="32" s="1"/>
  <c r="F54" i="30"/>
  <c r="C266" i="32" s="1"/>
  <c r="K253" i="32"/>
  <c r="L253" i="32" s="1"/>
  <c r="CJ102" i="30"/>
  <c r="O10" i="30" s="1"/>
  <c r="DE102" i="30"/>
  <c r="G11" i="30" s="1"/>
  <c r="CY102" i="30"/>
  <c r="AD10" i="30" s="1"/>
  <c r="DN102" i="30"/>
  <c r="P11" i="30" s="1"/>
  <c r="CF102" i="30"/>
  <c r="K10" i="30" s="1"/>
  <c r="C74" i="32"/>
  <c r="CI102" i="30"/>
  <c r="N10" i="30" s="1"/>
  <c r="DS102" i="30"/>
  <c r="U11" i="30" s="1"/>
  <c r="EA102" i="30"/>
  <c r="AC11" i="30" s="1"/>
  <c r="F55" i="30"/>
  <c r="C267" i="32" s="1"/>
  <c r="C246" i="32"/>
  <c r="D291" i="32"/>
  <c r="D293" i="32"/>
  <c r="F51" i="30"/>
  <c r="C263" i="32" s="1"/>
  <c r="CB102" i="30"/>
  <c r="G10" i="30" s="1"/>
  <c r="DV102" i="30"/>
  <c r="X11" i="30" s="1"/>
  <c r="DF102" i="30"/>
  <c r="H11" i="30" s="1"/>
  <c r="CN102" i="30"/>
  <c r="S10" i="30" s="1"/>
  <c r="CQ102" i="30"/>
  <c r="V10" i="30" s="1"/>
  <c r="C244" i="32"/>
  <c r="D244" i="32" s="1"/>
  <c r="AB237" i="31"/>
  <c r="AC237" i="31" s="1"/>
  <c r="AF237" i="31" s="1"/>
  <c r="B178" i="31" s="1"/>
  <c r="C240" i="32" s="1"/>
  <c r="F57" i="30"/>
  <c r="C269" i="32" s="1"/>
  <c r="B58" i="30"/>
  <c r="C58" i="30" s="1"/>
  <c r="F50" i="30"/>
  <c r="C247" i="32"/>
  <c r="DM102" i="30"/>
  <c r="O11" i="30" s="1"/>
  <c r="F56" i="30"/>
  <c r="C268" i="32" s="1"/>
  <c r="DK102" i="30"/>
  <c r="M11" i="30" s="1"/>
  <c r="BR40" i="23"/>
  <c r="BR24" i="23"/>
  <c r="BR32" i="23"/>
  <c r="O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P81" i="27"/>
  <c r="P90" i="27" s="1"/>
  <c r="Q81" i="27"/>
  <c r="Q90" i="27" s="1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X90" i="27" s="1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BO102" i="30" l="1"/>
  <c r="Z9" i="30" s="1"/>
  <c r="BD86" i="30"/>
  <c r="BD102" i="30" s="1"/>
  <c r="O9" i="30" s="1"/>
  <c r="O13" i="30" s="1"/>
  <c r="BH102" i="30"/>
  <c r="S9" i="30" s="1"/>
  <c r="BP102" i="30"/>
  <c r="AA9" i="30" s="1"/>
  <c r="AA13" i="30" s="1"/>
  <c r="AV102" i="30"/>
  <c r="G9" i="30" s="1"/>
  <c r="BN102" i="30"/>
  <c r="Y9" i="30" s="1"/>
  <c r="AY102" i="30"/>
  <c r="J9" i="30" s="1"/>
  <c r="AZ102" i="30"/>
  <c r="K9" i="30" s="1"/>
  <c r="BB102" i="30"/>
  <c r="M9" i="30" s="1"/>
  <c r="BG102" i="30"/>
  <c r="R9" i="30" s="1"/>
  <c r="BL102" i="30"/>
  <c r="W9" i="30" s="1"/>
  <c r="AX102" i="30"/>
  <c r="I9" i="30" s="1"/>
  <c r="BF102" i="30"/>
  <c r="Q9" i="30" s="1"/>
  <c r="DL102" i="30"/>
  <c r="N11" i="30" s="1"/>
  <c r="DJ102" i="30"/>
  <c r="L11" i="30" s="1"/>
  <c r="CE102" i="30"/>
  <c r="J10" i="30" s="1"/>
  <c r="F5" i="30"/>
  <c r="C245" i="32" s="1"/>
  <c r="D245" i="32" s="1"/>
  <c r="BQ102" i="30"/>
  <c r="AB9" i="30" s="1"/>
  <c r="BC102" i="30"/>
  <c r="N9" i="30" s="1"/>
  <c r="BS102" i="30"/>
  <c r="AD9" i="30" s="1"/>
  <c r="EB102" i="30"/>
  <c r="AD11" i="30" s="1"/>
  <c r="AW102" i="30"/>
  <c r="H9" i="30" s="1"/>
  <c r="H13" i="30" s="1"/>
  <c r="CT102" i="30"/>
  <c r="Y10" i="30" s="1"/>
  <c r="CD102" i="30"/>
  <c r="I10" i="30" s="1"/>
  <c r="CO102" i="30"/>
  <c r="T10" i="30" s="1"/>
  <c r="BE102" i="30"/>
  <c r="P9" i="30" s="1"/>
  <c r="P13" i="30" s="1"/>
  <c r="CS102" i="30"/>
  <c r="X10" i="30" s="1"/>
  <c r="DZ102" i="30"/>
  <c r="AB11" i="30" s="1"/>
  <c r="BA102" i="30"/>
  <c r="L9" i="30" s="1"/>
  <c r="DI102" i="30"/>
  <c r="K11" i="30" s="1"/>
  <c r="CH102" i="30"/>
  <c r="M10" i="30" s="1"/>
  <c r="F58" i="30"/>
  <c r="DR102" i="30"/>
  <c r="T11" i="30" s="1"/>
  <c r="D247" i="32"/>
  <c r="BI102" i="30"/>
  <c r="T9" i="30" s="1"/>
  <c r="CM102" i="30"/>
  <c r="R10" i="30" s="1"/>
  <c r="BJ102" i="30"/>
  <c r="U9" i="30" s="1"/>
  <c r="CU102" i="30"/>
  <c r="Z10" i="30" s="1"/>
  <c r="D246" i="32"/>
  <c r="CR102" i="30"/>
  <c r="W10" i="30" s="1"/>
  <c r="Z153" i="31"/>
  <c r="BR102" i="30"/>
  <c r="AC9" i="30" s="1"/>
  <c r="BM102" i="30"/>
  <c r="X9" i="30" s="1"/>
  <c r="DT102" i="30"/>
  <c r="V11" i="30" s="1"/>
  <c r="DQ102" i="30"/>
  <c r="S11" i="30" s="1"/>
  <c r="C262" i="32"/>
  <c r="O253" i="32"/>
  <c r="DP102" i="30"/>
  <c r="R11" i="30" s="1"/>
  <c r="CX102" i="30"/>
  <c r="AC10" i="30" s="1"/>
  <c r="G13" i="30"/>
  <c r="BK102" i="30"/>
  <c r="V9" i="30" s="1"/>
  <c r="DX102" i="30"/>
  <c r="Z11" i="30" s="1"/>
  <c r="CW102" i="30"/>
  <c r="AB10" i="30" s="1"/>
  <c r="CL102" i="30"/>
  <c r="Q10" i="30" s="1"/>
  <c r="CP102" i="30"/>
  <c r="U10" i="30" s="1"/>
  <c r="DH102" i="30"/>
  <c r="J11" i="30" s="1"/>
  <c r="W13" i="30" l="1"/>
  <c r="S13" i="30"/>
  <c r="Y13" i="30"/>
  <c r="K13" i="30"/>
  <c r="M13" i="30"/>
  <c r="Q13" i="30"/>
  <c r="I13" i="30"/>
  <c r="L13" i="30"/>
  <c r="AD13" i="30"/>
  <c r="N13" i="30"/>
  <c r="B158" i="31"/>
  <c r="J158" i="31" s="1"/>
  <c r="AB13" i="30"/>
  <c r="D262" i="32"/>
  <c r="V13" i="30"/>
  <c r="F9" i="30"/>
  <c r="B91" i="30" s="1"/>
  <c r="D91" i="30" s="1"/>
  <c r="U13" i="30"/>
  <c r="F11" i="30"/>
  <c r="C250" i="32" s="1"/>
  <c r="X13" i="30"/>
  <c r="T13" i="30"/>
  <c r="C270" i="32"/>
  <c r="C289" i="32" s="1"/>
  <c r="B108" i="30"/>
  <c r="B123" i="30" s="1"/>
  <c r="AC13" i="30"/>
  <c r="R13" i="30"/>
  <c r="J13" i="30"/>
  <c r="F10" i="30"/>
  <c r="Z13" i="30"/>
  <c r="AC81" i="18"/>
  <c r="AC80" i="18"/>
  <c r="AC79" i="18"/>
  <c r="AC78" i="18"/>
  <c r="AC77" i="18"/>
  <c r="C230" i="32" l="1"/>
  <c r="C248" i="32"/>
  <c r="B93" i="30"/>
  <c r="D93" i="30" s="1"/>
  <c r="F13" i="30"/>
  <c r="C249" i="32"/>
  <c r="B92" i="30"/>
  <c r="D92" i="30" s="1"/>
  <c r="AD79" i="18"/>
  <c r="AD80" i="18"/>
  <c r="AD81" i="18"/>
  <c r="AD78" i="18"/>
  <c r="B94" i="30" l="1"/>
  <c r="Q9" i="7"/>
  <c r="T9" i="7" s="1"/>
  <c r="BB10" i="29" s="1"/>
  <c r="BI10" i="29" s="1"/>
  <c r="Q10" i="7"/>
  <c r="T10" i="7" s="1"/>
  <c r="BB11" i="29" s="1"/>
  <c r="BI11" i="29" s="1"/>
  <c r="Q11" i="7"/>
  <c r="Q12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83" i="31" l="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46" i="24" l="1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1" s="1"/>
  <c r="AH69" i="31" s="1"/>
  <c r="I64" i="7" l="1"/>
  <c r="J64" i="7"/>
  <c r="L64" i="7" s="1"/>
  <c r="O64" i="7"/>
  <c r="P64" i="7"/>
  <c r="Q64" i="7"/>
  <c r="G64" i="7"/>
  <c r="K57" i="7" l="1"/>
  <c r="N57" i="7"/>
  <c r="R57" i="7"/>
  <c r="S57" i="7"/>
  <c r="U57" i="7"/>
  <c r="K58" i="7"/>
  <c r="N58" i="7"/>
  <c r="R58" i="7"/>
  <c r="S58" i="7"/>
  <c r="U58" i="7"/>
  <c r="K59" i="7"/>
  <c r="N59" i="7"/>
  <c r="R59" i="7"/>
  <c r="S59" i="7"/>
  <c r="U59" i="7"/>
  <c r="K60" i="7"/>
  <c r="N60" i="7"/>
  <c r="R60" i="7"/>
  <c r="S60" i="7"/>
  <c r="U60" i="7"/>
  <c r="K61" i="7"/>
  <c r="N61" i="7"/>
  <c r="R61" i="7"/>
  <c r="S61" i="7"/>
  <c r="U61" i="7"/>
  <c r="K62" i="7"/>
  <c r="N62" i="7"/>
  <c r="R62" i="7"/>
  <c r="S62" i="7"/>
  <c r="U62" i="7"/>
  <c r="K63" i="7"/>
  <c r="N63" i="7"/>
  <c r="R63" i="7"/>
  <c r="S63" i="7"/>
  <c r="U63" i="7"/>
  <c r="K38" i="7"/>
  <c r="N38" i="7"/>
  <c r="R38" i="7"/>
  <c r="S38" i="7"/>
  <c r="U38" i="7"/>
  <c r="K39" i="7"/>
  <c r="N39" i="7"/>
  <c r="R39" i="7"/>
  <c r="S39" i="7"/>
  <c r="U39" i="7"/>
  <c r="K40" i="7"/>
  <c r="N40" i="7"/>
  <c r="R40" i="7"/>
  <c r="S40" i="7"/>
  <c r="U40" i="7"/>
  <c r="K41" i="7"/>
  <c r="N41" i="7"/>
  <c r="R41" i="7"/>
  <c r="S41" i="7"/>
  <c r="U41" i="7"/>
  <c r="K42" i="7"/>
  <c r="N42" i="7"/>
  <c r="R42" i="7"/>
  <c r="S42" i="7"/>
  <c r="U42" i="7"/>
  <c r="K43" i="7"/>
  <c r="N43" i="7"/>
  <c r="R43" i="7"/>
  <c r="S43" i="7"/>
  <c r="U43" i="7"/>
  <c r="K44" i="7"/>
  <c r="N44" i="7"/>
  <c r="R44" i="7"/>
  <c r="S44" i="7"/>
  <c r="U44" i="7"/>
  <c r="K45" i="7"/>
  <c r="N45" i="7"/>
  <c r="R45" i="7"/>
  <c r="S45" i="7"/>
  <c r="U45" i="7"/>
  <c r="K46" i="7"/>
  <c r="N46" i="7"/>
  <c r="R46" i="7"/>
  <c r="S46" i="7"/>
  <c r="U46" i="7"/>
  <c r="K47" i="7"/>
  <c r="N47" i="7"/>
  <c r="R47" i="7"/>
  <c r="S47" i="7"/>
  <c r="U47" i="7"/>
  <c r="K48" i="7"/>
  <c r="N48" i="7"/>
  <c r="R48" i="7"/>
  <c r="S48" i="7"/>
  <c r="U48" i="7"/>
  <c r="K49" i="7"/>
  <c r="N49" i="7"/>
  <c r="R49" i="7"/>
  <c r="S49" i="7"/>
  <c r="U49" i="7"/>
  <c r="K50" i="7"/>
  <c r="N50" i="7"/>
  <c r="R50" i="7"/>
  <c r="S50" i="7"/>
  <c r="U50" i="7"/>
  <c r="K51" i="7"/>
  <c r="N51" i="7"/>
  <c r="R51" i="7"/>
  <c r="S51" i="7"/>
  <c r="U51" i="7"/>
  <c r="K52" i="7"/>
  <c r="N52" i="7"/>
  <c r="R52" i="7"/>
  <c r="S52" i="7"/>
  <c r="U52" i="7"/>
  <c r="K53" i="7"/>
  <c r="N53" i="7"/>
  <c r="R53" i="7"/>
  <c r="S53" i="7"/>
  <c r="U53" i="7"/>
  <c r="K54" i="7"/>
  <c r="N54" i="7"/>
  <c r="R54" i="7"/>
  <c r="S54" i="7"/>
  <c r="U54" i="7"/>
  <c r="K55" i="7"/>
  <c r="N55" i="7"/>
  <c r="R55" i="7"/>
  <c r="S55" i="7"/>
  <c r="U55" i="7"/>
  <c r="K56" i="7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63" i="24" l="1"/>
  <c r="BK47" i="31"/>
  <c r="BK69" i="31" s="1"/>
  <c r="Q66" i="24"/>
  <c r="BX50" i="31"/>
  <c r="BX72" i="31" s="1"/>
  <c r="P67" i="24"/>
  <c r="BW51" i="31"/>
  <c r="BW73" i="31" s="1"/>
  <c r="O68" i="24"/>
  <c r="BV52" i="31"/>
  <c r="BV74" i="31" s="1"/>
  <c r="S72" i="24"/>
  <c r="BZ56" i="31"/>
  <c r="BZ78" i="31" s="1"/>
  <c r="B127" i="29"/>
  <c r="G109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B172" i="29"/>
  <c r="G122" i="32"/>
  <c r="X67" i="26"/>
  <c r="R65" i="24"/>
  <c r="BY49" i="31"/>
  <c r="BY71" i="31" s="1"/>
  <c r="T72" i="24"/>
  <c r="CA56" i="31"/>
  <c r="CA78" i="31" s="1"/>
  <c r="G110" i="32"/>
  <c r="B128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M49" i="24"/>
  <c r="BT48" i="31"/>
  <c r="BT70" i="31" s="1"/>
  <c r="G111" i="32"/>
  <c r="B129" i="29"/>
  <c r="B167" i="29"/>
  <c r="G117" i="32"/>
  <c r="B175" i="29"/>
  <c r="G125" i="32"/>
  <c r="W72" i="26"/>
  <c r="T63" i="24"/>
  <c r="CA47" i="31"/>
  <c r="CA69" i="31" s="1"/>
  <c r="R64" i="26"/>
  <c r="EC48" i="31"/>
  <c r="EC70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Y65" i="26"/>
  <c r="EJ49" i="31"/>
  <c r="EJ71" i="31" s="1"/>
  <c r="W67" i="26"/>
  <c r="EH51" i="31"/>
  <c r="EH7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N69" i="24"/>
  <c r="BU53" i="31"/>
  <c r="BU75" i="31" s="1"/>
  <c r="G106" i="32"/>
  <c r="B124" i="29"/>
  <c r="G114" i="32"/>
  <c r="B132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T71" i="24"/>
  <c r="CA55" i="31"/>
  <c r="CA77" i="31" s="1"/>
  <c r="B173" i="29"/>
  <c r="G123" i="32"/>
  <c r="V68" i="26"/>
  <c r="EG52" i="31"/>
  <c r="EG74" i="31" s="1"/>
  <c r="S71" i="26"/>
  <c r="ED55" i="31"/>
  <c r="ED77" i="31" s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21" i="32"/>
  <c r="B171" i="29"/>
  <c r="T71" i="26"/>
  <c r="AC12" i="31"/>
  <c r="A128" i="31"/>
  <c r="AC8" i="31"/>
  <c r="A124" i="31"/>
  <c r="A127" i="31"/>
  <c r="AC11" i="31"/>
  <c r="A123" i="31"/>
  <c r="AC7" i="31"/>
  <c r="E13" i="23"/>
  <c r="F50" i="23" s="1"/>
  <c r="A82" i="31"/>
  <c r="A129" i="31"/>
  <c r="AC13" i="31"/>
  <c r="A125" i="31"/>
  <c r="AC9" i="31"/>
  <c r="A131" i="31"/>
  <c r="AC15" i="31"/>
  <c r="A122" i="31"/>
  <c r="D122" i="31" s="1"/>
  <c r="AC6" i="31"/>
  <c r="A130" i="31"/>
  <c r="AC14" i="31"/>
  <c r="A126" i="31"/>
  <c r="AC10" i="31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M69" i="26"/>
  <c r="U69" i="26"/>
  <c r="T70" i="26"/>
  <c r="C71" i="26"/>
  <c r="J72" i="26"/>
  <c r="R72" i="26"/>
  <c r="R65" i="26"/>
  <c r="F144" i="26"/>
  <c r="F157" i="26" s="1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V157" i="26"/>
  <c r="R73" i="24"/>
  <c r="J73" i="24"/>
  <c r="BH79" i="31"/>
  <c r="X73" i="26"/>
  <c r="G157" i="26"/>
  <c r="AH14" i="31"/>
  <c r="AG14" i="31"/>
  <c r="AJ14" i="31"/>
  <c r="AF14" i="31"/>
  <c r="AI14" i="31"/>
  <c r="AJ7" i="31"/>
  <c r="AI7" i="31"/>
  <c r="AG7" i="31"/>
  <c r="AH7" i="31"/>
  <c r="AF7" i="31"/>
  <c r="AJ8" i="31"/>
  <c r="AG8" i="31"/>
  <c r="AI8" i="31"/>
  <c r="AF8" i="31"/>
  <c r="AH8" i="31"/>
  <c r="AJ13" i="31"/>
  <c r="AH13" i="31"/>
  <c r="AI13" i="31"/>
  <c r="AF13" i="31"/>
  <c r="AG13" i="31"/>
  <c r="AG10" i="31"/>
  <c r="AI10" i="31"/>
  <c r="AJ10" i="31"/>
  <c r="AH10" i="31"/>
  <c r="AF10" i="31"/>
  <c r="AG6" i="31"/>
  <c r="AI6" i="31"/>
  <c r="AJ6" i="31"/>
  <c r="AH6" i="31"/>
  <c r="AF6" i="31"/>
  <c r="AG9" i="31"/>
  <c r="AI9" i="31"/>
  <c r="AF9" i="31"/>
  <c r="AJ9" i="31"/>
  <c r="AH9" i="31"/>
  <c r="AJ11" i="31"/>
  <c r="AH11" i="31"/>
  <c r="AF11" i="31"/>
  <c r="AI11" i="31"/>
  <c r="AG11" i="31"/>
  <c r="AJ15" i="31"/>
  <c r="AH15" i="31"/>
  <c r="AI15" i="31"/>
  <c r="AF15" i="31"/>
  <c r="AG15" i="31"/>
  <c r="AJ12" i="31"/>
  <c r="AI12" i="31"/>
  <c r="AG12" i="31"/>
  <c r="AH12" i="31"/>
  <c r="AF12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F16" i="31"/>
  <c r="AC18" i="31"/>
  <c r="AC19" i="31"/>
  <c r="AG16" i="31"/>
  <c r="AH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A14" i="22"/>
  <c r="C31" i="22" s="1"/>
  <c r="CC109" i="31"/>
  <c r="D102" i="31" s="1"/>
  <c r="K102" i="31" s="1"/>
  <c r="J102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Q14" i="22"/>
  <c r="C21" i="22" s="1"/>
  <c r="CC99" i="31"/>
  <c r="D92" i="31" s="1"/>
  <c r="K92" i="31" s="1"/>
  <c r="J92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91" i="23"/>
  <c r="F71" i="23"/>
  <c r="F81" i="23"/>
  <c r="E23" i="23"/>
  <c r="E71" i="23"/>
  <c r="E91" i="23"/>
  <c r="E81" i="23"/>
  <c r="H23" i="23"/>
  <c r="H91" i="23"/>
  <c r="H81" i="23"/>
  <c r="H71" i="23"/>
  <c r="D23" i="23"/>
  <c r="D81" i="23"/>
  <c r="D71" i="23"/>
  <c r="D91" i="23"/>
  <c r="G23" i="23"/>
  <c r="G91" i="23"/>
  <c r="G81" i="23"/>
  <c r="G7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B154" i="31"/>
  <c r="C75" i="32"/>
  <c r="R18" i="31"/>
  <c r="AD20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2" l="1"/>
  <c r="C81" i="32"/>
  <c r="B149" i="31"/>
  <c r="J149" i="31" s="1"/>
  <c r="B155" i="31"/>
  <c r="I155" i="31" s="1"/>
  <c r="J154" i="31"/>
  <c r="C227" i="32" s="1"/>
  <c r="AJ36" i="31"/>
  <c r="AJ40" i="31" s="1"/>
  <c r="B42" i="31"/>
  <c r="Z38" i="31"/>
  <c r="Z39" i="31" s="1"/>
  <c r="AE20" i="31"/>
  <c r="C21" i="31" s="1"/>
  <c r="AF20" i="31"/>
  <c r="D21" i="31" s="1"/>
  <c r="C156" i="32" s="1"/>
  <c r="S18" i="31"/>
  <c r="T18" i="3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K176" i="18"/>
  <c r="J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44" i="31" l="1"/>
  <c r="J44" i="31" s="1"/>
  <c r="C208" i="32" s="1"/>
  <c r="J42" i="31"/>
  <c r="C206" i="32" s="1"/>
  <c r="C222" i="32"/>
  <c r="J170" i="31"/>
  <c r="C82" i="32"/>
  <c r="D97" i="32" s="1"/>
  <c r="AB40" i="31"/>
  <c r="AD40" i="31" s="1"/>
  <c r="AE40" i="31" s="1"/>
  <c r="B43" i="31"/>
  <c r="J43" i="31" s="1"/>
  <c r="C207" i="32" s="1"/>
  <c r="AB39" i="31"/>
  <c r="AB38" i="31"/>
  <c r="AT42" i="30"/>
  <c r="AT53" i="30" s="1"/>
  <c r="AT65" i="30" s="1"/>
  <c r="AT103" i="32"/>
  <c r="AT114" i="32" s="1"/>
  <c r="AT126" i="32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B74" i="29"/>
  <c r="AT43" i="30"/>
  <c r="AT54" i="30" s="1"/>
  <c r="AT66" i="30" s="1"/>
  <c r="B85" i="29"/>
  <c r="AG62" i="31"/>
  <c r="AG73" i="31" s="1"/>
  <c r="B64" i="18"/>
  <c r="B73" i="18" s="1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69" i="29"/>
  <c r="AT38" i="30"/>
  <c r="AT49" i="30" s="1"/>
  <c r="AT61" i="30" s="1"/>
  <c r="AT99" i="32"/>
  <c r="AT110" i="32" s="1"/>
  <c r="AT122" i="32" s="1"/>
  <c r="B76" i="29"/>
  <c r="AT45" i="30"/>
  <c r="AT56" i="30" s="1"/>
  <c r="AT68" i="30" s="1"/>
  <c r="AT106" i="32"/>
  <c r="AT117" i="32" s="1"/>
  <c r="AT129" i="32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B77" i="29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0" i="30"/>
  <c r="AT51" i="30" s="1"/>
  <c r="AT63" i="30" s="1"/>
  <c r="AT101" i="32"/>
  <c r="AT112" i="32" s="1"/>
  <c r="AT124" i="32" s="1"/>
  <c r="B71" i="29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C153" i="32"/>
  <c r="J21" i="31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2" l="1"/>
  <c r="D81" i="32"/>
  <c r="J205" i="32" s="1"/>
  <c r="L205" i="32" s="1"/>
  <c r="D206" i="32"/>
  <c r="D163" i="32"/>
  <c r="D137" i="32"/>
  <c r="D147" i="32"/>
  <c r="J216" i="32"/>
  <c r="D197" i="32"/>
  <c r="D204" i="32"/>
  <c r="D89" i="32"/>
  <c r="K262" i="32" s="1"/>
  <c r="D90" i="32"/>
  <c r="K254" i="32" s="1"/>
  <c r="D161" i="32"/>
  <c r="D65" i="32"/>
  <c r="J193" i="32" s="1"/>
  <c r="J194" i="32" s="1"/>
  <c r="J218" i="32"/>
  <c r="D77" i="32"/>
  <c r="D71" i="32"/>
  <c r="D233" i="32"/>
  <c r="D198" i="32"/>
  <c r="D94" i="32"/>
  <c r="D167" i="32"/>
  <c r="D91" i="32"/>
  <c r="D85" i="32"/>
  <c r="K258" i="32" s="1"/>
  <c r="D228" i="32"/>
  <c r="L223" i="32"/>
  <c r="D63" i="32"/>
  <c r="W193" i="32" s="1"/>
  <c r="W194" i="32" s="1"/>
  <c r="D212" i="32"/>
  <c r="D64" i="32"/>
  <c r="Q193" i="32" s="1"/>
  <c r="Q194" i="32" s="1"/>
  <c r="D219" i="32"/>
  <c r="D87" i="32"/>
  <c r="K260" i="32" s="1"/>
  <c r="D205" i="32"/>
  <c r="D162" i="32"/>
  <c r="D229" i="32"/>
  <c r="D196" i="32"/>
  <c r="G63" i="32"/>
  <c r="L224" i="32"/>
  <c r="D150" i="32"/>
  <c r="D93" i="32"/>
  <c r="D78" i="32"/>
  <c r="D79" i="32"/>
  <c r="D146" i="32"/>
  <c r="D195" i="32"/>
  <c r="D213" i="32"/>
  <c r="D168" i="32"/>
  <c r="D66" i="32"/>
  <c r="D138" i="32"/>
  <c r="D139" i="32"/>
  <c r="D96" i="32"/>
  <c r="D88" i="32"/>
  <c r="K261" i="32" s="1"/>
  <c r="D86" i="32"/>
  <c r="K259" i="32" s="1"/>
  <c r="D74" i="32"/>
  <c r="D148" i="32"/>
  <c r="D140" i="32"/>
  <c r="D95" i="32"/>
  <c r="D231" i="32"/>
  <c r="D141" i="32"/>
  <c r="D215" i="32"/>
  <c r="D80" i="32"/>
  <c r="J206" i="32" s="1"/>
  <c r="L206" i="32" s="1"/>
  <c r="L209" i="32" s="1"/>
  <c r="D76" i="32"/>
  <c r="D92" i="32"/>
  <c r="L225" i="32"/>
  <c r="D200" i="32"/>
  <c r="J217" i="32"/>
  <c r="D149" i="32"/>
  <c r="D226" i="32"/>
  <c r="D73" i="32"/>
  <c r="K255" i="32" s="1"/>
  <c r="D72" i="32"/>
  <c r="D232" i="32"/>
  <c r="D164" i="32"/>
  <c r="D230" i="32"/>
  <c r="D69" i="32"/>
  <c r="D68" i="32"/>
  <c r="D217" i="32"/>
  <c r="D75" i="32"/>
  <c r="D156" i="32"/>
  <c r="D222" i="32"/>
  <c r="C236" i="32"/>
  <c r="D227" i="32"/>
  <c r="D208" i="32"/>
  <c r="L73" i="18"/>
  <c r="AG79" i="31"/>
  <c r="AT108" i="30"/>
  <c r="AT73" i="30"/>
  <c r="AT111" i="30"/>
  <c r="AT76" i="30"/>
  <c r="AT171" i="32"/>
  <c r="AT136" i="32"/>
  <c r="AT75" i="30"/>
  <c r="AT110" i="30"/>
  <c r="AT170" i="32"/>
  <c r="AT135" i="32"/>
  <c r="AT176" i="32"/>
  <c r="AT141" i="32"/>
  <c r="AT175" i="32"/>
  <c r="AT140" i="32"/>
  <c r="AT109" i="30"/>
  <c r="AT74" i="30"/>
  <c r="AT115" i="30"/>
  <c r="AT80" i="30"/>
  <c r="AT78" i="30"/>
  <c r="AT113" i="30"/>
  <c r="AT112" i="30"/>
  <c r="AT77" i="30"/>
  <c r="AT114" i="30"/>
  <c r="AT79" i="30"/>
  <c r="AT168" i="32"/>
  <c r="AT133" i="32"/>
  <c r="AT167" i="32"/>
  <c r="AT132" i="32"/>
  <c r="AT174" i="32"/>
  <c r="AT139" i="32"/>
  <c r="AT169" i="32"/>
  <c r="AT134" i="32"/>
  <c r="AT107" i="30"/>
  <c r="AT72" i="30"/>
  <c r="AT106" i="30"/>
  <c r="AT71" i="30"/>
  <c r="AT173" i="32"/>
  <c r="AT138" i="32"/>
  <c r="AT172" i="32"/>
  <c r="AT137" i="32"/>
  <c r="C159" i="32"/>
  <c r="D153" i="32"/>
  <c r="D171" i="32"/>
  <c r="J73" i="18"/>
  <c r="R73" i="18"/>
  <c r="AA49" i="18"/>
  <c r="K73" i="18"/>
  <c r="D73" i="18"/>
  <c r="E73" i="18"/>
  <c r="P73" i="18"/>
  <c r="G73" i="18"/>
  <c r="F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2" l="1"/>
  <c r="L259" i="32"/>
  <c r="O259" i="32" s="1"/>
  <c r="V199" i="32"/>
  <c r="W199" i="32" s="1"/>
  <c r="V198" i="32"/>
  <c r="W198" i="32" s="1"/>
  <c r="K256" i="32"/>
  <c r="K257" i="32"/>
  <c r="L255" i="32"/>
  <c r="D264" i="32" s="1"/>
  <c r="L261" i="32"/>
  <c r="D270" i="32" s="1"/>
  <c r="J220" i="32"/>
  <c r="J221" i="32" s="1"/>
  <c r="L210" i="32" s="1"/>
  <c r="L211" i="32" s="1"/>
  <c r="L212" i="32" s="1"/>
  <c r="O262" i="32"/>
  <c r="D271" i="32"/>
  <c r="L258" i="32"/>
  <c r="O258" i="32" s="1"/>
  <c r="L260" i="32"/>
  <c r="D269" i="32" s="1"/>
  <c r="I199" i="32"/>
  <c r="J199" i="32" s="1"/>
  <c r="I200" i="32"/>
  <c r="J200" i="32" s="1"/>
  <c r="I198" i="32"/>
  <c r="J198" i="32" s="1"/>
  <c r="DI73" i="32"/>
  <c r="DI85" i="32" s="1"/>
  <c r="EA71" i="32"/>
  <c r="EA82" i="32" s="1"/>
  <c r="DT70" i="32"/>
  <c r="DT81" i="32" s="1"/>
  <c r="DI69" i="32"/>
  <c r="DI80" i="32" s="1"/>
  <c r="EA67" i="32"/>
  <c r="EA78" i="32" s="1"/>
  <c r="DT66" i="32"/>
  <c r="DT77" i="32" s="1"/>
  <c r="DI65" i="32"/>
  <c r="DI76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B65" i="32"/>
  <c r="EB76" i="32" s="1"/>
  <c r="DQ64" i="32"/>
  <c r="DQ75" i="32" s="1"/>
  <c r="DK73" i="32"/>
  <c r="DK85" i="32" s="1"/>
  <c r="DY71" i="32"/>
  <c r="DY82" i="32" s="1"/>
  <c r="DR70" i="32"/>
  <c r="DR81" i="32" s="1"/>
  <c r="DK69" i="32"/>
  <c r="DK80" i="32" s="1"/>
  <c r="DY67" i="32"/>
  <c r="DY78" i="32" s="1"/>
  <c r="DR66" i="32"/>
  <c r="DR77" i="32" s="1"/>
  <c r="DK65" i="32"/>
  <c r="DK76" i="32" s="1"/>
  <c r="DZ73" i="32"/>
  <c r="DZ85" i="32" s="1"/>
  <c r="DW68" i="32"/>
  <c r="DW79" i="32" s="1"/>
  <c r="CY73" i="32"/>
  <c r="CY85" i="32" s="1"/>
  <c r="CN72" i="32"/>
  <c r="CN84" i="32" s="1"/>
  <c r="CG71" i="32"/>
  <c r="CG82" i="32" s="1"/>
  <c r="CY69" i="32"/>
  <c r="CY80" i="32" s="1"/>
  <c r="CN68" i="32"/>
  <c r="CN79" i="32" s="1"/>
  <c r="DF73" i="32"/>
  <c r="DF85" i="32" s="1"/>
  <c r="DP67" i="32"/>
  <c r="DP78" i="32" s="1"/>
  <c r="EB71" i="32"/>
  <c r="EB82" i="32" s="1"/>
  <c r="DU66" i="32"/>
  <c r="DU77" i="32" s="1"/>
  <c r="CN73" i="32"/>
  <c r="CN85" i="32" s="1"/>
  <c r="CV71" i="32"/>
  <c r="CV82" i="32" s="1"/>
  <c r="CX69" i="32"/>
  <c r="CX80" i="32" s="1"/>
  <c r="CH68" i="32"/>
  <c r="CH79" i="32" s="1"/>
  <c r="CU66" i="32"/>
  <c r="CU77" i="32" s="1"/>
  <c r="CJ65" i="32"/>
  <c r="CJ76" i="32" s="1"/>
  <c r="CC64" i="32"/>
  <c r="CC75" i="32" s="1"/>
  <c r="CL73" i="32"/>
  <c r="CL85" i="32" s="1"/>
  <c r="CP71" i="32"/>
  <c r="CP82" i="32" s="1"/>
  <c r="CW69" i="32"/>
  <c r="CW80" i="32" s="1"/>
  <c r="CG68" i="32"/>
  <c r="CG79" i="32" s="1"/>
  <c r="CP66" i="32"/>
  <c r="CP77" i="32" s="1"/>
  <c r="CI65" i="32"/>
  <c r="CI76" i="32" s="1"/>
  <c r="DK72" i="32"/>
  <c r="DK84" i="32" s="1"/>
  <c r="CP72" i="32"/>
  <c r="CP84" i="32" s="1"/>
  <c r="CW70" i="32"/>
  <c r="CW81" i="32" s="1"/>
  <c r="CF69" i="32"/>
  <c r="CF80" i="32" s="1"/>
  <c r="CJ67" i="32"/>
  <c r="CJ78" i="32" s="1"/>
  <c r="CC66" i="32"/>
  <c r="CC77" i="32" s="1"/>
  <c r="CU64" i="32"/>
  <c r="CU75" i="32" s="1"/>
  <c r="CD72" i="32"/>
  <c r="CD84" i="32" s="1"/>
  <c r="CK65" i="32"/>
  <c r="CK76" i="32" s="1"/>
  <c r="AW73" i="32"/>
  <c r="AW85" i="32" s="1"/>
  <c r="BM71" i="32"/>
  <c r="BM82" i="32" s="1"/>
  <c r="BE70" i="32"/>
  <c r="BE81" i="32" s="1"/>
  <c r="AW69" i="32"/>
  <c r="AW80" i="32" s="1"/>
  <c r="BM67" i="32"/>
  <c r="BM78" i="32" s="1"/>
  <c r="BE66" i="32"/>
  <c r="AW65" i="32"/>
  <c r="DQ70" i="32"/>
  <c r="DQ81" i="32" s="1"/>
  <c r="CR67" i="32"/>
  <c r="CR78" i="32" s="1"/>
  <c r="BH73" i="32"/>
  <c r="BH85" i="32" s="1"/>
  <c r="AZ72" i="32"/>
  <c r="AZ84" i="32" s="1"/>
  <c r="BP70" i="32"/>
  <c r="BP81" i="32" s="1"/>
  <c r="BH69" i="32"/>
  <c r="BH80" i="32" s="1"/>
  <c r="AZ68" i="32"/>
  <c r="AZ79" i="32" s="1"/>
  <c r="BP66" i="32"/>
  <c r="BH65" i="32"/>
  <c r="BH76" i="32" s="1"/>
  <c r="AZ64" i="32"/>
  <c r="AZ75" i="32" s="1"/>
  <c r="CO69" i="32"/>
  <c r="CO80" i="32" s="1"/>
  <c r="CP64" i="32"/>
  <c r="CP75" i="32" s="1"/>
  <c r="BO72" i="32"/>
  <c r="BO84" i="32" s="1"/>
  <c r="BG71" i="32"/>
  <c r="BG82" i="32" s="1"/>
  <c r="AY70" i="32"/>
  <c r="AY81" i="32" s="1"/>
  <c r="BO68" i="32"/>
  <c r="BO79" i="32" s="1"/>
  <c r="BG67" i="32"/>
  <c r="BG78" i="32" s="1"/>
  <c r="AY66" i="32"/>
  <c r="BO64" i="32"/>
  <c r="BO75" i="32" s="1"/>
  <c r="AX73" i="32"/>
  <c r="AX85" i="32" s="1"/>
  <c r="BN67" i="32"/>
  <c r="BN78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E65" i="32"/>
  <c r="DE76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X65" i="32"/>
  <c r="DX76" i="32" s="1"/>
  <c r="DM64" i="32"/>
  <c r="DM75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G65" i="32"/>
  <c r="DG76" i="32" s="1"/>
  <c r="DJ73" i="32"/>
  <c r="DJ85" i="32" s="1"/>
  <c r="DG68" i="32"/>
  <c r="DG79" i="32" s="1"/>
  <c r="CU73" i="32"/>
  <c r="CU85" i="32" s="1"/>
  <c r="CJ72" i="32"/>
  <c r="CJ84" i="32" s="1"/>
  <c r="CC71" i="32"/>
  <c r="CC82" i="32" s="1"/>
  <c r="CU69" i="32"/>
  <c r="CU80" i="32" s="1"/>
  <c r="CJ68" i="32"/>
  <c r="CJ79" i="32" s="1"/>
  <c r="DS72" i="32"/>
  <c r="DS84" i="32" s="1"/>
  <c r="DY66" i="32"/>
  <c r="DY77" i="32" s="1"/>
  <c r="DL71" i="32"/>
  <c r="DL82" i="32" s="1"/>
  <c r="DE66" i="32"/>
  <c r="DE77" i="32" s="1"/>
  <c r="CH73" i="32"/>
  <c r="CH85" i="32" s="1"/>
  <c r="CQ71" i="32"/>
  <c r="CQ82" i="32" s="1"/>
  <c r="CS69" i="32"/>
  <c r="CS80" i="32" s="1"/>
  <c r="CC68" i="32"/>
  <c r="CC79" i="32" s="1"/>
  <c r="CQ66" i="32"/>
  <c r="CQ77" i="32" s="1"/>
  <c r="CF65" i="32"/>
  <c r="CF76" i="32" s="1"/>
  <c r="EA72" i="32"/>
  <c r="EA84" i="32" s="1"/>
  <c r="CG73" i="32"/>
  <c r="CG85" i="32" s="1"/>
  <c r="CJ71" i="32"/>
  <c r="CJ82" i="32" s="1"/>
  <c r="CR69" i="32"/>
  <c r="CR80" i="32" s="1"/>
  <c r="CU67" i="32"/>
  <c r="CU78" i="32" s="1"/>
  <c r="CL66" i="32"/>
  <c r="CL77" i="32" s="1"/>
  <c r="CE65" i="32"/>
  <c r="CE76" i="32" s="1"/>
  <c r="DX67" i="32"/>
  <c r="DX78" i="32" s="1"/>
  <c r="CK72" i="32"/>
  <c r="CK84" i="32" s="1"/>
  <c r="CR70" i="32"/>
  <c r="CR81" i="32" s="1"/>
  <c r="CU68" i="32"/>
  <c r="CU79" i="32" s="1"/>
  <c r="CF67" i="32"/>
  <c r="CF78" i="32" s="1"/>
  <c r="CX65" i="32"/>
  <c r="CX76" i="32" s="1"/>
  <c r="CQ64" i="32"/>
  <c r="CQ75" i="32" s="1"/>
  <c r="CM71" i="32"/>
  <c r="CM82" i="32" s="1"/>
  <c r="CX64" i="32"/>
  <c r="CX75" i="32" s="1"/>
  <c r="BQ72" i="32"/>
  <c r="BQ84" i="32" s="1"/>
  <c r="BI71" i="32"/>
  <c r="BI82" i="32" s="1"/>
  <c r="BA70" i="32"/>
  <c r="BA81" i="32" s="1"/>
  <c r="BQ68" i="32"/>
  <c r="BI67" i="32"/>
  <c r="BI78" i="32" s="1"/>
  <c r="BA66" i="32"/>
  <c r="BQ64" i="32"/>
  <c r="BQ75" i="32" s="1"/>
  <c r="DN65" i="32"/>
  <c r="DN76" i="32" s="1"/>
  <c r="CJ66" i="32"/>
  <c r="CJ77" i="32" s="1"/>
  <c r="BD73" i="32"/>
  <c r="BD85" i="32" s="1"/>
  <c r="AV72" i="32"/>
  <c r="AV84" i="32" s="1"/>
  <c r="BL70" i="32"/>
  <c r="BL81" i="32" s="1"/>
  <c r="BD69" i="32"/>
  <c r="BD80" i="32" s="1"/>
  <c r="AV68" i="32"/>
  <c r="BL66" i="32"/>
  <c r="BD65" i="32"/>
  <c r="BD76" i="32" s="1"/>
  <c r="AV64" i="32"/>
  <c r="AV75" i="32" s="1"/>
  <c r="CY68" i="32"/>
  <c r="CY79" i="32" s="1"/>
  <c r="BS73" i="32"/>
  <c r="BS85" i="32" s="1"/>
  <c r="BK72" i="32"/>
  <c r="BK84" i="32" s="1"/>
  <c r="BC71" i="32"/>
  <c r="BC82" i="32" s="1"/>
  <c r="BS69" i="32"/>
  <c r="BS80" i="32" s="1"/>
  <c r="BK68" i="32"/>
  <c r="BK79" i="32" s="1"/>
  <c r="BC67" i="32"/>
  <c r="BC78" i="32" s="1"/>
  <c r="BS65" i="32"/>
  <c r="BK64" i="32"/>
  <c r="BK75" i="32" s="1"/>
  <c r="BF72" i="32"/>
  <c r="BF84" i="32" s="1"/>
  <c r="AX67" i="32"/>
  <c r="CI67" i="32"/>
  <c r="CI78" i="32" s="1"/>
  <c r="DZ72" i="32"/>
  <c r="DZ84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V64" i="32"/>
  <c r="DV75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P65" i="32"/>
  <c r="DP76" i="32" s="1"/>
  <c r="DE64" i="32"/>
  <c r="DE75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X64" i="32"/>
  <c r="DX75" i="32" s="1"/>
  <c r="DG72" i="32"/>
  <c r="DG84" i="32" s="1"/>
  <c r="DM66" i="32"/>
  <c r="DM77" i="32" s="1"/>
  <c r="CM73" i="32"/>
  <c r="CM85" i="32" s="1"/>
  <c r="CB72" i="32"/>
  <c r="CB84" i="32" s="1"/>
  <c r="CT70" i="32"/>
  <c r="CT81" i="32" s="1"/>
  <c r="CM69" i="32"/>
  <c r="CM80" i="32" s="1"/>
  <c r="CB68" i="32"/>
  <c r="CB79" i="32" s="1"/>
  <c r="DY70" i="32"/>
  <c r="DY81" i="32" s="1"/>
  <c r="DV65" i="32"/>
  <c r="DV76" i="32" s="1"/>
  <c r="DE70" i="32"/>
  <c r="DE81" i="32" s="1"/>
  <c r="DO64" i="32"/>
  <c r="DO75" i="32" s="1"/>
  <c r="CX72" i="32"/>
  <c r="CX84" i="32" s="1"/>
  <c r="CF71" i="32"/>
  <c r="CF82" i="32" s="1"/>
  <c r="CH69" i="32"/>
  <c r="CH80" i="32" s="1"/>
  <c r="CQ67" i="32"/>
  <c r="CQ78" i="32" s="1"/>
  <c r="CI66" i="32"/>
  <c r="CI77" i="32" s="1"/>
  <c r="CW64" i="32"/>
  <c r="CW75" i="32" s="1"/>
  <c r="DN69" i="32"/>
  <c r="DN80" i="32" s="1"/>
  <c r="CW72" i="32"/>
  <c r="CW84" i="32" s="1"/>
  <c r="CY70" i="32"/>
  <c r="CY81" i="32" s="1"/>
  <c r="CG69" i="32"/>
  <c r="CG80" i="32" s="1"/>
  <c r="CK67" i="32"/>
  <c r="CK78" i="32" s="1"/>
  <c r="CD66" i="32"/>
  <c r="CD77" i="32" s="1"/>
  <c r="CR64" i="32"/>
  <c r="CR75" i="32" s="1"/>
  <c r="CV73" i="32"/>
  <c r="CV85" i="32" s="1"/>
  <c r="CY71" i="32"/>
  <c r="CY82" i="32" s="1"/>
  <c r="CG70" i="32"/>
  <c r="CG81" i="32" s="1"/>
  <c r="CK68" i="32"/>
  <c r="CK79" i="32" s="1"/>
  <c r="CW66" i="32"/>
  <c r="CW77" i="32" s="1"/>
  <c r="CP65" i="32"/>
  <c r="CP76" i="32" s="1"/>
  <c r="CI64" i="32"/>
  <c r="CI75" i="32" s="1"/>
  <c r="CD69" i="32"/>
  <c r="CD80" i="32" s="1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Q65" i="32"/>
  <c r="BI64" i="32"/>
  <c r="BI75" i="32" s="1"/>
  <c r="CT72" i="32"/>
  <c r="CT84" i="32" s="1"/>
  <c r="CG65" i="32"/>
  <c r="CG76" i="32" s="1"/>
  <c r="AV73" i="32"/>
  <c r="AV85" i="32" s="1"/>
  <c r="BL71" i="32"/>
  <c r="BL82" i="32" s="1"/>
  <c r="BD70" i="32"/>
  <c r="BD81" i="32" s="1"/>
  <c r="AV69" i="32"/>
  <c r="AV80" i="32" s="1"/>
  <c r="BL67" i="32"/>
  <c r="BL78" i="32" s="1"/>
  <c r="BD66" i="32"/>
  <c r="AV65" i="32"/>
  <c r="CD73" i="32"/>
  <c r="CD85" i="32" s="1"/>
  <c r="CM67" i="32"/>
  <c r="CM78" i="32" s="1"/>
  <c r="BK73" i="32"/>
  <c r="BK85" i="32" s="1"/>
  <c r="BC72" i="32"/>
  <c r="BC84" i="32" s="1"/>
  <c r="BS70" i="32"/>
  <c r="BS81" i="32" s="1"/>
  <c r="BK69" i="32"/>
  <c r="BK80" i="32" s="1"/>
  <c r="BC68" i="32"/>
  <c r="BC79" i="32" s="1"/>
  <c r="BS66" i="32"/>
  <c r="BK65" i="32"/>
  <c r="BK76" i="32" s="1"/>
  <c r="BC64" i="32"/>
  <c r="AX71" i="32"/>
  <c r="AX82" i="32" s="1"/>
  <c r="BN65" i="32"/>
  <c r="BN76" i="32" s="1"/>
  <c r="BR72" i="32"/>
  <c r="BR84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DY65" i="32"/>
  <c r="DY76" i="32" s="1"/>
  <c r="DR64" i="32"/>
  <c r="DR75" i="32" s="1"/>
  <c r="DL73" i="32"/>
  <c r="DL85" i="32" s="1"/>
  <c r="DZ71" i="32"/>
  <c r="DZ82" i="32" s="1"/>
  <c r="DS70" i="32"/>
  <c r="DS81" i="32" s="1"/>
  <c r="DL69" i="32"/>
  <c r="DL80" i="32" s="1"/>
  <c r="DZ67" i="32"/>
  <c r="DZ78" i="32" s="1"/>
  <c r="DS66" i="32"/>
  <c r="DS77" i="32" s="1"/>
  <c r="DL65" i="32"/>
  <c r="DL76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T64" i="32"/>
  <c r="DT75" i="32" s="1"/>
  <c r="DT71" i="32"/>
  <c r="DT82" i="32" s="1"/>
  <c r="DZ65" i="32"/>
  <c r="DZ76" i="32" s="1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U65" i="32"/>
  <c r="DU76" i="32" s="1"/>
  <c r="DN64" i="32"/>
  <c r="DN75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H65" i="32"/>
  <c r="DH76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W65" i="32"/>
  <c r="DW76" i="32" s="1"/>
  <c r="DP64" i="32"/>
  <c r="DP75" i="32" s="1"/>
  <c r="DM70" i="32"/>
  <c r="DM81" i="32" s="1"/>
  <c r="DJ65" i="32"/>
  <c r="DJ76" i="32" s="1"/>
  <c r="CE73" i="32"/>
  <c r="CE85" i="32" s="1"/>
  <c r="CS71" i="32"/>
  <c r="CS82" i="32" s="1"/>
  <c r="CL70" i="32"/>
  <c r="CL81" i="32" s="1"/>
  <c r="CE69" i="32"/>
  <c r="CE80" i="32" s="1"/>
  <c r="CS67" i="32"/>
  <c r="CS78" i="32" s="1"/>
  <c r="DV69" i="32"/>
  <c r="DV80" i="32" s="1"/>
  <c r="DS64" i="32"/>
  <c r="DS75" i="32" s="1"/>
  <c r="DO68" i="32"/>
  <c r="DO79" i="32" s="1"/>
  <c r="DK68" i="32"/>
  <c r="DK79" i="32" s="1"/>
  <c r="CM72" i="32"/>
  <c r="CM84" i="32" s="1"/>
  <c r="CO70" i="32"/>
  <c r="CO81" i="32" s="1"/>
  <c r="CX68" i="32"/>
  <c r="CX79" i="32" s="1"/>
  <c r="CH67" i="32"/>
  <c r="CH78" i="32" s="1"/>
  <c r="CV65" i="32"/>
  <c r="CV76" i="32" s="1"/>
  <c r="CO64" i="32"/>
  <c r="CO75" i="32" s="1"/>
  <c r="EA64" i="32"/>
  <c r="EA75" i="32" s="1"/>
  <c r="CL72" i="32"/>
  <c r="CL84" i="32" s="1"/>
  <c r="CN70" i="32"/>
  <c r="CN81" i="32" s="1"/>
  <c r="CW68" i="32"/>
  <c r="CW79" i="32" s="1"/>
  <c r="CC67" i="32"/>
  <c r="CC78" i="32" s="1"/>
  <c r="CU65" i="32"/>
  <c r="CU76" i="32" s="1"/>
  <c r="CJ64" i="32"/>
  <c r="CJ75" i="32" s="1"/>
  <c r="CK73" i="32"/>
  <c r="CK85" i="32" s="1"/>
  <c r="CN71" i="32"/>
  <c r="CN82" i="32" s="1"/>
  <c r="CV69" i="32"/>
  <c r="CV80" i="32" s="1"/>
  <c r="CY67" i="32"/>
  <c r="CY78" i="32" s="1"/>
  <c r="CO66" i="32"/>
  <c r="CO77" i="32" s="1"/>
  <c r="CH65" i="32"/>
  <c r="CH76" i="32" s="1"/>
  <c r="EA68" i="32"/>
  <c r="EA79" i="32" s="1"/>
  <c r="CX67" i="32"/>
  <c r="CX78" i="32" s="1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I65" i="32"/>
  <c r="BI76" i="32" s="1"/>
  <c r="BA64" i="32"/>
  <c r="BA75" i="32" s="1"/>
  <c r="CQ70" i="32"/>
  <c r="CQ81" i="32" s="1"/>
  <c r="CD64" i="32"/>
  <c r="CD75" i="32" s="1"/>
  <c r="BL72" i="32"/>
  <c r="BL84" i="32" s="1"/>
  <c r="BD71" i="32"/>
  <c r="BD82" i="32" s="1"/>
  <c r="AV70" i="32"/>
  <c r="AV81" i="32" s="1"/>
  <c r="BL68" i="32"/>
  <c r="BL79" i="32" s="1"/>
  <c r="BD67" i="32"/>
  <c r="BD78" i="32" s="1"/>
  <c r="AV66" i="32"/>
  <c r="BL64" i="32"/>
  <c r="BL75" i="32" s="1"/>
  <c r="CX71" i="32"/>
  <c r="CX82" i="32" s="1"/>
  <c r="CF66" i="32"/>
  <c r="CF77" i="32" s="1"/>
  <c r="BC73" i="32"/>
  <c r="BC85" i="32" s="1"/>
  <c r="BS71" i="32"/>
  <c r="BS82" i="32" s="1"/>
  <c r="BK70" i="32"/>
  <c r="BK81" i="32" s="1"/>
  <c r="BC69" i="32"/>
  <c r="BC80" i="32" s="1"/>
  <c r="BS67" i="32"/>
  <c r="BK66" i="32"/>
  <c r="BC65" i="32"/>
  <c r="BC76" i="32" s="1"/>
  <c r="CB66" i="32"/>
  <c r="CB77" i="32" s="1"/>
  <c r="BN69" i="32"/>
  <c r="BN80" i="32" s="1"/>
  <c r="BF64" i="32"/>
  <c r="BF75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Q65" i="32"/>
  <c r="DQ76" i="32" s="1"/>
  <c r="DJ64" i="32"/>
  <c r="DJ75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DY64" i="32"/>
  <c r="DY75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S65" i="32"/>
  <c r="DS76" i="32" s="1"/>
  <c r="DL64" i="32"/>
  <c r="DL75" i="32" s="1"/>
  <c r="DZ69" i="32"/>
  <c r="DZ80" i="32" s="1"/>
  <c r="DW64" i="32"/>
  <c r="DW75" i="32" s="1"/>
  <c r="CV72" i="32"/>
  <c r="CV84" i="32" s="1"/>
  <c r="CO71" i="32"/>
  <c r="CO82" i="32" s="1"/>
  <c r="CH70" i="32"/>
  <c r="CH81" i="32" s="1"/>
  <c r="CV68" i="32"/>
  <c r="CV79" i="32" s="1"/>
  <c r="CO67" i="32"/>
  <c r="CO78" i="32" s="1"/>
  <c r="DF69" i="32"/>
  <c r="DF80" i="32" s="1"/>
  <c r="DR73" i="32"/>
  <c r="DR85" i="32" s="1"/>
  <c r="EB67" i="32"/>
  <c r="EB78" i="32" s="1"/>
  <c r="CX73" i="32"/>
  <c r="CX85" i="32" s="1"/>
  <c r="CH72" i="32"/>
  <c r="CH84" i="32" s="1"/>
  <c r="CJ70" i="32"/>
  <c r="CJ81" i="32" s="1"/>
  <c r="CS68" i="32"/>
  <c r="CS79" i="32" s="1"/>
  <c r="CD67" i="32"/>
  <c r="CD78" i="32" s="1"/>
  <c r="CR65" i="32"/>
  <c r="CR76" i="32" s="1"/>
  <c r="CK64" i="32"/>
  <c r="CK75" i="32" s="1"/>
  <c r="CW73" i="32"/>
  <c r="CW85" i="32" s="1"/>
  <c r="CG72" i="32"/>
  <c r="CG84" i="32" s="1"/>
  <c r="CI70" i="32"/>
  <c r="CI81" i="32" s="1"/>
  <c r="CQ68" i="32"/>
  <c r="CQ79" i="32" s="1"/>
  <c r="CX66" i="32"/>
  <c r="CX77" i="32" s="1"/>
  <c r="CQ65" i="32"/>
  <c r="CQ76" i="32" s="1"/>
  <c r="CF64" i="32"/>
  <c r="CF75" i="32" s="1"/>
  <c r="CF73" i="32"/>
  <c r="CF85" i="32" s="1"/>
  <c r="CI71" i="32"/>
  <c r="CI82" i="32" s="1"/>
  <c r="CP69" i="32"/>
  <c r="CP80" i="32" s="1"/>
  <c r="CT67" i="32"/>
  <c r="CT78" i="32" s="1"/>
  <c r="CK66" i="32"/>
  <c r="CK77" i="32" s="1"/>
  <c r="CD65" i="32"/>
  <c r="CD76" i="32" s="1"/>
  <c r="CO73" i="32"/>
  <c r="CO85" i="32" s="1"/>
  <c r="CE67" i="32"/>
  <c r="CE78" i="32" s="1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E65" i="32"/>
  <c r="BE76" i="32" s="1"/>
  <c r="AW64" i="32"/>
  <c r="AW75" i="32" s="1"/>
  <c r="CT69" i="32"/>
  <c r="CT80" i="32" s="1"/>
  <c r="BP73" i="32"/>
  <c r="BP85" i="32" s="1"/>
  <c r="BH72" i="32"/>
  <c r="BH84" i="32" s="1"/>
  <c r="AZ71" i="32"/>
  <c r="AZ82" i="32" s="1"/>
  <c r="BP69" i="32"/>
  <c r="BP80" i="32" s="1"/>
  <c r="BH68" i="32"/>
  <c r="BH79" i="32" s="1"/>
  <c r="AZ67" i="32"/>
  <c r="BP65" i="32"/>
  <c r="BH64" i="32"/>
  <c r="BH75" i="32" s="1"/>
  <c r="CB71" i="32"/>
  <c r="CB82" i="32" s="1"/>
  <c r="CS65" i="32"/>
  <c r="CS76" i="32" s="1"/>
  <c r="AY73" i="32"/>
  <c r="AY85" i="32" s="1"/>
  <c r="BO71" i="32"/>
  <c r="BO82" i="32" s="1"/>
  <c r="BG70" i="32"/>
  <c r="BG81" i="32" s="1"/>
  <c r="AY69" i="32"/>
  <c r="AY80" i="32" s="1"/>
  <c r="BO67" i="32"/>
  <c r="BG66" i="32"/>
  <c r="AY65" i="32"/>
  <c r="CL64" i="32"/>
  <c r="CL75" i="32" s="1"/>
  <c r="AX69" i="32"/>
  <c r="AX80" i="32" s="1"/>
  <c r="DF68" i="32"/>
  <c r="DF79" i="32" s="1"/>
  <c r="DU72" i="32"/>
  <c r="DU84" i="32" s="1"/>
  <c r="DN67" i="32"/>
  <c r="DN78" i="32" s="1"/>
  <c r="DH72" i="32"/>
  <c r="DH84" i="32" s="1"/>
  <c r="DV66" i="32"/>
  <c r="DV77" i="32" s="1"/>
  <c r="DG64" i="32"/>
  <c r="DG75" i="32" s="1"/>
  <c r="CP70" i="32"/>
  <c r="CP81" i="32" s="1"/>
  <c r="DP71" i="32"/>
  <c r="DP82" i="32" s="1"/>
  <c r="DL67" i="32"/>
  <c r="DL78" i="32" s="1"/>
  <c r="CU70" i="32"/>
  <c r="CU81" i="32" s="1"/>
  <c r="CM66" i="32"/>
  <c r="CM77" i="32" s="1"/>
  <c r="CR73" i="32"/>
  <c r="CR85" i="32" s="1"/>
  <c r="CB69" i="32"/>
  <c r="CB80" i="32" s="1"/>
  <c r="CV64" i="32"/>
  <c r="CV75" i="32" s="1"/>
  <c r="CD71" i="32"/>
  <c r="CD82" i="32" s="1"/>
  <c r="CS66" i="32"/>
  <c r="CS77" i="32" s="1"/>
  <c r="CV70" i="32"/>
  <c r="CV81" i="32" s="1"/>
  <c r="BQ71" i="32"/>
  <c r="BQ82" i="32" s="1"/>
  <c r="BE68" i="32"/>
  <c r="BE79" i="32" s="1"/>
  <c r="BM64" i="32"/>
  <c r="BM75" i="32" s="1"/>
  <c r="BL73" i="32"/>
  <c r="BL85" i="32" s="1"/>
  <c r="AZ70" i="32"/>
  <c r="AZ81" i="32" s="1"/>
  <c r="BH66" i="32"/>
  <c r="CK70" i="32"/>
  <c r="CK81" i="32" s="1"/>
  <c r="AY72" i="32"/>
  <c r="AY84" i="32" s="1"/>
  <c r="BG68" i="32"/>
  <c r="BG79" i="32" s="1"/>
  <c r="BS64" i="32"/>
  <c r="BS75" i="32" s="1"/>
  <c r="AX65" i="32"/>
  <c r="BB70" i="32"/>
  <c r="BB81" i="32" s="1"/>
  <c r="BR64" i="32"/>
  <c r="BR75" i="32" s="1"/>
  <c r="AX70" i="32"/>
  <c r="AX81" i="32" s="1"/>
  <c r="BN64" i="32"/>
  <c r="BN75" i="32" s="1"/>
  <c r="BB71" i="32"/>
  <c r="BB82" i="32" s="1"/>
  <c r="BJ64" i="32"/>
  <c r="BJ75" i="32" s="1"/>
  <c r="DM69" i="32"/>
  <c r="DM80" i="32" s="1"/>
  <c r="CC72" i="32"/>
  <c r="CC84" i="32" s="1"/>
  <c r="CN67" i="32"/>
  <c r="CN78" i="32" s="1"/>
  <c r="AV71" i="32"/>
  <c r="AV82" i="32" s="1"/>
  <c r="BB66" i="32"/>
  <c r="DT67" i="32"/>
  <c r="DT78" i="32" s="1"/>
  <c r="CX70" i="32"/>
  <c r="CX81" i="32" s="1"/>
  <c r="CL69" i="32"/>
  <c r="CL80" i="32" s="1"/>
  <c r="BE72" i="32"/>
  <c r="BE84" i="32" s="1"/>
  <c r="AV67" i="32"/>
  <c r="BR70" i="32"/>
  <c r="BR81" i="32" s="1"/>
  <c r="BB65" i="32"/>
  <c r="BB76" i="32" s="1"/>
  <c r="DM73" i="32"/>
  <c r="DM85" i="32" s="1"/>
  <c r="DS67" i="32"/>
  <c r="DS78" i="32" s="1"/>
  <c r="DI72" i="32"/>
  <c r="DI84" i="32" s="1"/>
  <c r="EA66" i="32"/>
  <c r="EA77" i="32" s="1"/>
  <c r="DQ71" i="32"/>
  <c r="DQ82" i="32" s="1"/>
  <c r="DJ66" i="32"/>
  <c r="DJ77" i="32" s="1"/>
  <c r="CQ73" i="32"/>
  <c r="CQ85" i="32" s="1"/>
  <c r="CD70" i="32"/>
  <c r="CD81" i="32" s="1"/>
  <c r="DI70" i="32"/>
  <c r="DI81" i="32" s="1"/>
  <c r="DR65" i="32"/>
  <c r="DR76" i="32" s="1"/>
  <c r="CE70" i="32"/>
  <c r="CE81" i="32" s="1"/>
  <c r="CE66" i="32"/>
  <c r="CE77" i="32" s="1"/>
  <c r="CB73" i="32"/>
  <c r="CB85" i="32" s="1"/>
  <c r="CL68" i="32"/>
  <c r="CL79" i="32" s="1"/>
  <c r="CN64" i="32"/>
  <c r="CN75" i="32" s="1"/>
  <c r="CM70" i="32"/>
  <c r="CM81" i="32" s="1"/>
  <c r="CG66" i="32"/>
  <c r="CG77" i="32" s="1"/>
  <c r="CO68" i="32"/>
  <c r="CO79" i="32" s="1"/>
  <c r="BE71" i="32"/>
  <c r="BE82" i="32" s="1"/>
  <c r="BQ67" i="32"/>
  <c r="BE64" i="32"/>
  <c r="AZ73" i="32"/>
  <c r="AZ85" i="32" s="1"/>
  <c r="BL69" i="32"/>
  <c r="BL80" i="32" s="1"/>
  <c r="AZ66" i="32"/>
  <c r="CD68" i="32"/>
  <c r="CD79" i="32" s="1"/>
  <c r="BK71" i="32"/>
  <c r="BK82" i="32" s="1"/>
  <c r="AY68" i="32"/>
  <c r="AY79" i="32" s="1"/>
  <c r="BG64" i="32"/>
  <c r="BG75" i="32" s="1"/>
  <c r="CT73" i="32"/>
  <c r="CT85" i="32" s="1"/>
  <c r="BJ69" i="32"/>
  <c r="BJ80" i="32" s="1"/>
  <c r="BB64" i="32"/>
  <c r="BF69" i="32"/>
  <c r="BF80" i="32" s="1"/>
  <c r="AX64" i="32"/>
  <c r="AX75" i="32" s="1"/>
  <c r="BJ68" i="32"/>
  <c r="BJ79" i="32" s="1"/>
  <c r="CR66" i="32"/>
  <c r="CR77" i="32" s="1"/>
  <c r="DO73" i="32"/>
  <c r="DO85" i="32" s="1"/>
  <c r="DH71" i="32"/>
  <c r="DH82" i="32" s="1"/>
  <c r="CE64" i="32"/>
  <c r="CE75" i="32" s="1"/>
  <c r="BH67" i="32"/>
  <c r="BH78" i="32" s="1"/>
  <c r="BJ71" i="32"/>
  <c r="BJ82" i="32" s="1"/>
  <c r="EB72" i="32"/>
  <c r="EB84" i="32" s="1"/>
  <c r="DQ66" i="32"/>
  <c r="DQ77" i="32" s="1"/>
  <c r="CY72" i="32"/>
  <c r="CY84" i="32" s="1"/>
  <c r="BH70" i="32"/>
  <c r="BH81" i="32" s="1"/>
  <c r="BF66" i="32"/>
  <c r="BR73" i="32"/>
  <c r="BR85" i="32" s="1"/>
  <c r="DF72" i="32"/>
  <c r="DF84" i="32" s="1"/>
  <c r="DX66" i="32"/>
  <c r="DX77" i="32" s="1"/>
  <c r="DN71" i="32"/>
  <c r="DN82" i="32" s="1"/>
  <c r="DG66" i="32"/>
  <c r="DG77" i="32" s="1"/>
  <c r="DV70" i="32"/>
  <c r="DV81" i="32" s="1"/>
  <c r="DO65" i="32"/>
  <c r="DO76" i="32" s="1"/>
  <c r="CI73" i="32"/>
  <c r="CI85" i="32" s="1"/>
  <c r="CQ69" i="32"/>
  <c r="CQ80" i="32" s="1"/>
  <c r="DS68" i="32"/>
  <c r="DS79" i="32" s="1"/>
  <c r="DX71" i="32"/>
  <c r="DX82" i="32" s="1"/>
  <c r="CN69" i="32"/>
  <c r="CN80" i="32" s="1"/>
  <c r="CN65" i="32"/>
  <c r="CN76" i="32" s="1"/>
  <c r="CQ72" i="32"/>
  <c r="CQ84" i="32" s="1"/>
  <c r="CP67" i="32"/>
  <c r="CP78" i="32" s="1"/>
  <c r="CB64" i="32"/>
  <c r="CB75" i="32" s="1"/>
  <c r="CB70" i="32"/>
  <c r="CB81" i="32" s="1"/>
  <c r="CT65" i="32"/>
  <c r="CT76" i="32" s="1"/>
  <c r="CN66" i="32"/>
  <c r="CN77" i="32" s="1"/>
  <c r="AW71" i="32"/>
  <c r="AW82" i="32" s="1"/>
  <c r="BE67" i="32"/>
  <c r="BE78" i="32" s="1"/>
  <c r="DN73" i="32"/>
  <c r="DN85" i="32" s="1"/>
  <c r="BP72" i="32"/>
  <c r="BP84" i="32" s="1"/>
  <c r="AZ69" i="32"/>
  <c r="AZ80" i="32" s="1"/>
  <c r="BL65" i="32"/>
  <c r="BL76" i="32" s="1"/>
  <c r="CV66" i="32"/>
  <c r="CV77" i="32" s="1"/>
  <c r="AY71" i="32"/>
  <c r="AY82" i="32" s="1"/>
  <c r="BK67" i="32"/>
  <c r="BK78" i="32" s="1"/>
  <c r="AY64" i="32"/>
  <c r="AY75" i="32" s="1"/>
  <c r="CR71" i="32"/>
  <c r="CR82" i="32" s="1"/>
  <c r="BR68" i="32"/>
  <c r="CO65" i="32"/>
  <c r="CO76" i="32" s="1"/>
  <c r="BN68" i="32"/>
  <c r="BN79" i="32" s="1"/>
  <c r="CT68" i="32"/>
  <c r="CT79" i="32" s="1"/>
  <c r="BR65" i="32"/>
  <c r="BJ72" i="32"/>
  <c r="BJ84" i="32" s="1"/>
  <c r="DF64" i="32"/>
  <c r="DF75" i="32" s="1"/>
  <c r="CL67" i="32"/>
  <c r="CL78" i="32" s="1"/>
  <c r="BA69" i="32"/>
  <c r="BA80" i="32" s="1"/>
  <c r="BS72" i="32"/>
  <c r="BS84" i="32" s="1"/>
  <c r="BF71" i="32"/>
  <c r="BF82" i="32" s="1"/>
  <c r="DT73" i="32"/>
  <c r="DT85" i="32" s="1"/>
  <c r="CL71" i="32"/>
  <c r="CL82" i="32" s="1"/>
  <c r="CB67" i="32"/>
  <c r="CB78" i="32" s="1"/>
  <c r="CO72" i="32"/>
  <c r="CO84" i="32" s="1"/>
  <c r="BJ65" i="32"/>
  <c r="BJ76" i="32" s="1"/>
  <c r="DS71" i="32"/>
  <c r="DS82" i="32" s="1"/>
  <c r="DL66" i="32"/>
  <c r="DL77" i="32" s="1"/>
  <c r="EA70" i="32"/>
  <c r="EA81" i="32" s="1"/>
  <c r="DT65" i="32"/>
  <c r="DT76" i="32" s="1"/>
  <c r="DJ70" i="32"/>
  <c r="DJ81" i="32" s="1"/>
  <c r="EB64" i="32"/>
  <c r="EB75" i="32" s="1"/>
  <c r="CR72" i="32"/>
  <c r="CR84" i="32" s="1"/>
  <c r="CI69" i="32"/>
  <c r="CI80" i="32" s="1"/>
  <c r="DI66" i="32"/>
  <c r="DI77" i="32" s="1"/>
  <c r="CS73" i="32"/>
  <c r="CS85" i="32" s="1"/>
  <c r="CC69" i="32"/>
  <c r="CC80" i="32" s="1"/>
  <c r="CB65" i="32"/>
  <c r="CB76" i="32" s="1"/>
  <c r="CU71" i="32"/>
  <c r="CU82" i="32" s="1"/>
  <c r="CG67" i="32"/>
  <c r="CG78" i="32" s="1"/>
  <c r="DK64" i="32"/>
  <c r="DK75" i="32" s="1"/>
  <c r="CK69" i="32"/>
  <c r="CK80" i="32" s="1"/>
  <c r="CL65" i="32"/>
  <c r="CL76" i="32" s="1"/>
  <c r="CH64" i="32"/>
  <c r="CH75" i="32" s="1"/>
  <c r="BI70" i="32"/>
  <c r="BI81" i="32" s="1"/>
  <c r="AW67" i="32"/>
  <c r="CJ73" i="32"/>
  <c r="CJ85" i="32" s="1"/>
  <c r="BD72" i="32"/>
  <c r="BD84" i="32" s="1"/>
  <c r="BP68" i="32"/>
  <c r="BP79" i="32" s="1"/>
  <c r="AZ65" i="32"/>
  <c r="CC65" i="32"/>
  <c r="CC76" i="32" s="1"/>
  <c r="BO70" i="32"/>
  <c r="BO81" i="32" s="1"/>
  <c r="AY67" i="32"/>
  <c r="BN73" i="32"/>
  <c r="BN85" i="32" s="1"/>
  <c r="CJ69" i="32"/>
  <c r="CJ80" i="32" s="1"/>
  <c r="BB68" i="32"/>
  <c r="BB79" i="32" s="1"/>
  <c r="BF73" i="32"/>
  <c r="BF85" i="32" s="1"/>
  <c r="AX68" i="32"/>
  <c r="AX79" i="32" s="1"/>
  <c r="BR71" i="32"/>
  <c r="BR82" i="32" s="1"/>
  <c r="CI72" i="32"/>
  <c r="CI84" i="32" s="1"/>
  <c r="BR69" i="32"/>
  <c r="BR80" i="32" s="1"/>
  <c r="DH68" i="32"/>
  <c r="DH79" i="32" s="1"/>
  <c r="CW67" i="32"/>
  <c r="CW78" i="32" s="1"/>
  <c r="CY65" i="32"/>
  <c r="CY76" i="32" s="1"/>
  <c r="BM65" i="32"/>
  <c r="BM76" i="32" s="1"/>
  <c r="BG69" i="32"/>
  <c r="BG80" i="32" s="1"/>
  <c r="AX66" i="32"/>
  <c r="DI68" i="32"/>
  <c r="DI79" i="32" s="1"/>
  <c r="CY66" i="32"/>
  <c r="CY77" i="32" s="1"/>
  <c r="BM68" i="32"/>
  <c r="BM79" i="32" s="1"/>
  <c r="BG72" i="32"/>
  <c r="BG84" i="32" s="1"/>
  <c r="BN70" i="32"/>
  <c r="BN81" i="32" s="1"/>
  <c r="DX70" i="32"/>
  <c r="DX81" i="32" s="1"/>
  <c r="DM65" i="32"/>
  <c r="DM76" i="32" s="1"/>
  <c r="DG70" i="32"/>
  <c r="DG81" i="32" s="1"/>
  <c r="DU64" i="32"/>
  <c r="DU75" i="32" s="1"/>
  <c r="DO69" i="32"/>
  <c r="DO80" i="32" s="1"/>
  <c r="DH64" i="32"/>
  <c r="DH75" i="32" s="1"/>
  <c r="CF72" i="32"/>
  <c r="CF84" i="32" s="1"/>
  <c r="CR68" i="32"/>
  <c r="CR79" i="32" s="1"/>
  <c r="DF65" i="32"/>
  <c r="DF76" i="32" s="1"/>
  <c r="CC73" i="32"/>
  <c r="CC85" i="32" s="1"/>
  <c r="CM68" i="32"/>
  <c r="CM79" i="32" s="1"/>
  <c r="CS64" i="32"/>
  <c r="CS75" i="32" s="1"/>
  <c r="CE71" i="32"/>
  <c r="CE82" i="32" s="1"/>
  <c r="CT66" i="32"/>
  <c r="CT77" i="32" s="1"/>
  <c r="CP73" i="32"/>
  <c r="CP85" i="32" s="1"/>
  <c r="CP68" i="32"/>
  <c r="CP79" i="32" s="1"/>
  <c r="CY64" i="32"/>
  <c r="CY75" i="32" s="1"/>
  <c r="BM73" i="32"/>
  <c r="BM85" i="32" s="1"/>
  <c r="AW70" i="32"/>
  <c r="AW81" i="32" s="1"/>
  <c r="BI66" i="32"/>
  <c r="CH71" i="32"/>
  <c r="CH82" i="32" s="1"/>
  <c r="BP71" i="32"/>
  <c r="BP82" i="32" s="1"/>
  <c r="BD68" i="32"/>
  <c r="BD79" i="32" s="1"/>
  <c r="BP64" i="32"/>
  <c r="BP75" i="32" s="1"/>
  <c r="BO73" i="32"/>
  <c r="BO85" i="32" s="1"/>
  <c r="BC70" i="32"/>
  <c r="BC81" i="32" s="1"/>
  <c r="BO66" i="32"/>
  <c r="BN71" i="32"/>
  <c r="BN82" i="32" s="1"/>
  <c r="BJ73" i="32"/>
  <c r="BJ85" i="32" s="1"/>
  <c r="BJ67" i="32"/>
  <c r="BJ78" i="32" s="1"/>
  <c r="BN72" i="32"/>
  <c r="BN84" i="32" s="1"/>
  <c r="BF67" i="32"/>
  <c r="BF78" i="32" s="1"/>
  <c r="BB69" i="32"/>
  <c r="BB80" i="32" s="1"/>
  <c r="BB73" i="32"/>
  <c r="BB85" i="32" s="1"/>
  <c r="BB67" i="32"/>
  <c r="BB78" i="32" s="1"/>
  <c r="DU68" i="32"/>
  <c r="DU79" i="32" s="1"/>
  <c r="DU70" i="32"/>
  <c r="DU81" i="32" s="1"/>
  <c r="CE72" i="32"/>
  <c r="CE84" i="32" s="1"/>
  <c r="CW65" i="32"/>
  <c r="CW76" i="32" s="1"/>
  <c r="BO65" i="32"/>
  <c r="BR67" i="32"/>
  <c r="DQ67" i="32"/>
  <c r="DQ78" i="32" s="1"/>
  <c r="DR69" i="32"/>
  <c r="DR80" i="32" s="1"/>
  <c r="CM65" i="32"/>
  <c r="CM76" i="32" s="1"/>
  <c r="BA65" i="32"/>
  <c r="BA76" i="32" s="1"/>
  <c r="BS68" i="32"/>
  <c r="BF65" i="32"/>
  <c r="BF76" i="32" s="1"/>
  <c r="DL70" i="32"/>
  <c r="DL81" i="32" s="1"/>
  <c r="DZ64" i="32"/>
  <c r="DZ75" i="32" s="1"/>
  <c r="DT69" i="32"/>
  <c r="DT80" i="32" s="1"/>
  <c r="DI64" i="32"/>
  <c r="DI75" i="32" s="1"/>
  <c r="EB68" i="32"/>
  <c r="EB79" i="32" s="1"/>
  <c r="DW72" i="32"/>
  <c r="DW84" i="32" s="1"/>
  <c r="CW71" i="32"/>
  <c r="CW82" i="32" s="1"/>
  <c r="CF68" i="32"/>
  <c r="CF79" i="32" s="1"/>
  <c r="DO72" i="32"/>
  <c r="DO84" i="32" s="1"/>
  <c r="CS72" i="32"/>
  <c r="CS84" i="32" s="1"/>
  <c r="CV67" i="32"/>
  <c r="CV78" i="32" s="1"/>
  <c r="CG64" i="32"/>
  <c r="CG75" i="32" s="1"/>
  <c r="CS70" i="32"/>
  <c r="CS81" i="32" s="1"/>
  <c r="CH66" i="32"/>
  <c r="CH77" i="32" s="1"/>
  <c r="CU72" i="32"/>
  <c r="CU84" i="32" s="1"/>
  <c r="CE68" i="32"/>
  <c r="CE79" i="32" s="1"/>
  <c r="CM64" i="32"/>
  <c r="CM75" i="32" s="1"/>
  <c r="BA73" i="32"/>
  <c r="BA85" i="32" s="1"/>
  <c r="BM69" i="32"/>
  <c r="BM80" i="32" s="1"/>
  <c r="AW66" i="32"/>
  <c r="CI68" i="32"/>
  <c r="CI79" i="32" s="1"/>
  <c r="BH71" i="32"/>
  <c r="BH82" i="32" s="1"/>
  <c r="BP67" i="32"/>
  <c r="BD64" i="32"/>
  <c r="BG73" i="32"/>
  <c r="BG85" i="32" s="1"/>
  <c r="BO69" i="32"/>
  <c r="BO80" i="32" s="1"/>
  <c r="BC66" i="32"/>
  <c r="BF70" i="32"/>
  <c r="BF81" i="32" s="1"/>
  <c r="BB72" i="32"/>
  <c r="BB84" i="32" s="1"/>
  <c r="BR66" i="32"/>
  <c r="AX72" i="32"/>
  <c r="AX84" i="32" s="1"/>
  <c r="BN66" i="32"/>
  <c r="BJ66" i="32"/>
  <c r="BJ70" i="32"/>
  <c r="BJ81" i="32" s="1"/>
  <c r="DJ69" i="32"/>
  <c r="DJ80" i="32" s="1"/>
  <c r="CK71" i="32"/>
  <c r="CK82" i="32" s="1"/>
  <c r="CC70" i="32"/>
  <c r="CC81" i="32" s="1"/>
  <c r="BM72" i="32"/>
  <c r="BM84" i="32" s="1"/>
  <c r="DH67" i="32"/>
  <c r="DH78" i="32" s="1"/>
  <c r="BF68" i="32"/>
  <c r="BF79" i="32" s="1"/>
  <c r="CF70" i="32"/>
  <c r="CF81" i="32" s="1"/>
  <c r="DZ68" i="32"/>
  <c r="DZ79" i="32" s="1"/>
  <c r="DV73" i="32"/>
  <c r="DV85" i="32" s="1"/>
  <c r="CT71" i="32"/>
  <c r="CT82" i="32" s="1"/>
  <c r="CT64" i="32"/>
  <c r="CT75" i="32" s="1"/>
  <c r="BG65" i="32"/>
  <c r="BG76" i="32" s="1"/>
  <c r="P198" i="32"/>
  <c r="Q198" i="32" s="1"/>
  <c r="Q200" i="32" s="1"/>
  <c r="D202" i="32" s="1"/>
  <c r="P199" i="32"/>
  <c r="Q199" i="32" s="1"/>
  <c r="L254" i="32"/>
  <c r="D263" i="32" s="1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W200" i="32" l="1"/>
  <c r="D203" i="32" s="1"/>
  <c r="D267" i="32"/>
  <c r="O260" i="32"/>
  <c r="D268" i="32"/>
  <c r="BB126" i="32"/>
  <c r="BB172" i="32" s="1"/>
  <c r="BB137" i="32"/>
  <c r="EA140" i="32"/>
  <c r="EA129" i="32"/>
  <c r="EA175" i="32" s="1"/>
  <c r="DL128" i="32"/>
  <c r="DL174" i="32" s="1"/>
  <c r="DL139" i="32"/>
  <c r="DG136" i="32"/>
  <c r="DG125" i="32"/>
  <c r="DG171" i="32" s="1"/>
  <c r="DG141" i="32"/>
  <c r="DG130" i="32"/>
  <c r="DG176" i="32" s="1"/>
  <c r="DX130" i="32"/>
  <c r="DX176" i="32" s="1"/>
  <c r="DX141" i="32"/>
  <c r="BN135" i="32"/>
  <c r="BN124" i="32"/>
  <c r="BN170" i="32" s="1"/>
  <c r="BO140" i="32"/>
  <c r="BO129" i="32"/>
  <c r="BO175" i="32" s="1"/>
  <c r="BP138" i="32"/>
  <c r="BP127" i="32"/>
  <c r="BP173" i="32" s="1"/>
  <c r="AW126" i="32"/>
  <c r="AW172" i="32" s="1"/>
  <c r="AW137" i="32"/>
  <c r="CJ135" i="32"/>
  <c r="CJ124" i="32"/>
  <c r="CJ170" i="32" s="1"/>
  <c r="CW126" i="32"/>
  <c r="CW172" i="32" s="1"/>
  <c r="CW137" i="32"/>
  <c r="CV139" i="32"/>
  <c r="CV128" i="32"/>
  <c r="CV174" i="32" s="1"/>
  <c r="CG139" i="32"/>
  <c r="CG128" i="32"/>
  <c r="CG174" i="32" s="1"/>
  <c r="DK137" i="32"/>
  <c r="DK126" i="32"/>
  <c r="DK172" i="32" s="1"/>
  <c r="EB137" i="32"/>
  <c r="EB126" i="32"/>
  <c r="EB172" i="32" s="1"/>
  <c r="DT127" i="32"/>
  <c r="DT173" i="32" s="1"/>
  <c r="DT138" i="32"/>
  <c r="L257" i="32"/>
  <c r="O257" i="32" s="1"/>
  <c r="DZ125" i="32"/>
  <c r="DZ171" i="32" s="1"/>
  <c r="DZ136" i="32"/>
  <c r="DZ132" i="32"/>
  <c r="DZ121" i="32"/>
  <c r="DZ167" i="32" s="1"/>
  <c r="BF141" i="32"/>
  <c r="BF130" i="32"/>
  <c r="BF176" i="32" s="1"/>
  <c r="AY121" i="32"/>
  <c r="AY167" i="32" s="1"/>
  <c r="AY132" i="32"/>
  <c r="BK139" i="32"/>
  <c r="BK128" i="32"/>
  <c r="BK174" i="32" s="1"/>
  <c r="BN121" i="32"/>
  <c r="BN167" i="32" s="1"/>
  <c r="BN132" i="32"/>
  <c r="AY141" i="32"/>
  <c r="AY130" i="32"/>
  <c r="AY176" i="32" s="1"/>
  <c r="CO139" i="32"/>
  <c r="CO128" i="32"/>
  <c r="CO174" i="32" s="1"/>
  <c r="AV153" i="32"/>
  <c r="AV77" i="32"/>
  <c r="DV137" i="32"/>
  <c r="DV126" i="32"/>
  <c r="DV172" i="32" s="1"/>
  <c r="DR132" i="32"/>
  <c r="DR121" i="32"/>
  <c r="DR167" i="32" s="1"/>
  <c r="CP122" i="32"/>
  <c r="CP168" i="32" s="1"/>
  <c r="CP133" i="32"/>
  <c r="DV125" i="32"/>
  <c r="DV171" i="32" s="1"/>
  <c r="DV136" i="32"/>
  <c r="CR127" i="32"/>
  <c r="CR173" i="32" s="1"/>
  <c r="CR138" i="32"/>
  <c r="DE130" i="32"/>
  <c r="DE176" i="32" s="1"/>
  <c r="DE141" i="32"/>
  <c r="BH137" i="32"/>
  <c r="BH126" i="32"/>
  <c r="BH172" i="32" s="1"/>
  <c r="CG125" i="32"/>
  <c r="CG171" i="32" s="1"/>
  <c r="CG136" i="32"/>
  <c r="DI126" i="32"/>
  <c r="DI172" i="32" s="1"/>
  <c r="DI137" i="32"/>
  <c r="DO140" i="32"/>
  <c r="DO129" i="32"/>
  <c r="DO175" i="32" s="1"/>
  <c r="BP132" i="32"/>
  <c r="BP121" i="32"/>
  <c r="BP167" i="32" s="1"/>
  <c r="BN138" i="32"/>
  <c r="BN127" i="32"/>
  <c r="BN173" i="32" s="1"/>
  <c r="EB132" i="32"/>
  <c r="EB121" i="32"/>
  <c r="EB167" i="32" s="1"/>
  <c r="CN126" i="32"/>
  <c r="CN172" i="32" s="1"/>
  <c r="CN137" i="32"/>
  <c r="DI138" i="32"/>
  <c r="DI127" i="32"/>
  <c r="DI173" i="32" s="1"/>
  <c r="CD139" i="32"/>
  <c r="CD128" i="32"/>
  <c r="CD174" i="32" s="1"/>
  <c r="BM127" i="32"/>
  <c r="BM173" i="32" s="1"/>
  <c r="BM138" i="32"/>
  <c r="CV140" i="32"/>
  <c r="CV129" i="32"/>
  <c r="CV175" i="32" s="1"/>
  <c r="DJ140" i="32"/>
  <c r="DJ129" i="32"/>
  <c r="DJ175" i="32" s="1"/>
  <c r="EA136" i="32"/>
  <c r="EA125" i="32"/>
  <c r="EA171" i="32" s="1"/>
  <c r="CH135" i="32"/>
  <c r="CH124" i="32"/>
  <c r="CH170" i="32" s="1"/>
  <c r="DW133" i="32"/>
  <c r="DW122" i="32"/>
  <c r="DW168" i="32" s="1"/>
  <c r="DG135" i="32"/>
  <c r="DG124" i="32"/>
  <c r="DG170" i="32" s="1"/>
  <c r="DY133" i="32"/>
  <c r="DY122" i="32"/>
  <c r="DY168" i="32" s="1"/>
  <c r="BI136" i="32"/>
  <c r="BI125" i="32"/>
  <c r="BI171" i="32" s="1"/>
  <c r="CW123" i="32"/>
  <c r="CW169" i="32" s="1"/>
  <c r="CW134" i="32"/>
  <c r="CG126" i="32"/>
  <c r="CG172" i="32" s="1"/>
  <c r="CG137" i="32"/>
  <c r="CF139" i="32"/>
  <c r="CF128" i="32"/>
  <c r="CF174" i="32" s="1"/>
  <c r="CT127" i="32"/>
  <c r="CT173" i="32" s="1"/>
  <c r="CT138" i="32"/>
  <c r="DX136" i="32"/>
  <c r="DX125" i="32"/>
  <c r="DX171" i="32" s="1"/>
  <c r="DP137" i="32"/>
  <c r="DP126" i="32"/>
  <c r="DP172" i="32" s="1"/>
  <c r="DH138" i="32"/>
  <c r="DH127" i="32"/>
  <c r="DH173" i="32" s="1"/>
  <c r="BS152" i="32"/>
  <c r="BS76" i="32"/>
  <c r="AV132" i="32"/>
  <c r="AV121" i="32"/>
  <c r="AV167" i="32" s="1"/>
  <c r="BQ140" i="32"/>
  <c r="BQ129" i="32"/>
  <c r="BQ175" i="32" s="1"/>
  <c r="CK140" i="32"/>
  <c r="CK129" i="32"/>
  <c r="CK175" i="32" s="1"/>
  <c r="BF125" i="32"/>
  <c r="BF171" i="32" s="1"/>
  <c r="BF136" i="32"/>
  <c r="BN153" i="32"/>
  <c r="BN160" i="32" s="1"/>
  <c r="BN161" i="32" s="1"/>
  <c r="BN162" i="32" s="1"/>
  <c r="BN77" i="32"/>
  <c r="BD151" i="32"/>
  <c r="BD75" i="32"/>
  <c r="CE136" i="32"/>
  <c r="CE125" i="32"/>
  <c r="CE171" i="32" s="1"/>
  <c r="CF136" i="32"/>
  <c r="CF125" i="32"/>
  <c r="CF171" i="32" s="1"/>
  <c r="BF133" i="32"/>
  <c r="BF122" i="32"/>
  <c r="BF168" i="32" s="1"/>
  <c r="CW133" i="32"/>
  <c r="CW122" i="32"/>
  <c r="CW168" i="32" s="1"/>
  <c r="BN140" i="32"/>
  <c r="BN129" i="32"/>
  <c r="BN175" i="32" s="1"/>
  <c r="BD136" i="32"/>
  <c r="BD125" i="32"/>
  <c r="BD171" i="32" s="1"/>
  <c r="CP141" i="32"/>
  <c r="CP130" i="32"/>
  <c r="CP176" i="32" s="1"/>
  <c r="CF140" i="32"/>
  <c r="CF129" i="32"/>
  <c r="CF175" i="32" s="1"/>
  <c r="BG129" i="32"/>
  <c r="BG175" i="32" s="1"/>
  <c r="BG140" i="32"/>
  <c r="CW135" i="32"/>
  <c r="CW124" i="32"/>
  <c r="CW170" i="32" s="1"/>
  <c r="CJ126" i="32"/>
  <c r="CJ172" i="32" s="1"/>
  <c r="CJ137" i="32"/>
  <c r="CJ141" i="32"/>
  <c r="CJ130" i="32"/>
  <c r="CJ176" i="32" s="1"/>
  <c r="CU139" i="32"/>
  <c r="CU128" i="32"/>
  <c r="CU174" i="32" s="1"/>
  <c r="DJ127" i="32"/>
  <c r="DJ173" i="32" s="1"/>
  <c r="DJ138" i="32"/>
  <c r="CL139" i="32"/>
  <c r="CL128" i="32"/>
  <c r="CL174" i="32" s="1"/>
  <c r="BR152" i="32"/>
  <c r="BR76" i="32"/>
  <c r="AY139" i="32"/>
  <c r="AY128" i="32"/>
  <c r="AY174" i="32" s="1"/>
  <c r="CN134" i="32"/>
  <c r="CN123" i="32"/>
  <c r="CN169" i="32" s="1"/>
  <c r="DX139" i="32"/>
  <c r="DX128" i="32"/>
  <c r="DX174" i="32" s="1"/>
  <c r="DX134" i="32"/>
  <c r="DX123" i="32"/>
  <c r="DX169" i="32" s="1"/>
  <c r="BJ139" i="32"/>
  <c r="BJ128" i="32"/>
  <c r="BJ174" i="32" s="1"/>
  <c r="BF137" i="32"/>
  <c r="BF126" i="32"/>
  <c r="BF172" i="32" s="1"/>
  <c r="AZ153" i="32"/>
  <c r="AZ77" i="32"/>
  <c r="CM138" i="32"/>
  <c r="CM127" i="32"/>
  <c r="CM173" i="32" s="1"/>
  <c r="CD138" i="32"/>
  <c r="CD127" i="32"/>
  <c r="CD173" i="32" s="1"/>
  <c r="BB133" i="32"/>
  <c r="BB122" i="32"/>
  <c r="BB168" i="32" s="1"/>
  <c r="AV139" i="32"/>
  <c r="AV128" i="32"/>
  <c r="AV174" i="32" s="1"/>
  <c r="BR132" i="32"/>
  <c r="BR121" i="32"/>
  <c r="BR167" i="32" s="1"/>
  <c r="AZ138" i="32"/>
  <c r="AZ127" i="32"/>
  <c r="AZ173" i="32" s="1"/>
  <c r="CV132" i="32"/>
  <c r="CV121" i="32"/>
  <c r="CV167" i="32" s="1"/>
  <c r="DG132" i="32"/>
  <c r="DG121" i="32"/>
  <c r="DG167" i="32" s="1"/>
  <c r="AY152" i="32"/>
  <c r="AY76" i="32"/>
  <c r="CB128" i="32"/>
  <c r="CB174" i="32" s="1"/>
  <c r="CB139" i="32"/>
  <c r="BP141" i="32"/>
  <c r="BP130" i="32"/>
  <c r="BP176" i="32" s="1"/>
  <c r="AW129" i="32"/>
  <c r="AW175" i="32" s="1"/>
  <c r="AW140" i="32"/>
  <c r="CI128" i="32"/>
  <c r="CI174" i="32" s="1"/>
  <c r="CI139" i="32"/>
  <c r="CW130" i="32"/>
  <c r="CW176" i="32" s="1"/>
  <c r="CW141" i="32"/>
  <c r="EB135" i="32"/>
  <c r="EB124" i="32"/>
  <c r="EB170" i="32" s="1"/>
  <c r="DW121" i="32"/>
  <c r="DW167" i="32" s="1"/>
  <c r="DW132" i="32"/>
  <c r="DL140" i="32"/>
  <c r="DL129" i="32"/>
  <c r="DL175" i="32" s="1"/>
  <c r="DY140" i="32"/>
  <c r="DY129" i="32"/>
  <c r="DY175" i="32" s="1"/>
  <c r="DQ130" i="32"/>
  <c r="DQ176" i="32" s="1"/>
  <c r="DQ141" i="32"/>
  <c r="BK138" i="32"/>
  <c r="BK127" i="32"/>
  <c r="BK173" i="32" s="1"/>
  <c r="BL136" i="32"/>
  <c r="BL125" i="32"/>
  <c r="BL171" i="32" s="1"/>
  <c r="BQ153" i="32"/>
  <c r="BQ77" i="32"/>
  <c r="CH122" i="32"/>
  <c r="CH168" i="32" s="1"/>
  <c r="CH133" i="32"/>
  <c r="CC135" i="32"/>
  <c r="CC124" i="32"/>
  <c r="CC170" i="32" s="1"/>
  <c r="CX125" i="32"/>
  <c r="CX171" i="32" s="1"/>
  <c r="CX136" i="32"/>
  <c r="CE126" i="32"/>
  <c r="CE172" i="32" s="1"/>
  <c r="CE137" i="32"/>
  <c r="DE135" i="32"/>
  <c r="DE124" i="32"/>
  <c r="DE170" i="32" s="1"/>
  <c r="DV135" i="32"/>
  <c r="DV124" i="32"/>
  <c r="DV170" i="32" s="1"/>
  <c r="DN125" i="32"/>
  <c r="DN171" i="32" s="1"/>
  <c r="DN136" i="32"/>
  <c r="EA133" i="32"/>
  <c r="EA122" i="32"/>
  <c r="EA168" i="32" s="1"/>
  <c r="DS123" i="32"/>
  <c r="DS169" i="32" s="1"/>
  <c r="DS134" i="32"/>
  <c r="DK135" i="32"/>
  <c r="DK124" i="32"/>
  <c r="DK170" i="32" s="1"/>
  <c r="AX139" i="32"/>
  <c r="AX128" i="32"/>
  <c r="AX174" i="32" s="1"/>
  <c r="BK141" i="32"/>
  <c r="BK130" i="32"/>
  <c r="BK176" i="32" s="1"/>
  <c r="BL128" i="32"/>
  <c r="BL174" i="32" s="1"/>
  <c r="BL139" i="32"/>
  <c r="BQ137" i="32"/>
  <c r="BQ126" i="32"/>
  <c r="BQ172" i="32" s="1"/>
  <c r="CK136" i="32"/>
  <c r="CK125" i="32"/>
  <c r="CK171" i="32" s="1"/>
  <c r="CY127" i="32"/>
  <c r="CY173" i="32" s="1"/>
  <c r="CY138" i="32"/>
  <c r="CX129" i="32"/>
  <c r="CX175" i="32" s="1"/>
  <c r="CX140" i="32"/>
  <c r="CB140" i="32"/>
  <c r="CB129" i="32"/>
  <c r="CB175" i="32" s="1"/>
  <c r="DF138" i="32"/>
  <c r="DF127" i="32"/>
  <c r="DF173" i="32" s="1"/>
  <c r="DW138" i="32"/>
  <c r="DW127" i="32"/>
  <c r="DW173" i="32" s="1"/>
  <c r="DO139" i="32"/>
  <c r="DO128" i="32"/>
  <c r="DO174" i="32" s="1"/>
  <c r="BC135" i="32"/>
  <c r="BC124" i="32"/>
  <c r="BC170" i="32" s="1"/>
  <c r="BD133" i="32"/>
  <c r="BD122" i="32"/>
  <c r="BD168" i="32" s="1"/>
  <c r="DN122" i="32"/>
  <c r="DN168" i="32" s="1"/>
  <c r="DN133" i="32"/>
  <c r="CX121" i="32"/>
  <c r="CX167" i="32" s="1"/>
  <c r="CX132" i="32"/>
  <c r="DX135" i="32"/>
  <c r="DX124" i="32"/>
  <c r="DX170" i="32" s="1"/>
  <c r="CF122" i="32"/>
  <c r="CF168" i="32" s="1"/>
  <c r="CF133" i="32"/>
  <c r="DY123" i="32"/>
  <c r="DY169" i="32" s="1"/>
  <c r="DY134" i="32"/>
  <c r="DJ130" i="32"/>
  <c r="DJ176" i="32" s="1"/>
  <c r="DJ141" i="32"/>
  <c r="DM132" i="32"/>
  <c r="DM121" i="32"/>
  <c r="DM167" i="32" s="1"/>
  <c r="DE133" i="32"/>
  <c r="DE122" i="32"/>
  <c r="DE168" i="32" s="1"/>
  <c r="AX130" i="32"/>
  <c r="AX176" i="32" s="1"/>
  <c r="AX141" i="32"/>
  <c r="CP132" i="32"/>
  <c r="CP121" i="32"/>
  <c r="CP167" i="32" s="1"/>
  <c r="AZ140" i="32"/>
  <c r="AZ129" i="32"/>
  <c r="AZ175" i="32" s="1"/>
  <c r="BE127" i="32"/>
  <c r="BE173" i="32" s="1"/>
  <c r="BE138" i="32"/>
  <c r="CF137" i="32"/>
  <c r="CF126" i="32"/>
  <c r="CF172" i="32" s="1"/>
  <c r="CP128" i="32"/>
  <c r="CP174" i="32" s="1"/>
  <c r="CP139" i="32"/>
  <c r="CN141" i="32"/>
  <c r="CN130" i="32"/>
  <c r="CN176" i="32" s="1"/>
  <c r="CN129" i="32"/>
  <c r="CN175" i="32" s="1"/>
  <c r="CN140" i="32"/>
  <c r="DR138" i="32"/>
  <c r="DR127" i="32"/>
  <c r="DR173" i="32" s="1"/>
  <c r="DJ139" i="32"/>
  <c r="DJ128" i="32"/>
  <c r="DJ174" i="32" s="1"/>
  <c r="EA139" i="32"/>
  <c r="EA128" i="32"/>
  <c r="EA174" i="32" s="1"/>
  <c r="D207" i="32"/>
  <c r="T208" i="32"/>
  <c r="L256" i="32"/>
  <c r="O256" i="32" s="1"/>
  <c r="BJ127" i="32"/>
  <c r="BJ173" i="32" s="1"/>
  <c r="BJ138" i="32"/>
  <c r="DX127" i="32"/>
  <c r="DX173" i="32" s="1"/>
  <c r="DX138" i="32"/>
  <c r="CR140" i="32"/>
  <c r="CR129" i="32"/>
  <c r="CR175" i="32" s="1"/>
  <c r="BE135" i="32"/>
  <c r="BE124" i="32"/>
  <c r="BE170" i="32" s="1"/>
  <c r="CO136" i="32"/>
  <c r="CO125" i="32"/>
  <c r="CO171" i="32" s="1"/>
  <c r="CS134" i="32"/>
  <c r="CS123" i="32"/>
  <c r="CS169" i="32" s="1"/>
  <c r="BE137" i="32"/>
  <c r="BE126" i="32"/>
  <c r="BE172" i="32" s="1"/>
  <c r="DK138" i="32"/>
  <c r="DK127" i="32"/>
  <c r="DK173" i="32" s="1"/>
  <c r="DP132" i="32"/>
  <c r="DP121" i="32"/>
  <c r="DP167" i="32" s="1"/>
  <c r="CK135" i="32"/>
  <c r="CK124" i="32"/>
  <c r="CK170" i="32" s="1"/>
  <c r="BI139" i="32"/>
  <c r="BI128" i="32"/>
  <c r="BI174" i="32" s="1"/>
  <c r="DY135" i="32"/>
  <c r="DY124" i="32"/>
  <c r="DY170" i="32" s="1"/>
  <c r="BB136" i="32"/>
  <c r="BB125" i="32"/>
  <c r="BB171" i="32" s="1"/>
  <c r="DZ138" i="32"/>
  <c r="DZ127" i="32"/>
  <c r="DZ173" i="32" s="1"/>
  <c r="CB122" i="32"/>
  <c r="CB168" i="32" s="1"/>
  <c r="CB133" i="32"/>
  <c r="DT133" i="32"/>
  <c r="DT122" i="32"/>
  <c r="DT168" i="32" s="1"/>
  <c r="DT141" i="32"/>
  <c r="DT130" i="32"/>
  <c r="DT176" i="32" s="1"/>
  <c r="CT125" i="32"/>
  <c r="CT171" i="32" s="1"/>
  <c r="CT136" i="32"/>
  <c r="CV134" i="32"/>
  <c r="CV123" i="32"/>
  <c r="CV169" i="32" s="1"/>
  <c r="CT122" i="32"/>
  <c r="CT168" i="32" s="1"/>
  <c r="CT133" i="32"/>
  <c r="DS136" i="32"/>
  <c r="DS125" i="32"/>
  <c r="DS171" i="32" s="1"/>
  <c r="DF140" i="32"/>
  <c r="DF129" i="32"/>
  <c r="DF175" i="32" s="1"/>
  <c r="BH135" i="32"/>
  <c r="BH124" i="32"/>
  <c r="BH170" i="32" s="1"/>
  <c r="BB151" i="32"/>
  <c r="BB75" i="32"/>
  <c r="BL126" i="32"/>
  <c r="BL172" i="32" s="1"/>
  <c r="BL137" i="32"/>
  <c r="CN132" i="32"/>
  <c r="CN121" i="32"/>
  <c r="CN167" i="32" s="1"/>
  <c r="CQ141" i="32"/>
  <c r="CQ130" i="32"/>
  <c r="CQ176" i="32" s="1"/>
  <c r="BR138" i="32"/>
  <c r="BR127" i="32"/>
  <c r="BR173" i="32" s="1"/>
  <c r="CN135" i="32"/>
  <c r="CN124" i="32"/>
  <c r="CN170" i="32" s="1"/>
  <c r="BB138" i="32"/>
  <c r="BB127" i="32"/>
  <c r="BB173" i="32" s="1"/>
  <c r="BL141" i="32"/>
  <c r="BL130" i="32"/>
  <c r="BL176" i="32" s="1"/>
  <c r="CB126" i="32"/>
  <c r="CB172" i="32" s="1"/>
  <c r="CB137" i="32"/>
  <c r="DV134" i="32"/>
  <c r="DV123" i="32"/>
  <c r="DV169" i="32" s="1"/>
  <c r="BG153" i="32"/>
  <c r="BG160" i="32" s="1"/>
  <c r="BG161" i="32" s="1"/>
  <c r="BG162" i="32" s="1"/>
  <c r="BG77" i="32"/>
  <c r="BH121" i="32"/>
  <c r="BH167" i="32" s="1"/>
  <c r="BH132" i="32"/>
  <c r="CT137" i="32"/>
  <c r="CT126" i="32"/>
  <c r="CT172" i="32" s="1"/>
  <c r="BE141" i="32"/>
  <c r="BE130" i="32"/>
  <c r="BE176" i="32" s="1"/>
  <c r="CF141" i="32"/>
  <c r="CF130" i="32"/>
  <c r="CF176" i="32" s="1"/>
  <c r="CK132" i="32"/>
  <c r="CK121" i="32"/>
  <c r="CK167" i="32" s="1"/>
  <c r="DR130" i="32"/>
  <c r="DR176" i="32" s="1"/>
  <c r="DR141" i="32"/>
  <c r="DZ137" i="32"/>
  <c r="DZ126" i="32"/>
  <c r="DZ172" i="32" s="1"/>
  <c r="DS130" i="32"/>
  <c r="DS176" i="32" s="1"/>
  <c r="DS141" i="32"/>
  <c r="DJ121" i="32"/>
  <c r="DJ167" i="32" s="1"/>
  <c r="DJ132" i="32"/>
  <c r="BF132" i="32"/>
  <c r="BF121" i="32"/>
  <c r="BF167" i="32" s="1"/>
  <c r="BS128" i="32"/>
  <c r="BS174" i="32" s="1"/>
  <c r="BS139" i="32"/>
  <c r="AV138" i="32"/>
  <c r="AV127" i="32"/>
  <c r="AV173" i="32" s="1"/>
  <c r="BA136" i="32"/>
  <c r="BA125" i="32"/>
  <c r="BA171" i="32" s="1"/>
  <c r="CO134" i="32"/>
  <c r="CO123" i="32"/>
  <c r="CO169" i="32" s="1"/>
  <c r="CW136" i="32"/>
  <c r="CW125" i="32"/>
  <c r="CW171" i="32" s="1"/>
  <c r="CO138" i="32"/>
  <c r="CO127" i="32"/>
  <c r="CO173" i="32" s="1"/>
  <c r="CL138" i="32"/>
  <c r="CL127" i="32"/>
  <c r="CL173" i="32" s="1"/>
  <c r="DP136" i="32"/>
  <c r="DP125" i="32"/>
  <c r="DP171" i="32" s="1"/>
  <c r="DH137" i="32"/>
  <c r="DH126" i="32"/>
  <c r="DH172" i="32" s="1"/>
  <c r="DU126" i="32"/>
  <c r="DU172" i="32" s="1"/>
  <c r="DU137" i="32"/>
  <c r="DI135" i="32"/>
  <c r="DI124" i="32"/>
  <c r="DI170" i="32" s="1"/>
  <c r="DZ124" i="32"/>
  <c r="DZ170" i="32" s="1"/>
  <c r="DZ135" i="32"/>
  <c r="DR125" i="32"/>
  <c r="DR171" i="32" s="1"/>
  <c r="DR136" i="32"/>
  <c r="BC151" i="32"/>
  <c r="BC75" i="32"/>
  <c r="CM135" i="32"/>
  <c r="CM124" i="32"/>
  <c r="CM170" i="32" s="1"/>
  <c r="AV141" i="32"/>
  <c r="AV130" i="32"/>
  <c r="AV176" i="32" s="1"/>
  <c r="BA128" i="32"/>
  <c r="BA174" i="32" s="1"/>
  <c r="BA139" i="32"/>
  <c r="CG138" i="32"/>
  <c r="CG127" i="32"/>
  <c r="CG173" i="32" s="1"/>
  <c r="CW140" i="32"/>
  <c r="CW129" i="32"/>
  <c r="CW175" i="32" s="1"/>
  <c r="DO132" i="32"/>
  <c r="DO121" i="32"/>
  <c r="DO167" i="32" s="1"/>
  <c r="CM141" i="32"/>
  <c r="CM130" i="32"/>
  <c r="CM176" i="32" s="1"/>
  <c r="DM139" i="32"/>
  <c r="DM128" i="32"/>
  <c r="DM174" i="32" s="1"/>
  <c r="DE140" i="32"/>
  <c r="DE129" i="32"/>
  <c r="DE175" i="32" s="1"/>
  <c r="DV140" i="32"/>
  <c r="DV129" i="32"/>
  <c r="DV175" i="32" s="1"/>
  <c r="BK125" i="32"/>
  <c r="BK171" i="32" s="1"/>
  <c r="BK136" i="32"/>
  <c r="BL153" i="32"/>
  <c r="BL160" i="32" s="1"/>
  <c r="BL161" i="32" s="1"/>
  <c r="BL162" i="32" s="1"/>
  <c r="BL77" i="32"/>
  <c r="BQ132" i="32"/>
  <c r="BQ121" i="32"/>
  <c r="BQ167" i="32" s="1"/>
  <c r="CM128" i="32"/>
  <c r="CM174" i="32" s="1"/>
  <c r="CM139" i="32"/>
  <c r="CE133" i="32"/>
  <c r="CE122" i="32"/>
  <c r="CE168" i="32" s="1"/>
  <c r="CQ134" i="32"/>
  <c r="CQ123" i="32"/>
  <c r="CQ169" i="32" s="1"/>
  <c r="DS140" i="32"/>
  <c r="DS129" i="32"/>
  <c r="DS175" i="32" s="1"/>
  <c r="DG133" i="32"/>
  <c r="DG122" i="32"/>
  <c r="DG168" i="32" s="1"/>
  <c r="DX122" i="32"/>
  <c r="DX168" i="32" s="1"/>
  <c r="DX133" i="32"/>
  <c r="DP134" i="32"/>
  <c r="DP123" i="32"/>
  <c r="DP169" i="32" s="1"/>
  <c r="BO132" i="32"/>
  <c r="BO121" i="32"/>
  <c r="BO167" i="32" s="1"/>
  <c r="CO126" i="32"/>
  <c r="CO172" i="32" s="1"/>
  <c r="CO137" i="32"/>
  <c r="BH141" i="32"/>
  <c r="BH130" i="32"/>
  <c r="BH176" i="32" s="1"/>
  <c r="BM139" i="32"/>
  <c r="BM128" i="32"/>
  <c r="BM174" i="32" s="1"/>
  <c r="CW138" i="32"/>
  <c r="CW127" i="32"/>
  <c r="CW173" i="32" s="1"/>
  <c r="CL130" i="32"/>
  <c r="CL176" i="32" s="1"/>
  <c r="CL141" i="32"/>
  <c r="DU134" i="32"/>
  <c r="DU123" i="32"/>
  <c r="DU169" i="32" s="1"/>
  <c r="CY141" i="32"/>
  <c r="CY130" i="32"/>
  <c r="CY176" i="32" s="1"/>
  <c r="DY139" i="32"/>
  <c r="DY128" i="32"/>
  <c r="DY174" i="32" s="1"/>
  <c r="DQ140" i="32"/>
  <c r="DQ129" i="32"/>
  <c r="DQ175" i="32" s="1"/>
  <c r="DI130" i="32"/>
  <c r="DI176" i="32" s="1"/>
  <c r="DI141" i="32"/>
  <c r="O261" i="32"/>
  <c r="BA130" i="32"/>
  <c r="BA176" i="32" s="1"/>
  <c r="BA141" i="32"/>
  <c r="BR154" i="32"/>
  <c r="BR78" i="32"/>
  <c r="BM133" i="32"/>
  <c r="BM122" i="32"/>
  <c r="BM168" i="32" s="1"/>
  <c r="DF132" i="32"/>
  <c r="DF121" i="32"/>
  <c r="DF167" i="32" s="1"/>
  <c r="DQ134" i="32"/>
  <c r="DQ123" i="32"/>
  <c r="DQ169" i="32" s="1"/>
  <c r="DS124" i="32"/>
  <c r="DS170" i="32" s="1"/>
  <c r="DS135" i="32"/>
  <c r="AX126" i="32"/>
  <c r="AX172" i="32" s="1"/>
  <c r="AX137" i="32"/>
  <c r="CH129" i="32"/>
  <c r="CH175" i="32" s="1"/>
  <c r="CH140" i="32"/>
  <c r="BS154" i="32"/>
  <c r="BS78" i="32"/>
  <c r="CV122" i="32"/>
  <c r="CV168" i="32" s="1"/>
  <c r="CV133" i="32"/>
  <c r="DT139" i="32"/>
  <c r="DT128" i="32"/>
  <c r="DT174" i="32" s="1"/>
  <c r="AV137" i="32"/>
  <c r="AV126" i="32"/>
  <c r="AV172" i="32" s="1"/>
  <c r="DM135" i="32"/>
  <c r="DM124" i="32"/>
  <c r="DM170" i="32" s="1"/>
  <c r="BD141" i="32"/>
  <c r="BD130" i="32"/>
  <c r="BD176" i="32" s="1"/>
  <c r="CU141" i="32"/>
  <c r="CU130" i="32"/>
  <c r="CU176" i="32" s="1"/>
  <c r="BM135" i="32"/>
  <c r="BM124" i="32"/>
  <c r="BM170" i="32" s="1"/>
  <c r="BG141" i="32"/>
  <c r="BG130" i="32"/>
  <c r="BG176" i="32" s="1"/>
  <c r="DL138" i="32"/>
  <c r="DL127" i="32"/>
  <c r="DL173" i="32" s="1"/>
  <c r="CR136" i="32"/>
  <c r="CR125" i="32"/>
  <c r="CR171" i="32" s="1"/>
  <c r="CB135" i="32"/>
  <c r="CB124" i="32"/>
  <c r="CB170" i="32" s="1"/>
  <c r="AW139" i="32"/>
  <c r="AW128" i="32"/>
  <c r="AW174" i="32" s="1"/>
  <c r="CD125" i="32"/>
  <c r="CD171" i="32" s="1"/>
  <c r="CD136" i="32"/>
  <c r="AX138" i="32"/>
  <c r="AX127" i="32"/>
  <c r="AX173" i="32" s="1"/>
  <c r="BH140" i="32"/>
  <c r="BH129" i="32"/>
  <c r="BH175" i="32" s="1"/>
  <c r="CX130" i="32"/>
  <c r="CX176" i="32" s="1"/>
  <c r="CX141" i="32"/>
  <c r="DR139" i="32"/>
  <c r="DR128" i="32"/>
  <c r="DR174" i="32" s="1"/>
  <c r="BI122" i="32"/>
  <c r="BI168" i="32" s="1"/>
  <c r="BI133" i="32"/>
  <c r="CU133" i="32"/>
  <c r="CU122" i="32"/>
  <c r="CU168" i="32" s="1"/>
  <c r="CS124" i="32"/>
  <c r="CS170" i="32" s="1"/>
  <c r="CS135" i="32"/>
  <c r="DO134" i="32"/>
  <c r="DO123" i="32"/>
  <c r="DO169" i="32" s="1"/>
  <c r="DL122" i="32"/>
  <c r="DL168" i="32" s="1"/>
  <c r="DL133" i="32"/>
  <c r="BD138" i="32"/>
  <c r="BD127" i="32"/>
  <c r="BD173" i="32" s="1"/>
  <c r="CJ123" i="32"/>
  <c r="CJ169" i="32" s="1"/>
  <c r="CJ134" i="32"/>
  <c r="DH135" i="32"/>
  <c r="DH124" i="32"/>
  <c r="DH170" i="32" s="1"/>
  <c r="AX129" i="32"/>
  <c r="AX175" i="32" s="1"/>
  <c r="AX140" i="32"/>
  <c r="BP154" i="32"/>
  <c r="BP78" i="32"/>
  <c r="CU140" i="32"/>
  <c r="CU129" i="32"/>
  <c r="CU175" i="32" s="1"/>
  <c r="CW128" i="32"/>
  <c r="CW174" i="32" s="1"/>
  <c r="CW139" i="32"/>
  <c r="BS155" i="32"/>
  <c r="BS79" i="32"/>
  <c r="CE140" i="32"/>
  <c r="CE129" i="32"/>
  <c r="CE175" i="32" s="1"/>
  <c r="BJ135" i="32"/>
  <c r="BJ124" i="32"/>
  <c r="BJ170" i="32" s="1"/>
  <c r="BP139" i="32"/>
  <c r="BP128" i="32"/>
  <c r="BP174" i="32" s="1"/>
  <c r="CT134" i="32"/>
  <c r="CT123" i="32"/>
  <c r="CT169" i="32" s="1"/>
  <c r="DH132" i="32"/>
  <c r="DH121" i="32"/>
  <c r="DH167" i="32" s="1"/>
  <c r="BM136" i="32"/>
  <c r="BM125" i="32"/>
  <c r="BM171" i="32" s="1"/>
  <c r="DH136" i="32"/>
  <c r="DH125" i="32"/>
  <c r="DH171" i="32" s="1"/>
  <c r="BN141" i="32"/>
  <c r="BN130" i="32"/>
  <c r="BN176" i="32" s="1"/>
  <c r="AW154" i="32"/>
  <c r="AW78" i="32"/>
  <c r="BG122" i="32"/>
  <c r="BG168" i="32" s="1"/>
  <c r="BG133" i="32"/>
  <c r="BM140" i="32"/>
  <c r="BM129" i="32"/>
  <c r="BM175" i="32" s="1"/>
  <c r="BR153" i="32"/>
  <c r="BR77" i="32"/>
  <c r="BH139" i="32"/>
  <c r="BH128" i="32"/>
  <c r="BH174" i="32" s="1"/>
  <c r="CH123" i="32"/>
  <c r="CH169" i="32" s="1"/>
  <c r="CH134" i="32"/>
  <c r="DW140" i="32"/>
  <c r="DW129" i="32"/>
  <c r="DW175" i="32" s="1"/>
  <c r="BA122" i="32"/>
  <c r="BA168" i="32" s="1"/>
  <c r="BA133" i="32"/>
  <c r="DU127" i="32"/>
  <c r="DU173" i="32" s="1"/>
  <c r="DU138" i="32"/>
  <c r="BJ141" i="32"/>
  <c r="BJ130" i="32"/>
  <c r="BJ176" i="32" s="1"/>
  <c r="CH139" i="32"/>
  <c r="CH128" i="32"/>
  <c r="CH174" i="32" s="1"/>
  <c r="CE139" i="32"/>
  <c r="CE128" i="32"/>
  <c r="CE174" i="32" s="1"/>
  <c r="DO137" i="32"/>
  <c r="DO126" i="32"/>
  <c r="DO172" i="32" s="1"/>
  <c r="CY134" i="32"/>
  <c r="CY123" i="32"/>
  <c r="CY169" i="32" s="1"/>
  <c r="BR126" i="32"/>
  <c r="BR172" i="32" s="1"/>
  <c r="BR137" i="32"/>
  <c r="AY154" i="32"/>
  <c r="AY78" i="32"/>
  <c r="BI127" i="32"/>
  <c r="BI173" i="32" s="1"/>
  <c r="BI138" i="32"/>
  <c r="CC137" i="32"/>
  <c r="CC126" i="32"/>
  <c r="CC172" i="32" s="1"/>
  <c r="EA138" i="32"/>
  <c r="EA127" i="32"/>
  <c r="EA173" i="32" s="1"/>
  <c r="BF128" i="32"/>
  <c r="BF174" i="32" s="1"/>
  <c r="BF139" i="32"/>
  <c r="BN136" i="32"/>
  <c r="BN125" i="32"/>
  <c r="BN171" i="32" s="1"/>
  <c r="BL122" i="32"/>
  <c r="BL168" i="32" s="1"/>
  <c r="BL133" i="32"/>
  <c r="CB127" i="32"/>
  <c r="CB173" i="32" s="1"/>
  <c r="CB138" i="32"/>
  <c r="CQ137" i="32"/>
  <c r="CQ126" i="32"/>
  <c r="CQ172" i="32" s="1"/>
  <c r="BR130" i="32"/>
  <c r="BR176" i="32" s="1"/>
  <c r="BR141" i="32"/>
  <c r="CE121" i="32"/>
  <c r="CE167" i="32" s="1"/>
  <c r="CE132" i="32"/>
  <c r="BJ137" i="32"/>
  <c r="BJ126" i="32"/>
  <c r="BJ172" i="32" s="1"/>
  <c r="AZ141" i="32"/>
  <c r="AZ130" i="32"/>
  <c r="AZ176" i="32" s="1"/>
  <c r="CL136" i="32"/>
  <c r="CL125" i="32"/>
  <c r="CL171" i="32" s="1"/>
  <c r="DJ123" i="32"/>
  <c r="DJ169" i="32" s="1"/>
  <c r="DJ134" i="32"/>
  <c r="AV154" i="32"/>
  <c r="AV78" i="32"/>
  <c r="CC140" i="32"/>
  <c r="CC129" i="32"/>
  <c r="CC175" i="32" s="1"/>
  <c r="AX152" i="32"/>
  <c r="AX76" i="32"/>
  <c r="BM132" i="32"/>
  <c r="BM121" i="32"/>
  <c r="BM167" i="32" s="1"/>
  <c r="CR141" i="32"/>
  <c r="CR130" i="32"/>
  <c r="CR176" i="32" s="1"/>
  <c r="DH140" i="32"/>
  <c r="DH129" i="32"/>
  <c r="DH175" i="32" s="1"/>
  <c r="BO154" i="32"/>
  <c r="BO78" i="32"/>
  <c r="BP152" i="32"/>
  <c r="BP76" i="32"/>
  <c r="AW132" i="32"/>
  <c r="AW121" i="32"/>
  <c r="AW167" i="32" s="1"/>
  <c r="CE124" i="32"/>
  <c r="CE170" i="32" s="1"/>
  <c r="CE135" i="32"/>
  <c r="CF121" i="32"/>
  <c r="CF167" i="32" s="1"/>
  <c r="CF132" i="32"/>
  <c r="CR122" i="32"/>
  <c r="CR168" i="32" s="1"/>
  <c r="CR133" i="32"/>
  <c r="DF137" i="32"/>
  <c r="DF126" i="32"/>
  <c r="DF172" i="32" s="1"/>
  <c r="DL121" i="32"/>
  <c r="DL167" i="32" s="1"/>
  <c r="DL132" i="32"/>
  <c r="DY121" i="32"/>
  <c r="DY167" i="32" s="1"/>
  <c r="DY132" i="32"/>
  <c r="DQ133" i="32"/>
  <c r="DQ122" i="32"/>
  <c r="DQ168" i="32" s="1"/>
  <c r="BN137" i="32"/>
  <c r="BN126" i="32"/>
  <c r="BN172" i="32" s="1"/>
  <c r="BC130" i="32"/>
  <c r="BC176" i="32" s="1"/>
  <c r="BC141" i="32"/>
  <c r="BD128" i="32"/>
  <c r="BD174" i="32" s="1"/>
  <c r="BD139" i="32"/>
  <c r="BI137" i="32"/>
  <c r="BI126" i="32"/>
  <c r="BI172" i="32" s="1"/>
  <c r="CY124" i="32"/>
  <c r="CY170" i="32" s="1"/>
  <c r="CY135" i="32"/>
  <c r="CN138" i="32"/>
  <c r="CN127" i="32"/>
  <c r="CN173" i="32" s="1"/>
  <c r="CM140" i="32"/>
  <c r="CM129" i="32"/>
  <c r="CM175" i="32" s="1"/>
  <c r="CS128" i="32"/>
  <c r="CS174" i="32" s="1"/>
  <c r="CS139" i="32"/>
  <c r="DW137" i="32"/>
  <c r="DW126" i="32"/>
  <c r="DW172" i="32" s="1"/>
  <c r="DO127" i="32"/>
  <c r="DO173" i="32" s="1"/>
  <c r="DO138" i="32"/>
  <c r="DG128" i="32"/>
  <c r="DG174" i="32" s="1"/>
  <c r="DG139" i="32"/>
  <c r="DT136" i="32"/>
  <c r="DT125" i="32"/>
  <c r="DT171" i="32" s="1"/>
  <c r="DL126" i="32"/>
  <c r="DL172" i="32" s="1"/>
  <c r="DL137" i="32"/>
  <c r="DY137" i="32"/>
  <c r="DY126" i="32"/>
  <c r="DY172" i="32" s="1"/>
  <c r="BK122" i="32"/>
  <c r="BK168" i="32" s="1"/>
  <c r="BK133" i="32"/>
  <c r="CD141" i="32"/>
  <c r="CD130" i="32"/>
  <c r="CD176" i="32" s="1"/>
  <c r="CG133" i="32"/>
  <c r="CG122" i="32"/>
  <c r="CG168" i="32" s="1"/>
  <c r="BI140" i="32"/>
  <c r="BI129" i="32"/>
  <c r="BI175" i="32" s="1"/>
  <c r="CY139" i="32"/>
  <c r="CY128" i="32"/>
  <c r="CY174" i="32" s="1"/>
  <c r="DN137" i="32"/>
  <c r="DN126" i="32"/>
  <c r="DN172" i="32" s="1"/>
  <c r="DE138" i="32"/>
  <c r="DE127" i="32"/>
  <c r="DE173" i="32" s="1"/>
  <c r="DM123" i="32"/>
  <c r="DM169" i="32" s="1"/>
  <c r="DM134" i="32"/>
  <c r="DX129" i="32"/>
  <c r="DX175" i="32" s="1"/>
  <c r="DX140" i="32"/>
  <c r="DP141" i="32"/>
  <c r="DP130" i="32"/>
  <c r="DP176" i="32" s="1"/>
  <c r="DZ129" i="32"/>
  <c r="DZ175" i="32" s="1"/>
  <c r="DZ140" i="32"/>
  <c r="BS137" i="32"/>
  <c r="BS126" i="32"/>
  <c r="BS172" i="32" s="1"/>
  <c r="AV155" i="32"/>
  <c r="AV79" i="32"/>
  <c r="BA153" i="32"/>
  <c r="BA160" i="32" s="1"/>
  <c r="BA161" i="32" s="1"/>
  <c r="BA162" i="32" s="1"/>
  <c r="BA77" i="32"/>
  <c r="CQ121" i="32"/>
  <c r="CQ167" i="32" s="1"/>
  <c r="CQ132" i="32"/>
  <c r="CL134" i="32"/>
  <c r="CL123" i="32"/>
  <c r="CL169" i="32" s="1"/>
  <c r="CC136" i="32"/>
  <c r="CC125" i="32"/>
  <c r="CC171" i="32" s="1"/>
  <c r="CJ125" i="32"/>
  <c r="CJ171" i="32" s="1"/>
  <c r="CJ136" i="32"/>
  <c r="DN123" i="32"/>
  <c r="DN169" i="32" s="1"/>
  <c r="DN134" i="32"/>
  <c r="DF124" i="32"/>
  <c r="DF170" i="32" s="1"/>
  <c r="DF135" i="32"/>
  <c r="DW135" i="32"/>
  <c r="DW124" i="32"/>
  <c r="DW170" i="32" s="1"/>
  <c r="AY153" i="32"/>
  <c r="AY77" i="32"/>
  <c r="AZ132" i="32"/>
  <c r="AZ121" i="32"/>
  <c r="AZ167" i="32" s="1"/>
  <c r="CR135" i="32"/>
  <c r="CR124" i="32"/>
  <c r="CR170" i="32" s="1"/>
  <c r="AW130" i="32"/>
  <c r="AW176" i="32" s="1"/>
  <c r="AW141" i="32"/>
  <c r="CP140" i="32"/>
  <c r="CP129" i="32"/>
  <c r="CP175" i="32" s="1"/>
  <c r="CC132" i="32"/>
  <c r="CC121" i="32"/>
  <c r="CC167" i="32" s="1"/>
  <c r="EB139" i="32"/>
  <c r="EB128" i="32"/>
  <c r="EB174" i="32" s="1"/>
  <c r="DW136" i="32"/>
  <c r="DW125" i="32"/>
  <c r="DW171" i="32" s="1"/>
  <c r="DK141" i="32"/>
  <c r="DK130" i="32"/>
  <c r="DK176" i="32" s="1"/>
  <c r="EB130" i="32"/>
  <c r="EB176" i="32" s="1"/>
  <c r="EB141" i="32"/>
  <c r="J201" i="32"/>
  <c r="D201" i="32" s="1"/>
  <c r="BO141" i="32"/>
  <c r="BO130" i="32"/>
  <c r="BO176" i="32" s="1"/>
  <c r="CO140" i="32"/>
  <c r="CO129" i="32"/>
  <c r="CO175" i="32" s="1"/>
  <c r="BJ136" i="32"/>
  <c r="BJ125" i="32"/>
  <c r="BJ171" i="32" s="1"/>
  <c r="CK138" i="32"/>
  <c r="CK127" i="32"/>
  <c r="CK173" i="32" s="1"/>
  <c r="CI138" i="32"/>
  <c r="CI127" i="32"/>
  <c r="CI173" i="32" s="1"/>
  <c r="BA132" i="32"/>
  <c r="BA121" i="32"/>
  <c r="BA167" i="32" s="1"/>
  <c r="DU133" i="32"/>
  <c r="DU122" i="32"/>
  <c r="DU168" i="32" s="1"/>
  <c r="BA124" i="32"/>
  <c r="BA170" i="32" s="1"/>
  <c r="BA135" i="32"/>
  <c r="DE136" i="32"/>
  <c r="DE125" i="32"/>
  <c r="DE171" i="32" s="1"/>
  <c r="DE134" i="32"/>
  <c r="DE123" i="32"/>
  <c r="DE169" i="32" s="1"/>
  <c r="DQ125" i="32"/>
  <c r="DQ171" i="32" s="1"/>
  <c r="DQ136" i="32"/>
  <c r="CF127" i="32"/>
  <c r="CF173" i="32" s="1"/>
  <c r="CF138" i="32"/>
  <c r="BO152" i="32"/>
  <c r="BO76" i="32"/>
  <c r="CG124" i="32"/>
  <c r="CG170" i="32" s="1"/>
  <c r="CG135" i="32"/>
  <c r="EB129" i="32"/>
  <c r="EB175" i="32" s="1"/>
  <c r="EB140" i="32"/>
  <c r="CP127" i="32"/>
  <c r="CP173" i="32" s="1"/>
  <c r="CP138" i="32"/>
  <c r="DT132" i="32"/>
  <c r="DT121" i="32"/>
  <c r="DT167" i="32" s="1"/>
  <c r="CT132" i="32"/>
  <c r="CT121" i="32"/>
  <c r="CT167" i="32" s="1"/>
  <c r="CI125" i="32"/>
  <c r="CI171" i="32" s="1"/>
  <c r="CI136" i="32"/>
  <c r="CM133" i="32"/>
  <c r="CM122" i="32"/>
  <c r="CM168" i="32" s="1"/>
  <c r="CS132" i="32"/>
  <c r="CS121" i="32"/>
  <c r="CS167" i="32" s="1"/>
  <c r="BO127" i="32"/>
  <c r="BO173" i="32" s="1"/>
  <c r="BO138" i="32"/>
  <c r="DL134" i="32"/>
  <c r="DL123" i="32"/>
  <c r="DL169" i="32" s="1"/>
  <c r="CB132" i="32"/>
  <c r="CB121" i="32"/>
  <c r="CB167" i="32" s="1"/>
  <c r="CT141" i="32"/>
  <c r="CT130" i="32"/>
  <c r="CT176" i="32" s="1"/>
  <c r="DQ139" i="32"/>
  <c r="DQ128" i="32"/>
  <c r="DQ174" i="32" s="1"/>
  <c r="DM137" i="32"/>
  <c r="DM126" i="32"/>
  <c r="DM172" i="32" s="1"/>
  <c r="BS132" i="32"/>
  <c r="BS121" i="32"/>
  <c r="BS167" i="32" s="1"/>
  <c r="BE136" i="32"/>
  <c r="BE125" i="32"/>
  <c r="BE171" i="32" s="1"/>
  <c r="AY126" i="32"/>
  <c r="AY172" i="32" s="1"/>
  <c r="AY137" i="32"/>
  <c r="AZ154" i="32"/>
  <c r="AZ78" i="32"/>
  <c r="BE133" i="32"/>
  <c r="BE122" i="32"/>
  <c r="BE168" i="32" s="1"/>
  <c r="CO130" i="32"/>
  <c r="CO176" i="32" s="1"/>
  <c r="CO141" i="32"/>
  <c r="CQ133" i="32"/>
  <c r="CQ122" i="32"/>
  <c r="CQ168" i="32" s="1"/>
  <c r="CD135" i="32"/>
  <c r="CD124" i="32"/>
  <c r="CD170" i="32" s="1"/>
  <c r="CO135" i="32"/>
  <c r="CO124" i="32"/>
  <c r="CO170" i="32" s="1"/>
  <c r="DS133" i="32"/>
  <c r="DS122" i="32"/>
  <c r="DS168" i="32" s="1"/>
  <c r="DK134" i="32"/>
  <c r="DK123" i="32"/>
  <c r="DK169" i="32" s="1"/>
  <c r="EB134" i="32"/>
  <c r="EB123" i="32"/>
  <c r="EB169" i="32" s="1"/>
  <c r="CB134" i="32"/>
  <c r="CB123" i="32"/>
  <c r="CB169" i="32" s="1"/>
  <c r="CF134" i="32"/>
  <c r="CF123" i="32"/>
  <c r="CF169" i="32" s="1"/>
  <c r="BL140" i="32"/>
  <c r="BL129" i="32"/>
  <c r="BL175" i="32" s="1"/>
  <c r="BQ138" i="32"/>
  <c r="BQ127" i="32"/>
  <c r="BQ173" i="32" s="1"/>
  <c r="CV137" i="32"/>
  <c r="CV126" i="32"/>
  <c r="CV172" i="32" s="1"/>
  <c r="CL140" i="32"/>
  <c r="CL129" i="32"/>
  <c r="CL175" i="32" s="1"/>
  <c r="DK136" i="32"/>
  <c r="DK125" i="32"/>
  <c r="DK171" i="32" s="1"/>
  <c r="CE130" i="32"/>
  <c r="CE176" i="32" s="1"/>
  <c r="CE141" i="32"/>
  <c r="DE139" i="32"/>
  <c r="DE128" i="32"/>
  <c r="DE174" i="32" s="1"/>
  <c r="DV139" i="32"/>
  <c r="DV128" i="32"/>
  <c r="DV174" i="32" s="1"/>
  <c r="DN129" i="32"/>
  <c r="DN175" i="32" s="1"/>
  <c r="DN140" i="32"/>
  <c r="EA137" i="32"/>
  <c r="EA126" i="32"/>
  <c r="EA172" i="32" s="1"/>
  <c r="DS138" i="32"/>
  <c r="DS127" i="32"/>
  <c r="DS173" i="32" s="1"/>
  <c r="DK128" i="32"/>
  <c r="DK174" i="32" s="1"/>
  <c r="DK139" i="32"/>
  <c r="BS153" i="32"/>
  <c r="BS77" i="32"/>
  <c r="AV152" i="32"/>
  <c r="AV76" i="32"/>
  <c r="CT129" i="32"/>
  <c r="CT175" i="32" s="1"/>
  <c r="CT140" i="32"/>
  <c r="BQ130" i="32"/>
  <c r="BQ176" i="32" s="1"/>
  <c r="BQ141" i="32"/>
  <c r="CV141" i="32"/>
  <c r="CV130" i="32"/>
  <c r="CV176" i="32" s="1"/>
  <c r="CW132" i="32"/>
  <c r="CW121" i="32"/>
  <c r="CW167" i="32" s="1"/>
  <c r="DV122" i="32"/>
  <c r="DV168" i="32" s="1"/>
  <c r="DV133" i="32"/>
  <c r="DG140" i="32"/>
  <c r="DG129" i="32"/>
  <c r="DG175" i="32" s="1"/>
  <c r="DE132" i="32"/>
  <c r="DE121" i="32"/>
  <c r="DE167" i="32" s="1"/>
  <c r="DV132" i="32"/>
  <c r="DV121" i="32"/>
  <c r="DV167" i="32" s="1"/>
  <c r="CI135" i="32"/>
  <c r="CI124" i="32"/>
  <c r="CI170" i="32" s="1"/>
  <c r="BC139" i="32"/>
  <c r="BC128" i="32"/>
  <c r="BC174" i="32" s="1"/>
  <c r="BD137" i="32"/>
  <c r="BD126" i="32"/>
  <c r="BD172" i="32" s="1"/>
  <c r="BI135" i="32"/>
  <c r="BI124" i="32"/>
  <c r="BI170" i="32" s="1"/>
  <c r="CX122" i="32"/>
  <c r="CX168" i="32" s="1"/>
  <c r="CX133" i="32"/>
  <c r="CU124" i="32"/>
  <c r="CU170" i="32" s="1"/>
  <c r="CU135" i="32"/>
  <c r="CS137" i="32"/>
  <c r="CS126" i="32"/>
  <c r="CS172" i="32" s="1"/>
  <c r="CU137" i="32"/>
  <c r="CU126" i="32"/>
  <c r="CU172" i="32" s="1"/>
  <c r="DU124" i="32"/>
  <c r="DU170" i="32" s="1"/>
  <c r="DU135" i="32"/>
  <c r="DM136" i="32"/>
  <c r="DM125" i="32"/>
  <c r="DM171" i="32" s="1"/>
  <c r="DE126" i="32"/>
  <c r="DE172" i="32" s="1"/>
  <c r="DE137" i="32"/>
  <c r="BG124" i="32"/>
  <c r="BG170" i="32" s="1"/>
  <c r="BG135" i="32"/>
  <c r="BH133" i="32"/>
  <c r="BH122" i="32"/>
  <c r="BH168" i="32" s="1"/>
  <c r="DQ138" i="32"/>
  <c r="DQ127" i="32"/>
  <c r="DQ173" i="32" s="1"/>
  <c r="CK133" i="32"/>
  <c r="CK122" i="32"/>
  <c r="CK168" i="32" s="1"/>
  <c r="DK129" i="32"/>
  <c r="DK175" i="32" s="1"/>
  <c r="DK140" i="32"/>
  <c r="CJ122" i="32"/>
  <c r="CJ168" i="32" s="1"/>
  <c r="CJ133" i="32"/>
  <c r="DP135" i="32"/>
  <c r="DP124" i="32"/>
  <c r="DP170" i="32" s="1"/>
  <c r="DZ141" i="32"/>
  <c r="DZ130" i="32"/>
  <c r="DZ176" i="32" s="1"/>
  <c r="DQ132" i="32"/>
  <c r="DQ121" i="32"/>
  <c r="DQ167" i="32" s="1"/>
  <c r="DI122" i="32"/>
  <c r="DI168" i="32" s="1"/>
  <c r="DI133" i="32"/>
  <c r="BO137" i="32"/>
  <c r="BO126" i="32"/>
  <c r="BO172" i="32" s="1"/>
  <c r="CY132" i="32"/>
  <c r="CY121" i="32"/>
  <c r="CY167" i="32" s="1"/>
  <c r="BP136" i="32"/>
  <c r="BP125" i="32"/>
  <c r="BP171" i="32" s="1"/>
  <c r="DG134" i="32"/>
  <c r="DG123" i="32"/>
  <c r="DG169" i="32" s="1"/>
  <c r="DT124" i="32"/>
  <c r="DT170" i="32" s="1"/>
  <c r="DT135" i="32"/>
  <c r="AZ128" i="32"/>
  <c r="AZ174" i="32" s="1"/>
  <c r="AZ139" i="32"/>
  <c r="DS126" i="32"/>
  <c r="DS172" i="32" s="1"/>
  <c r="DS137" i="32"/>
  <c r="CX135" i="32"/>
  <c r="CX124" i="32"/>
  <c r="CX170" i="32" s="1"/>
  <c r="EA141" i="32"/>
  <c r="EA130" i="32"/>
  <c r="EA176" i="32" s="1"/>
  <c r="BS127" i="32"/>
  <c r="BS173" i="32" s="1"/>
  <c r="BS138" i="32"/>
  <c r="CM137" i="32"/>
  <c r="CM126" i="32"/>
  <c r="CM172" i="32" s="1"/>
  <c r="CY136" i="32"/>
  <c r="CY125" i="32"/>
  <c r="CY171" i="32" s="1"/>
  <c r="DU128" i="32"/>
  <c r="DU174" i="32" s="1"/>
  <c r="DU139" i="32"/>
  <c r="BG139" i="32"/>
  <c r="BG128" i="32"/>
  <c r="BG174" i="32" s="1"/>
  <c r="CX126" i="32"/>
  <c r="CX172" i="32" s="1"/>
  <c r="CX137" i="32"/>
  <c r="CM132" i="32"/>
  <c r="CM121" i="32"/>
  <c r="CM167" i="32" s="1"/>
  <c r="CP125" i="32"/>
  <c r="CP171" i="32" s="1"/>
  <c r="CP136" i="32"/>
  <c r="BD140" i="32"/>
  <c r="BD129" i="32"/>
  <c r="BD175" i="32" s="1"/>
  <c r="BJ140" i="32"/>
  <c r="BJ129" i="32"/>
  <c r="BJ175" i="32" s="1"/>
  <c r="DN139" i="32"/>
  <c r="DN128" i="32"/>
  <c r="DN174" i="32" s="1"/>
  <c r="CG134" i="32"/>
  <c r="CG123" i="32"/>
  <c r="CG169" i="32" s="1"/>
  <c r="BB153" i="32"/>
  <c r="BB77" i="32"/>
  <c r="CL121" i="32"/>
  <c r="CL167" i="32" s="1"/>
  <c r="CL132" i="32"/>
  <c r="CG129" i="32"/>
  <c r="CG175" i="32" s="1"/>
  <c r="CG140" i="32"/>
  <c r="BD135" i="32"/>
  <c r="BD124" i="32"/>
  <c r="BD170" i="32" s="1"/>
  <c r="BN133" i="32"/>
  <c r="BN122" i="32"/>
  <c r="BN168" i="32" s="1"/>
  <c r="BB140" i="32"/>
  <c r="BB129" i="32"/>
  <c r="BB175" i="32" s="1"/>
  <c r="EB125" i="32"/>
  <c r="EB171" i="32" s="1"/>
  <c r="EB136" i="32"/>
  <c r="BN139" i="32"/>
  <c r="BN128" i="32"/>
  <c r="BN174" i="32" s="1"/>
  <c r="DU132" i="32"/>
  <c r="DU121" i="32"/>
  <c r="DU167" i="32" s="1"/>
  <c r="CI140" i="32"/>
  <c r="CI129" i="32"/>
  <c r="CI175" i="32" s="1"/>
  <c r="CS141" i="32"/>
  <c r="CS130" i="32"/>
  <c r="CS176" i="32" s="1"/>
  <c r="CO133" i="32"/>
  <c r="CO122" i="32"/>
  <c r="CO168" i="32" s="1"/>
  <c r="CI130" i="32"/>
  <c r="CI176" i="32" s="1"/>
  <c r="CI141" i="32"/>
  <c r="BF153" i="32"/>
  <c r="BF160" i="32" s="1"/>
  <c r="BF161" i="32" s="1"/>
  <c r="BF162" i="32" s="1"/>
  <c r="BF77" i="32"/>
  <c r="BE151" i="32"/>
  <c r="BE75" i="32"/>
  <c r="CM123" i="32"/>
  <c r="CM169" i="32" s="1"/>
  <c r="CM134" i="32"/>
  <c r="CT139" i="32"/>
  <c r="CT128" i="32"/>
  <c r="CT174" i="32" s="1"/>
  <c r="BF138" i="32"/>
  <c r="BF127" i="32"/>
  <c r="BF173" i="32" s="1"/>
  <c r="AW153" i="32"/>
  <c r="AW77" i="32"/>
  <c r="DI132" i="32"/>
  <c r="DI121" i="32"/>
  <c r="DI167" i="32" s="1"/>
  <c r="BB135" i="32"/>
  <c r="BB124" i="32"/>
  <c r="BB170" i="32" s="1"/>
  <c r="BO153" i="32"/>
  <c r="BO77" i="32"/>
  <c r="AW127" i="32"/>
  <c r="AW173" i="32" s="1"/>
  <c r="AW138" i="32"/>
  <c r="DG127" i="32"/>
  <c r="DG173" i="32" s="1"/>
  <c r="DG138" i="32"/>
  <c r="AX153" i="32"/>
  <c r="AX77" i="32"/>
  <c r="BR139" i="32"/>
  <c r="BR128" i="32"/>
  <c r="BR174" i="32" s="1"/>
  <c r="CC122" i="32"/>
  <c r="CC168" i="32" s="1"/>
  <c r="CC133" i="32"/>
  <c r="CL122" i="32"/>
  <c r="CL168" i="32" s="1"/>
  <c r="CL133" i="32"/>
  <c r="DI134" i="32"/>
  <c r="DI123" i="32"/>
  <c r="DI169" i="32" s="1"/>
  <c r="DS128" i="32"/>
  <c r="DS174" i="32" s="1"/>
  <c r="DS139" i="32"/>
  <c r="BA137" i="32"/>
  <c r="BA126" i="32"/>
  <c r="BA172" i="32" s="1"/>
  <c r="BR79" i="32"/>
  <c r="BR155" i="32"/>
  <c r="BP140" i="32"/>
  <c r="BP129" i="32"/>
  <c r="BP175" i="32" s="1"/>
  <c r="CP135" i="32"/>
  <c r="CP124" i="32"/>
  <c r="CP170" i="32" s="1"/>
  <c r="DO133" i="32"/>
  <c r="DO122" i="32"/>
  <c r="DO168" i="32" s="1"/>
  <c r="BH127" i="32"/>
  <c r="BH173" i="32" s="1"/>
  <c r="BH138" i="32"/>
  <c r="DO130" i="32"/>
  <c r="DO176" i="32" s="1"/>
  <c r="DO141" i="32"/>
  <c r="BG132" i="32"/>
  <c r="BG121" i="32"/>
  <c r="BG167" i="32" s="1"/>
  <c r="BQ154" i="32"/>
  <c r="BQ78" i="32"/>
  <c r="CE134" i="32"/>
  <c r="CE123" i="32"/>
  <c r="CE169" i="32" s="1"/>
  <c r="EA134" i="32"/>
  <c r="EA123" i="32"/>
  <c r="EA169" i="32" s="1"/>
  <c r="CL126" i="32"/>
  <c r="CL172" i="32" s="1"/>
  <c r="CL137" i="32"/>
  <c r="BJ132" i="32"/>
  <c r="BJ121" i="32"/>
  <c r="BJ167" i="32" s="1"/>
  <c r="BG136" i="32"/>
  <c r="BG125" i="32"/>
  <c r="BG171" i="32" s="1"/>
  <c r="BQ139" i="32"/>
  <c r="BQ128" i="32"/>
  <c r="BQ174" i="32" s="1"/>
  <c r="CU138" i="32"/>
  <c r="CU127" i="32"/>
  <c r="CU173" i="32" s="1"/>
  <c r="DU140" i="32"/>
  <c r="DU129" i="32"/>
  <c r="DU175" i="32" s="1"/>
  <c r="BG138" i="32"/>
  <c r="BG127" i="32"/>
  <c r="BG173" i="32" s="1"/>
  <c r="BH125" i="32"/>
  <c r="BH171" i="32" s="1"/>
  <c r="BH136" i="32"/>
  <c r="BM153" i="32"/>
  <c r="BM160" i="32" s="1"/>
  <c r="BM161" i="32" s="1"/>
  <c r="BM162" i="32" s="1"/>
  <c r="BM77" i="32"/>
  <c r="CD122" i="32"/>
  <c r="CD168" i="32" s="1"/>
  <c r="CD133" i="32"/>
  <c r="CX134" i="32"/>
  <c r="CX123" i="32"/>
  <c r="CX169" i="32" s="1"/>
  <c r="CS125" i="32"/>
  <c r="CS171" i="32" s="1"/>
  <c r="CS136" i="32"/>
  <c r="CV136" i="32"/>
  <c r="CV125" i="32"/>
  <c r="CV171" i="32" s="1"/>
  <c r="DZ123" i="32"/>
  <c r="DZ169" i="32" s="1"/>
  <c r="DZ134" i="32"/>
  <c r="DR135" i="32"/>
  <c r="DR124" i="32"/>
  <c r="DR170" i="32" s="1"/>
  <c r="DJ125" i="32"/>
  <c r="DJ171" i="32" s="1"/>
  <c r="DJ136" i="32"/>
  <c r="BC122" i="32"/>
  <c r="BC168" i="32" s="1"/>
  <c r="BC133" i="32"/>
  <c r="CX139" i="32"/>
  <c r="CX128" i="32"/>
  <c r="CX174" i="32" s="1"/>
  <c r="CD132" i="32"/>
  <c r="CD121" i="32"/>
  <c r="CD167" i="32" s="1"/>
  <c r="BA140" i="32"/>
  <c r="BA129" i="32"/>
  <c r="BA175" i="32" s="1"/>
  <c r="CN139" i="32"/>
  <c r="CN128" i="32"/>
  <c r="CN174" i="32" s="1"/>
  <c r="EA121" i="32"/>
  <c r="EA167" i="32" s="1"/>
  <c r="EA132" i="32"/>
  <c r="DO136" i="32"/>
  <c r="DO125" i="32"/>
  <c r="DO171" i="32" s="1"/>
  <c r="DJ122" i="32"/>
  <c r="DJ168" i="32" s="1"/>
  <c r="DJ133" i="32"/>
  <c r="DP140" i="32"/>
  <c r="DP129" i="32"/>
  <c r="DP175" i="32" s="1"/>
  <c r="DH141" i="32"/>
  <c r="DH130" i="32"/>
  <c r="DH176" i="32" s="1"/>
  <c r="DU130" i="32"/>
  <c r="DU176" i="32" s="1"/>
  <c r="DU141" i="32"/>
  <c r="DI139" i="32"/>
  <c r="DI128" i="32"/>
  <c r="DI174" i="32" s="1"/>
  <c r="DZ128" i="32"/>
  <c r="DZ174" i="32" s="1"/>
  <c r="DZ139" i="32"/>
  <c r="DR129" i="32"/>
  <c r="DR175" i="32" s="1"/>
  <c r="DR140" i="32"/>
  <c r="BC125" i="32"/>
  <c r="BC171" i="32" s="1"/>
  <c r="BC136" i="32"/>
  <c r="BD153" i="32"/>
  <c r="BD77" i="32"/>
  <c r="BI132" i="32"/>
  <c r="BI121" i="32"/>
  <c r="BI167" i="32" s="1"/>
  <c r="CD137" i="32"/>
  <c r="CD126" i="32"/>
  <c r="CD172" i="32" s="1"/>
  <c r="CR121" i="32"/>
  <c r="CR167" i="32" s="1"/>
  <c r="CR132" i="32"/>
  <c r="CI134" i="32"/>
  <c r="CI123" i="32"/>
  <c r="CI169" i="32" s="1"/>
  <c r="DY138" i="32"/>
  <c r="DY127" i="32"/>
  <c r="DY173" i="32" s="1"/>
  <c r="DX132" i="32"/>
  <c r="DX121" i="32"/>
  <c r="DX167" i="32" s="1"/>
  <c r="DP122" i="32"/>
  <c r="DP168" i="32" s="1"/>
  <c r="DP133" i="32"/>
  <c r="DH134" i="32"/>
  <c r="DH123" i="32"/>
  <c r="DH169" i="32" s="1"/>
  <c r="AX78" i="32"/>
  <c r="AX154" i="32"/>
  <c r="BK129" i="32"/>
  <c r="BK175" i="32" s="1"/>
  <c r="BK140" i="32"/>
  <c r="BL138" i="32"/>
  <c r="BL127" i="32"/>
  <c r="BL173" i="32" s="1"/>
  <c r="BQ155" i="32"/>
  <c r="BQ79" i="32"/>
  <c r="CF124" i="32"/>
  <c r="CF170" i="32" s="1"/>
  <c r="CF135" i="32"/>
  <c r="CR137" i="32"/>
  <c r="CR126" i="32"/>
  <c r="CR172" i="32" s="1"/>
  <c r="CQ128" i="32"/>
  <c r="CQ174" i="32" s="1"/>
  <c r="CQ139" i="32"/>
  <c r="CC139" i="32"/>
  <c r="CC128" i="32"/>
  <c r="CC174" i="32" s="1"/>
  <c r="DG137" i="32"/>
  <c r="DG126" i="32"/>
  <c r="DG172" i="32" s="1"/>
  <c r="DX137" i="32"/>
  <c r="DX126" i="32"/>
  <c r="DX172" i="32" s="1"/>
  <c r="DP127" i="32"/>
  <c r="DP173" i="32" s="1"/>
  <c r="DP138" i="32"/>
  <c r="BO136" i="32"/>
  <c r="BO125" i="32"/>
  <c r="BO171" i="32" s="1"/>
  <c r="BP153" i="32"/>
  <c r="BP77" i="32"/>
  <c r="AW152" i="32"/>
  <c r="AW76" i="32"/>
  <c r="CD129" i="32"/>
  <c r="CD175" i="32" s="1"/>
  <c r="CD140" i="32"/>
  <c r="CI133" i="32"/>
  <c r="CI122" i="32"/>
  <c r="CI168" i="32" s="1"/>
  <c r="CU134" i="32"/>
  <c r="CU123" i="32"/>
  <c r="CU169" i="32" s="1"/>
  <c r="DF141" i="32"/>
  <c r="DF130" i="32"/>
  <c r="DF176" i="32" s="1"/>
  <c r="DK133" i="32"/>
  <c r="DK122" i="32"/>
  <c r="DK168" i="32" s="1"/>
  <c r="EB122" i="32"/>
  <c r="EB168" i="32" s="1"/>
  <c r="EB133" i="32"/>
  <c r="DT134" i="32"/>
  <c r="DT123" i="32"/>
  <c r="DT169" i="32" s="1"/>
  <c r="O255" i="32"/>
  <c r="CS140" i="32"/>
  <c r="CS129" i="32"/>
  <c r="CS175" i="32" s="1"/>
  <c r="DF133" i="32"/>
  <c r="DF122" i="32"/>
  <c r="DF168" i="32" s="1"/>
  <c r="DK121" i="32"/>
  <c r="DK167" i="32" s="1"/>
  <c r="DK132" i="32"/>
  <c r="CN122" i="32"/>
  <c r="CN168" i="32" s="1"/>
  <c r="CN133" i="32"/>
  <c r="DR122" i="32"/>
  <c r="DR168" i="32" s="1"/>
  <c r="DR133" i="32"/>
  <c r="DP128" i="32"/>
  <c r="DP174" i="32" s="1"/>
  <c r="DP139" i="32"/>
  <c r="CT135" i="32"/>
  <c r="CT124" i="32"/>
  <c r="CT170" i="32" s="1"/>
  <c r="EB127" i="32"/>
  <c r="EB173" i="32" s="1"/>
  <c r="EB138" i="32"/>
  <c r="CJ132" i="32"/>
  <c r="CJ121" i="32"/>
  <c r="CJ167" i="32" s="1"/>
  <c r="DH122" i="32"/>
  <c r="DH168" i="32" s="1"/>
  <c r="DH133" i="32"/>
  <c r="BR140" i="32"/>
  <c r="BR129" i="32"/>
  <c r="BR175" i="32" s="1"/>
  <c r="CH137" i="32"/>
  <c r="CH126" i="32"/>
  <c r="CH172" i="32" s="1"/>
  <c r="BK132" i="32"/>
  <c r="BK121" i="32"/>
  <c r="BK167" i="32" s="1"/>
  <c r="CG130" i="32"/>
  <c r="CG176" i="32" s="1"/>
  <c r="CG141" i="32"/>
  <c r="DM140" i="32"/>
  <c r="DM129" i="32"/>
  <c r="DM175" i="32" s="1"/>
  <c r="CC134" i="32"/>
  <c r="CC123" i="32"/>
  <c r="CC169" i="32" s="1"/>
  <c r="CY126" i="32"/>
  <c r="CY172" i="32" s="1"/>
  <c r="CY137" i="32"/>
  <c r="BJ153" i="32"/>
  <c r="BJ160" i="32" s="1"/>
  <c r="BJ161" i="32" s="1"/>
  <c r="BJ162" i="32" s="1"/>
  <c r="BJ77" i="32"/>
  <c r="BF135" i="32"/>
  <c r="BF124" i="32"/>
  <c r="BF170" i="32" s="1"/>
  <c r="CY122" i="32"/>
  <c r="CY168" i="32" s="1"/>
  <c r="CY133" i="32"/>
  <c r="BK135" i="32"/>
  <c r="BK124" i="32"/>
  <c r="BK170" i="32" s="1"/>
  <c r="AX132" i="32"/>
  <c r="AX121" i="32"/>
  <c r="AX167" i="32" s="1"/>
  <c r="DM141" i="32"/>
  <c r="DM130" i="32"/>
  <c r="DM176" i="32" s="1"/>
  <c r="BH153" i="32"/>
  <c r="BH160" i="32" s="1"/>
  <c r="BH161" i="32" s="1"/>
  <c r="BH162" i="32" s="1"/>
  <c r="BH77" i="32"/>
  <c r="CS133" i="32"/>
  <c r="CS122" i="32"/>
  <c r="CS168" i="32" s="1"/>
  <c r="CP137" i="32"/>
  <c r="CP126" i="32"/>
  <c r="CP172" i="32" s="1"/>
  <c r="BC137" i="32"/>
  <c r="BC126" i="32"/>
  <c r="BC172" i="32" s="1"/>
  <c r="BC129" i="32"/>
  <c r="BC175" i="32" s="1"/>
  <c r="BC140" i="32"/>
  <c r="CC138" i="32"/>
  <c r="CC127" i="32"/>
  <c r="CC173" i="32" s="1"/>
  <c r="CS138" i="32"/>
  <c r="CS127" i="32"/>
  <c r="CS173" i="32" s="1"/>
  <c r="DU136" i="32"/>
  <c r="DU125" i="32"/>
  <c r="DU171" i="32" s="1"/>
  <c r="BI153" i="32"/>
  <c r="BI160" i="32" s="1"/>
  <c r="BI161" i="32" s="1"/>
  <c r="BI162" i="32" s="1"/>
  <c r="BI77" i="32"/>
  <c r="DI136" i="32"/>
  <c r="DI125" i="32"/>
  <c r="DI171" i="32" s="1"/>
  <c r="CH132" i="32"/>
  <c r="CH121" i="32"/>
  <c r="CH167" i="32" s="1"/>
  <c r="BS129" i="32"/>
  <c r="BS175" i="32" s="1"/>
  <c r="BS140" i="32"/>
  <c r="AZ137" i="32"/>
  <c r="AZ126" i="32"/>
  <c r="AZ172" i="32" s="1"/>
  <c r="DH139" i="32"/>
  <c r="DH128" i="32"/>
  <c r="DH174" i="32" s="1"/>
  <c r="CB141" i="32"/>
  <c r="CB130" i="32"/>
  <c r="CB176" i="32" s="1"/>
  <c r="BE140" i="32"/>
  <c r="BE129" i="32"/>
  <c r="BE175" i="32" s="1"/>
  <c r="DN135" i="32"/>
  <c r="DN124" i="32"/>
  <c r="DN170" i="32" s="1"/>
  <c r="O254" i="32"/>
  <c r="CK139" i="32"/>
  <c r="CK128" i="32"/>
  <c r="CK174" i="32" s="1"/>
  <c r="CG132" i="32"/>
  <c r="CG121" i="32"/>
  <c r="CG167" i="32" s="1"/>
  <c r="DR126" i="32"/>
  <c r="DR172" i="32" s="1"/>
  <c r="DR137" i="32"/>
  <c r="CM136" i="32"/>
  <c r="CM125" i="32"/>
  <c r="CM171" i="32" s="1"/>
  <c r="DV130" i="32"/>
  <c r="DV176" i="32" s="1"/>
  <c r="DV141" i="32"/>
  <c r="DJ137" i="32"/>
  <c r="DJ126" i="32"/>
  <c r="DJ172" i="32" s="1"/>
  <c r="BC153" i="32"/>
  <c r="BC77" i="32"/>
  <c r="BM137" i="32"/>
  <c r="BM126" i="32"/>
  <c r="BM172" i="32" s="1"/>
  <c r="CV135" i="32"/>
  <c r="CV124" i="32"/>
  <c r="CV170" i="32" s="1"/>
  <c r="DT137" i="32"/>
  <c r="DT126" i="32"/>
  <c r="DT172" i="32" s="1"/>
  <c r="DQ124" i="32"/>
  <c r="DQ170" i="32" s="1"/>
  <c r="DQ135" i="32"/>
  <c r="BB130" i="32"/>
  <c r="BB176" i="32" s="1"/>
  <c r="BB141" i="32"/>
  <c r="BC138" i="32"/>
  <c r="BC127" i="32"/>
  <c r="BC173" i="32" s="1"/>
  <c r="BM141" i="32"/>
  <c r="BM130" i="32"/>
  <c r="BM176" i="32" s="1"/>
  <c r="CC141" i="32"/>
  <c r="CC130" i="32"/>
  <c r="CC176" i="32" s="1"/>
  <c r="DM133" i="32"/>
  <c r="DM122" i="32"/>
  <c r="DM168" i="32" s="1"/>
  <c r="BG137" i="32"/>
  <c r="BG126" i="32"/>
  <c r="BG172" i="32" s="1"/>
  <c r="AX125" i="32"/>
  <c r="AX171" i="32" s="1"/>
  <c r="AX136" i="32"/>
  <c r="AZ152" i="32"/>
  <c r="AZ76" i="32"/>
  <c r="CK126" i="32"/>
  <c r="CK172" i="32" s="1"/>
  <c r="CK137" i="32"/>
  <c r="CI126" i="32"/>
  <c r="CI172" i="32" s="1"/>
  <c r="CI137" i="32"/>
  <c r="BJ133" i="32"/>
  <c r="BJ122" i="32"/>
  <c r="BJ168" i="32" s="1"/>
  <c r="CL135" i="32"/>
  <c r="CL124" i="32"/>
  <c r="CL170" i="32" s="1"/>
  <c r="CR139" i="32"/>
  <c r="CR128" i="32"/>
  <c r="CR174" i="32" s="1"/>
  <c r="DN141" i="32"/>
  <c r="DN130" i="32"/>
  <c r="DN176" i="32" s="1"/>
  <c r="CQ140" i="32"/>
  <c r="CQ129" i="32"/>
  <c r="CQ175" i="32" s="1"/>
  <c r="DV138" i="32"/>
  <c r="DV127" i="32"/>
  <c r="DV173" i="32" s="1"/>
  <c r="CY140" i="32"/>
  <c r="CY129" i="32"/>
  <c r="CY175" i="32" s="1"/>
  <c r="CR134" i="32"/>
  <c r="CR123" i="32"/>
  <c r="CR169" i="32" s="1"/>
  <c r="AY136" i="32"/>
  <c r="AY125" i="32"/>
  <c r="AY171" i="32" s="1"/>
  <c r="BE139" i="32"/>
  <c r="BE128" i="32"/>
  <c r="BE174" i="32" s="1"/>
  <c r="CE127" i="32"/>
  <c r="CE173" i="32" s="1"/>
  <c r="CE138" i="32"/>
  <c r="DI140" i="32"/>
  <c r="DI129" i="32"/>
  <c r="DI175" i="32" s="1"/>
  <c r="CX138" i="32"/>
  <c r="CX127" i="32"/>
  <c r="CX173" i="32" s="1"/>
  <c r="BB139" i="32"/>
  <c r="BB128" i="32"/>
  <c r="BB174" i="32" s="1"/>
  <c r="AY140" i="32"/>
  <c r="AY129" i="32"/>
  <c r="AY175" i="32" s="1"/>
  <c r="CV127" i="32"/>
  <c r="CV173" i="32" s="1"/>
  <c r="CV138" i="32"/>
  <c r="DL135" i="32"/>
  <c r="DL124" i="32"/>
  <c r="DL170" i="32" s="1"/>
  <c r="DF125" i="32"/>
  <c r="DF171" i="32" s="1"/>
  <c r="DF136" i="32"/>
  <c r="BO128" i="32"/>
  <c r="BO174" i="32" s="1"/>
  <c r="BO139" i="32"/>
  <c r="BP137" i="32"/>
  <c r="BP126" i="32"/>
  <c r="BP172" i="32" s="1"/>
  <c r="AW136" i="32"/>
  <c r="AW125" i="32"/>
  <c r="AW171" i="32" s="1"/>
  <c r="CK134" i="32"/>
  <c r="CK123" i="32"/>
  <c r="CK169" i="32" s="1"/>
  <c r="CQ136" i="32"/>
  <c r="CQ125" i="32"/>
  <c r="CQ171" i="32" s="1"/>
  <c r="CJ127" i="32"/>
  <c r="CJ173" i="32" s="1"/>
  <c r="CJ138" i="32"/>
  <c r="CH138" i="32"/>
  <c r="CH127" i="32"/>
  <c r="CH173" i="32" s="1"/>
  <c r="DL136" i="32"/>
  <c r="DL125" i="32"/>
  <c r="DL171" i="32" s="1"/>
  <c r="DY136" i="32"/>
  <c r="DY125" i="32"/>
  <c r="DY171" i="32" s="1"/>
  <c r="DQ126" i="32"/>
  <c r="DQ172" i="32" s="1"/>
  <c r="DQ137" i="32"/>
  <c r="BK153" i="32"/>
  <c r="BK160" i="32" s="1"/>
  <c r="BK161" i="32" s="1"/>
  <c r="BK162" i="32" s="1"/>
  <c r="BK77" i="32"/>
  <c r="BL132" i="32"/>
  <c r="BL121" i="32"/>
  <c r="BL167" i="32" s="1"/>
  <c r="CQ138" i="32"/>
  <c r="CQ127" i="32"/>
  <c r="CQ173" i="32" s="1"/>
  <c r="BI141" i="32"/>
  <c r="BI130" i="32"/>
  <c r="BI176" i="32" s="1"/>
  <c r="CK130" i="32"/>
  <c r="CK176" i="32" s="1"/>
  <c r="CK141" i="32"/>
  <c r="CO132" i="32"/>
  <c r="CO121" i="32"/>
  <c r="CO167" i="32" s="1"/>
  <c r="DS132" i="32"/>
  <c r="DS121" i="32"/>
  <c r="DS167" i="32" s="1"/>
  <c r="DM138" i="32"/>
  <c r="DM127" i="32"/>
  <c r="DM173" i="32" s="1"/>
  <c r="DW141" i="32"/>
  <c r="DW130" i="32"/>
  <c r="DW176" i="32" s="1"/>
  <c r="DN132" i="32"/>
  <c r="DN121" i="32"/>
  <c r="DN167" i="32" s="1"/>
  <c r="DZ122" i="32"/>
  <c r="DZ168" i="32" s="1"/>
  <c r="DZ133" i="32"/>
  <c r="DT140" i="32"/>
  <c r="DT129" i="32"/>
  <c r="DT175" i="32" s="1"/>
  <c r="DL130" i="32"/>
  <c r="DL176" i="32" s="1"/>
  <c r="DL141" i="32"/>
  <c r="DY130" i="32"/>
  <c r="DY176" i="32" s="1"/>
  <c r="DY141" i="32"/>
  <c r="BK126" i="32"/>
  <c r="BK172" i="32" s="1"/>
  <c r="BK137" i="32"/>
  <c r="BL124" i="32"/>
  <c r="BL170" i="32" s="1"/>
  <c r="BL135" i="32"/>
  <c r="BQ152" i="32"/>
  <c r="BQ76" i="32"/>
  <c r="CI132" i="32"/>
  <c r="CI121" i="32"/>
  <c r="CI167" i="32" s="1"/>
  <c r="CD123" i="32"/>
  <c r="CD169" i="32" s="1"/>
  <c r="CD134" i="32"/>
  <c r="CQ124" i="32"/>
  <c r="CQ170" i="32" s="1"/>
  <c r="CQ135" i="32"/>
  <c r="CB136" i="32"/>
  <c r="CB125" i="32"/>
  <c r="CB171" i="32" s="1"/>
  <c r="DF123" i="32"/>
  <c r="DF169" i="32" s="1"/>
  <c r="DF134" i="32"/>
  <c r="DW134" i="32"/>
  <c r="DW123" i="32"/>
  <c r="DW169" i="32" s="1"/>
  <c r="DO124" i="32"/>
  <c r="DO170" i="32" s="1"/>
  <c r="DO135" i="32"/>
  <c r="BF129" i="32"/>
  <c r="BF175" i="32" s="1"/>
  <c r="BF140" i="32"/>
  <c r="BS141" i="32"/>
  <c r="BS130" i="32"/>
  <c r="BS176" i="32" s="1"/>
  <c r="AV140" i="32"/>
  <c r="AV129" i="32"/>
  <c r="AV175" i="32" s="1"/>
  <c r="BA138" i="32"/>
  <c r="BA127" i="32"/>
  <c r="BA173" i="32" s="1"/>
  <c r="CU136" i="32"/>
  <c r="CU125" i="32"/>
  <c r="CU171" i="32" s="1"/>
  <c r="CJ139" i="32"/>
  <c r="CJ128" i="32"/>
  <c r="CJ174" i="32" s="1"/>
  <c r="CH141" i="32"/>
  <c r="CH130" i="32"/>
  <c r="CH176" i="32" s="1"/>
  <c r="CJ140" i="32"/>
  <c r="CJ129" i="32"/>
  <c r="CJ175" i="32" s="1"/>
  <c r="DN138" i="32"/>
  <c r="DN127" i="32"/>
  <c r="DN173" i="32" s="1"/>
  <c r="DF128" i="32"/>
  <c r="DF174" i="32" s="1"/>
  <c r="DF139" i="32"/>
  <c r="DW128" i="32"/>
  <c r="DW174" i="32" s="1"/>
  <c r="DW139" i="32"/>
  <c r="AY138" i="32"/>
  <c r="AY127" i="32"/>
  <c r="AY173" i="32" s="1"/>
  <c r="AZ136" i="32"/>
  <c r="AZ125" i="32"/>
  <c r="AZ171" i="32" s="1"/>
  <c r="BE153" i="32"/>
  <c r="BE77" i="32"/>
  <c r="CU132" i="32"/>
  <c r="CU121" i="32"/>
  <c r="CU167" i="32" s="1"/>
  <c r="CP134" i="32"/>
  <c r="CP123" i="32"/>
  <c r="CP169" i="32" s="1"/>
  <c r="CH125" i="32"/>
  <c r="CH171" i="32" s="1"/>
  <c r="CH136" i="32"/>
  <c r="CN136" i="32"/>
  <c r="CN125" i="32"/>
  <c r="CN171" i="32" s="1"/>
  <c r="DR134" i="32"/>
  <c r="DR123" i="32"/>
  <c r="DR169" i="32" s="1"/>
  <c r="DJ124" i="32"/>
  <c r="DJ170" i="32" s="1"/>
  <c r="DJ135" i="32"/>
  <c r="EA135" i="32"/>
  <c r="EA124" i="32"/>
  <c r="EA170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AZ160" i="32" l="1"/>
  <c r="AZ161" i="32" s="1"/>
  <c r="AZ162" i="32" s="1"/>
  <c r="EA178" i="32"/>
  <c r="BB160" i="32"/>
  <c r="BB161" i="32" s="1"/>
  <c r="BB162" i="32" s="1"/>
  <c r="D266" i="32"/>
  <c r="BE160" i="32"/>
  <c r="BE161" i="32" s="1"/>
  <c r="BE162" i="32" s="1"/>
  <c r="CI178" i="32"/>
  <c r="AV160" i="32"/>
  <c r="AV161" i="32" s="1"/>
  <c r="AV162" i="32" s="1"/>
  <c r="DS178" i="32"/>
  <c r="D265" i="32"/>
  <c r="DN178" i="32"/>
  <c r="CO178" i="32"/>
  <c r="AZ133" i="32"/>
  <c r="AZ122" i="32"/>
  <c r="AZ168" i="32" s="1"/>
  <c r="BC134" i="32"/>
  <c r="BC123" i="32"/>
  <c r="BC169" i="32" s="1"/>
  <c r="BP134" i="32"/>
  <c r="BP123" i="32"/>
  <c r="BP169" i="32" s="1"/>
  <c r="BM134" i="32"/>
  <c r="BM142" i="32" s="1"/>
  <c r="BM123" i="32"/>
  <c r="BM169" i="32" s="1"/>
  <c r="BM178" i="32" s="1"/>
  <c r="BO134" i="32"/>
  <c r="BO123" i="32"/>
  <c r="BO169" i="32" s="1"/>
  <c r="BF134" i="32"/>
  <c r="BF144" i="32" s="1"/>
  <c r="BF123" i="32"/>
  <c r="BF169" i="32" s="1"/>
  <c r="BF178" i="32" s="1"/>
  <c r="CL144" i="32"/>
  <c r="CL142" i="32"/>
  <c r="CL145" i="32"/>
  <c r="CL143" i="32"/>
  <c r="DQ178" i="32"/>
  <c r="DV178" i="32"/>
  <c r="CW178" i="32"/>
  <c r="AV133" i="32"/>
  <c r="AV122" i="32"/>
  <c r="AV168" i="32" s="1"/>
  <c r="AZ135" i="32"/>
  <c r="AZ124" i="32"/>
  <c r="AZ170" i="32" s="1"/>
  <c r="CC145" i="32"/>
  <c r="CC142" i="32"/>
  <c r="CC143" i="32"/>
  <c r="CC144" i="32"/>
  <c r="CQ178" i="32"/>
  <c r="DJ145" i="32"/>
  <c r="DJ143" i="32"/>
  <c r="DJ144" i="32"/>
  <c r="DJ142" i="32"/>
  <c r="CK178" i="32"/>
  <c r="BI134" i="32"/>
  <c r="BI144" i="32" s="1"/>
  <c r="BI123" i="32"/>
  <c r="BI169" i="32" s="1"/>
  <c r="BI178" i="32" s="1"/>
  <c r="DX145" i="32"/>
  <c r="DX143" i="32"/>
  <c r="DX144" i="32"/>
  <c r="DX142" i="32"/>
  <c r="CQ143" i="32"/>
  <c r="CQ144" i="32"/>
  <c r="CQ142" i="32"/>
  <c r="CQ145" i="32"/>
  <c r="BR135" i="32"/>
  <c r="BR124" i="32"/>
  <c r="BR170" i="32" s="1"/>
  <c r="DO144" i="32"/>
  <c r="DO143" i="32"/>
  <c r="DO142" i="32"/>
  <c r="DO145" i="32"/>
  <c r="BE134" i="32"/>
  <c r="BE123" i="32"/>
  <c r="BE169" i="32" s="1"/>
  <c r="CI142" i="32"/>
  <c r="CI143" i="32"/>
  <c r="CI145" i="32"/>
  <c r="CI144" i="32"/>
  <c r="DN145" i="32"/>
  <c r="DN144" i="32"/>
  <c r="DN143" i="32"/>
  <c r="DN142" i="32"/>
  <c r="CO142" i="32"/>
  <c r="CO144" i="32"/>
  <c r="CO143" i="32"/>
  <c r="CO145" i="32"/>
  <c r="DK142" i="32"/>
  <c r="DK145" i="32"/>
  <c r="DK143" i="32"/>
  <c r="DK144" i="32"/>
  <c r="AX124" i="32"/>
  <c r="AX170" i="32" s="1"/>
  <c r="AX135" i="32"/>
  <c r="CL178" i="32"/>
  <c r="DQ145" i="32"/>
  <c r="DQ143" i="32"/>
  <c r="DQ144" i="32"/>
  <c r="DQ142" i="32"/>
  <c r="DV145" i="32"/>
  <c r="DV144" i="32"/>
  <c r="DV142" i="32"/>
  <c r="DV143" i="32"/>
  <c r="CW145" i="32"/>
  <c r="CW143" i="32"/>
  <c r="CW144" i="32"/>
  <c r="CW142" i="32"/>
  <c r="AY134" i="32"/>
  <c r="AY123" i="32"/>
  <c r="AY169" i="32" s="1"/>
  <c r="BA134" i="32"/>
  <c r="BA144" i="32" s="1"/>
  <c r="BA123" i="32"/>
  <c r="BA169" i="32" s="1"/>
  <c r="BA178" i="32" s="1"/>
  <c r="BP133" i="32"/>
  <c r="BP122" i="32"/>
  <c r="BP168" i="32" s="1"/>
  <c r="CE145" i="32"/>
  <c r="CE143" i="32"/>
  <c r="CE144" i="32"/>
  <c r="CE142" i="32"/>
  <c r="BS135" i="32"/>
  <c r="BS124" i="32"/>
  <c r="BS170" i="32" s="1"/>
  <c r="DJ178" i="32"/>
  <c r="CK143" i="32"/>
  <c r="CK145" i="32"/>
  <c r="CK144" i="32"/>
  <c r="CK142" i="32"/>
  <c r="X209" i="32"/>
  <c r="Z209" i="32" s="1"/>
  <c r="X207" i="32"/>
  <c r="X208" i="32"/>
  <c r="AY122" i="32"/>
  <c r="AY168" i="32" s="1"/>
  <c r="AY133" i="32"/>
  <c r="BR133" i="32"/>
  <c r="BR122" i="32"/>
  <c r="BR168" i="32" s="1"/>
  <c r="BD132" i="32"/>
  <c r="BD121" i="32"/>
  <c r="BD167" i="32" s="1"/>
  <c r="BQ134" i="32"/>
  <c r="BQ123" i="32"/>
  <c r="BQ169" i="32" s="1"/>
  <c r="BQ133" i="32"/>
  <c r="BQ122" i="32"/>
  <c r="BQ168" i="32" s="1"/>
  <c r="BK123" i="32"/>
  <c r="BK169" i="32" s="1"/>
  <c r="BK178" i="32" s="1"/>
  <c r="BK134" i="32"/>
  <c r="BK145" i="32" s="1"/>
  <c r="CG178" i="32"/>
  <c r="DK178" i="32"/>
  <c r="BQ136" i="32"/>
  <c r="BQ125" i="32"/>
  <c r="BQ171" i="32" s="1"/>
  <c r="BD134" i="32"/>
  <c r="BD123" i="32"/>
  <c r="BD169" i="32" s="1"/>
  <c r="AX134" i="32"/>
  <c r="AX123" i="32"/>
  <c r="AX169" i="32" s="1"/>
  <c r="DU178" i="32"/>
  <c r="BB134" i="32"/>
  <c r="BB123" i="32"/>
  <c r="BB169" i="32" s="1"/>
  <c r="CY178" i="32"/>
  <c r="DE178" i="32"/>
  <c r="BS123" i="32"/>
  <c r="BS169" i="32" s="1"/>
  <c r="BS134" i="32"/>
  <c r="CT178" i="32"/>
  <c r="BP160" i="32"/>
  <c r="BP161" i="32" s="1"/>
  <c r="BP162" i="32" s="1"/>
  <c r="CE178" i="32"/>
  <c r="BS160" i="32"/>
  <c r="BS161" i="32" s="1"/>
  <c r="BS162" i="32" s="1"/>
  <c r="BL134" i="32"/>
  <c r="BL142" i="32" s="1"/>
  <c r="BL123" i="32"/>
  <c r="BL169" i="32" s="1"/>
  <c r="BL178" i="32" s="1"/>
  <c r="BC121" i="32"/>
  <c r="BC167" i="32" s="1"/>
  <c r="BC132" i="32"/>
  <c r="BG134" i="32"/>
  <c r="BG144" i="32" s="1"/>
  <c r="BG123" i="32"/>
  <c r="BG169" i="32" s="1"/>
  <c r="BG178" i="32" s="1"/>
  <c r="CN178" i="32"/>
  <c r="AY160" i="32"/>
  <c r="AY161" i="32" s="1"/>
  <c r="AY162" i="32" s="1"/>
  <c r="BR160" i="32"/>
  <c r="BR161" i="32" s="1"/>
  <c r="BR162" i="32" s="1"/>
  <c r="BD160" i="32"/>
  <c r="BD161" i="32" s="1"/>
  <c r="BD162" i="32" s="1"/>
  <c r="CU142" i="32"/>
  <c r="CU145" i="32"/>
  <c r="CU143" i="32"/>
  <c r="CU144" i="32"/>
  <c r="CM144" i="32"/>
  <c r="CM142" i="32"/>
  <c r="CM145" i="32"/>
  <c r="CM143" i="32"/>
  <c r="AV124" i="32"/>
  <c r="AV170" i="32" s="1"/>
  <c r="AV135" i="32"/>
  <c r="CG145" i="32"/>
  <c r="CG144" i="32"/>
  <c r="CG143" i="32"/>
  <c r="CG142" i="32"/>
  <c r="CH178" i="32"/>
  <c r="BJ123" i="32"/>
  <c r="BJ169" i="32" s="1"/>
  <c r="BJ178" i="32" s="1"/>
  <c r="BJ134" i="32"/>
  <c r="BJ145" i="32" s="1"/>
  <c r="BQ160" i="32"/>
  <c r="BQ161" i="32" s="1"/>
  <c r="BQ162" i="32" s="1"/>
  <c r="DU145" i="32"/>
  <c r="DU144" i="32"/>
  <c r="DU142" i="32"/>
  <c r="DU143" i="32"/>
  <c r="CY144" i="32"/>
  <c r="CY142" i="32"/>
  <c r="CY143" i="32"/>
  <c r="CY145" i="32"/>
  <c r="DE142" i="32"/>
  <c r="DE143" i="32"/>
  <c r="DE145" i="32"/>
  <c r="DE144" i="32"/>
  <c r="CT142" i="32"/>
  <c r="CT144" i="32"/>
  <c r="CT143" i="32"/>
  <c r="CT145" i="32"/>
  <c r="AV136" i="32"/>
  <c r="AV125" i="32"/>
  <c r="AV171" i="32" s="1"/>
  <c r="DY145" i="32"/>
  <c r="DY143" i="32"/>
  <c r="DY144" i="32"/>
  <c r="DY142" i="32"/>
  <c r="CF145" i="32"/>
  <c r="CF144" i="32"/>
  <c r="CF142" i="32"/>
  <c r="CF143" i="32"/>
  <c r="BO135" i="32"/>
  <c r="BO124" i="32"/>
  <c r="BO170" i="32" s="1"/>
  <c r="AX133" i="32"/>
  <c r="AX122" i="32"/>
  <c r="AX168" i="32" s="1"/>
  <c r="AW135" i="32"/>
  <c r="AW124" i="32"/>
  <c r="AW170" i="32" s="1"/>
  <c r="DH178" i="32"/>
  <c r="BP135" i="32"/>
  <c r="BP124" i="32"/>
  <c r="BP170" i="32" s="1"/>
  <c r="DF178" i="32"/>
  <c r="BC160" i="32"/>
  <c r="BC161" i="32" s="1"/>
  <c r="BC162" i="32" s="1"/>
  <c r="CN142" i="32"/>
  <c r="CN144" i="32"/>
  <c r="CN143" i="32"/>
  <c r="CN145" i="32"/>
  <c r="DM178" i="32"/>
  <c r="DW144" i="32"/>
  <c r="DW142" i="32"/>
  <c r="DW143" i="32"/>
  <c r="DW145" i="32"/>
  <c r="DG178" i="32"/>
  <c r="AZ134" i="32"/>
  <c r="AZ123" i="32"/>
  <c r="AZ169" i="32" s="1"/>
  <c r="BN123" i="32"/>
  <c r="BN169" i="32" s="1"/>
  <c r="BN178" i="32" s="1"/>
  <c r="BN134" i="32"/>
  <c r="BN144" i="32" s="1"/>
  <c r="DR178" i="32"/>
  <c r="BH134" i="32"/>
  <c r="BH143" i="32" s="1"/>
  <c r="BH123" i="32"/>
  <c r="BH169" i="32" s="1"/>
  <c r="BH178" i="32" s="1"/>
  <c r="DI178" i="32"/>
  <c r="CS178" i="32"/>
  <c r="DT178" i="32"/>
  <c r="BO122" i="32"/>
  <c r="BO168" i="32" s="1"/>
  <c r="BO133" i="32"/>
  <c r="DY178" i="32"/>
  <c r="CF178" i="32"/>
  <c r="AX160" i="32"/>
  <c r="AX161" i="32" s="1"/>
  <c r="AX162" i="32" s="1"/>
  <c r="AW160" i="32"/>
  <c r="AW161" i="32" s="1"/>
  <c r="AW162" i="32" s="1"/>
  <c r="DH145" i="32"/>
  <c r="DH143" i="32"/>
  <c r="DH142" i="32"/>
  <c r="DH144" i="32"/>
  <c r="DF142" i="32"/>
  <c r="DF143" i="32"/>
  <c r="DF144" i="32"/>
  <c r="DF145" i="32"/>
  <c r="DP178" i="32"/>
  <c r="DM142" i="32"/>
  <c r="DM143" i="32"/>
  <c r="DM144" i="32"/>
  <c r="DM145" i="32"/>
  <c r="DW178" i="32"/>
  <c r="DG143" i="32"/>
  <c r="DG144" i="32"/>
  <c r="DG142" i="32"/>
  <c r="DG145" i="32"/>
  <c r="DR145" i="32"/>
  <c r="DR143" i="32"/>
  <c r="DR144" i="32"/>
  <c r="DR142" i="32"/>
  <c r="CR144" i="32"/>
  <c r="CR142" i="32"/>
  <c r="CR143" i="32"/>
  <c r="CR145" i="32"/>
  <c r="CJ178" i="32"/>
  <c r="CR178" i="32"/>
  <c r="CD142" i="32"/>
  <c r="CD144" i="32"/>
  <c r="CD143" i="32"/>
  <c r="CD145" i="32"/>
  <c r="BR125" i="32"/>
  <c r="BR171" i="32" s="1"/>
  <c r="BR136" i="32"/>
  <c r="DI144" i="32"/>
  <c r="DI142" i="32"/>
  <c r="DI143" i="32"/>
  <c r="DI145" i="32"/>
  <c r="CS145" i="32"/>
  <c r="CS144" i="32"/>
  <c r="CS143" i="32"/>
  <c r="CS142" i="32"/>
  <c r="DT145" i="32"/>
  <c r="DT143" i="32"/>
  <c r="DT144" i="32"/>
  <c r="DT142" i="32"/>
  <c r="BO160" i="32"/>
  <c r="BO161" i="32" s="1"/>
  <c r="BO162" i="32" s="1"/>
  <c r="DL142" i="32"/>
  <c r="DL145" i="32"/>
  <c r="DL143" i="32"/>
  <c r="DL144" i="32"/>
  <c r="AY135" i="32"/>
  <c r="AY124" i="32"/>
  <c r="AY170" i="32" s="1"/>
  <c r="BR134" i="32"/>
  <c r="BR123" i="32"/>
  <c r="BR169" i="32" s="1"/>
  <c r="BS125" i="32"/>
  <c r="BS171" i="32" s="1"/>
  <c r="BS136" i="32"/>
  <c r="DP144" i="32"/>
  <c r="DP142" i="32"/>
  <c r="DP143" i="32"/>
  <c r="DP145" i="32"/>
  <c r="CP178" i="32"/>
  <c r="CX145" i="32"/>
  <c r="CX143" i="32"/>
  <c r="CX142" i="32"/>
  <c r="CX144" i="32"/>
  <c r="CV178" i="32"/>
  <c r="BS122" i="32"/>
  <c r="BS168" i="32" s="1"/>
  <c r="BS133" i="32"/>
  <c r="EB178" i="32"/>
  <c r="DZ178" i="32"/>
  <c r="DS144" i="32"/>
  <c r="DS145" i="32"/>
  <c r="DS143" i="32"/>
  <c r="DS142" i="32"/>
  <c r="CB144" i="32"/>
  <c r="CB142" i="32"/>
  <c r="CB145" i="32"/>
  <c r="CB143" i="32"/>
  <c r="CC178" i="32"/>
  <c r="AV134" i="32"/>
  <c r="AV123" i="32"/>
  <c r="AV169" i="32" s="1"/>
  <c r="CH142" i="32"/>
  <c r="CH145" i="32"/>
  <c r="CH144" i="32"/>
  <c r="CH143" i="32"/>
  <c r="CD178" i="32"/>
  <c r="CU178" i="32"/>
  <c r="CJ142" i="32"/>
  <c r="CJ143" i="32"/>
  <c r="CJ145" i="32"/>
  <c r="CJ144" i="32"/>
  <c r="AW122" i="32"/>
  <c r="AW168" i="32" s="1"/>
  <c r="AW133" i="32"/>
  <c r="DX178" i="32"/>
  <c r="EA142" i="32"/>
  <c r="EA144" i="32"/>
  <c r="EA145" i="32"/>
  <c r="EA143" i="32"/>
  <c r="BQ135" i="32"/>
  <c r="BQ124" i="32"/>
  <c r="BQ170" i="32" s="1"/>
  <c r="AW123" i="32"/>
  <c r="AW169" i="32" s="1"/>
  <c r="AW134" i="32"/>
  <c r="BE132" i="32"/>
  <c r="BE121" i="32"/>
  <c r="BE167" i="32" s="1"/>
  <c r="CM178" i="32"/>
  <c r="CB178" i="32"/>
  <c r="DL178" i="32"/>
  <c r="DO178" i="32"/>
  <c r="BB132" i="32"/>
  <c r="BB121" i="32"/>
  <c r="BB167" i="32" s="1"/>
  <c r="CP142" i="32"/>
  <c r="CP145" i="32"/>
  <c r="CP143" i="32"/>
  <c r="CP144" i="32"/>
  <c r="CX178" i="32"/>
  <c r="CV145" i="32"/>
  <c r="CV144" i="32"/>
  <c r="CV143" i="32"/>
  <c r="CV142" i="32"/>
  <c r="EB145" i="32"/>
  <c r="EB143" i="32"/>
  <c r="EB144" i="32"/>
  <c r="EB142" i="32"/>
  <c r="DZ142" i="32"/>
  <c r="DZ143" i="32"/>
  <c r="DZ145" i="32"/>
  <c r="DZ144" i="32"/>
  <c r="D70" i="32"/>
  <c r="D84" i="32" s="1"/>
  <c r="C84" i="32"/>
  <c r="B35" i="15"/>
  <c r="C35" i="30"/>
  <c r="AH135" i="31"/>
  <c r="AH137" i="31" s="1"/>
  <c r="M12" i="31"/>
  <c r="D11" i="31"/>
  <c r="F33" i="30"/>
  <c r="C257" i="32"/>
  <c r="B16" i="31"/>
  <c r="J15" i="31"/>
  <c r="K15" i="31"/>
  <c r="AF144" i="31"/>
  <c r="AF146" i="31" s="1"/>
  <c r="AH144" i="31"/>
  <c r="AH146" i="31" s="1"/>
  <c r="M15" i="31"/>
  <c r="D16" i="31"/>
  <c r="M16" i="31" s="1"/>
  <c r="T12" i="31"/>
  <c r="B14" i="31"/>
  <c r="B13" i="31" s="1"/>
  <c r="L15" i="31"/>
  <c r="AG144" i="31"/>
  <c r="AG146" i="31" s="1"/>
  <c r="C16" i="31"/>
  <c r="L16" i="31" s="1"/>
  <c r="D14" i="31"/>
  <c r="V12" i="31"/>
  <c r="Y84" i="31" s="1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289" i="32" l="1"/>
  <c r="BE178" i="32"/>
  <c r="BI143" i="32"/>
  <c r="BM144" i="32"/>
  <c r="BM143" i="32"/>
  <c r="BN143" i="32"/>
  <c r="BN142" i="32"/>
  <c r="BM145" i="32"/>
  <c r="AZ178" i="32"/>
  <c r="BB178" i="32"/>
  <c r="BA145" i="32"/>
  <c r="BA143" i="32"/>
  <c r="BI145" i="32"/>
  <c r="BI142" i="32"/>
  <c r="AV144" i="32"/>
  <c r="AW178" i="32"/>
  <c r="BN145" i="32"/>
  <c r="BA142" i="32"/>
  <c r="AX178" i="32"/>
  <c r="CR146" i="32"/>
  <c r="CR148" i="32" s="1"/>
  <c r="AV178" i="32"/>
  <c r="BK143" i="32"/>
  <c r="BC178" i="32"/>
  <c r="BP144" i="32"/>
  <c r="BS143" i="32"/>
  <c r="AX145" i="32"/>
  <c r="BP178" i="32"/>
  <c r="EB146" i="32"/>
  <c r="EB147" i="32" s="1"/>
  <c r="AW142" i="32"/>
  <c r="BL143" i="32"/>
  <c r="CW146" i="32"/>
  <c r="CW147" i="32" s="1"/>
  <c r="DQ146" i="32"/>
  <c r="DQ148" i="32" s="1"/>
  <c r="BQ178" i="32"/>
  <c r="AY143" i="32"/>
  <c r="BQ144" i="32"/>
  <c r="AX143" i="32"/>
  <c r="BO142" i="32"/>
  <c r="AX142" i="32"/>
  <c r="BO178" i="32"/>
  <c r="BQ143" i="32"/>
  <c r="CV146" i="32"/>
  <c r="CV148" i="32" s="1"/>
  <c r="BJ144" i="32"/>
  <c r="BP142" i="32"/>
  <c r="AZ145" i="32"/>
  <c r="CG146" i="32"/>
  <c r="CG148" i="32" s="1"/>
  <c r="CM146" i="32"/>
  <c r="CM148" i="32" s="1"/>
  <c r="DU146" i="32"/>
  <c r="DU148" i="32" s="1"/>
  <c r="BG143" i="32"/>
  <c r="BR142" i="32"/>
  <c r="BR178" i="32"/>
  <c r="AY178" i="32"/>
  <c r="CQ146" i="32"/>
  <c r="CQ148" i="32" s="1"/>
  <c r="CH146" i="32"/>
  <c r="DS146" i="32"/>
  <c r="DT146" i="32"/>
  <c r="CN146" i="32"/>
  <c r="DY146" i="32"/>
  <c r="BP143" i="32"/>
  <c r="BJ143" i="32"/>
  <c r="CK146" i="32"/>
  <c r="BQ145" i="32"/>
  <c r="BG142" i="32"/>
  <c r="BF143" i="32"/>
  <c r="DJ146" i="32"/>
  <c r="AW145" i="32"/>
  <c r="CD146" i="32"/>
  <c r="BS145" i="32"/>
  <c r="AV143" i="32"/>
  <c r="DF146" i="32"/>
  <c r="DE146" i="32"/>
  <c r="BP145" i="32"/>
  <c r="AY142" i="32"/>
  <c r="BO144" i="32"/>
  <c r="BG145" i="32"/>
  <c r="BF145" i="32"/>
  <c r="AW144" i="32"/>
  <c r="CC146" i="32"/>
  <c r="BF142" i="32"/>
  <c r="DI146" i="32"/>
  <c r="BS144" i="32"/>
  <c r="AV145" i="32"/>
  <c r="DW146" i="32"/>
  <c r="AY145" i="32"/>
  <c r="AY144" i="32"/>
  <c r="BO143" i="32"/>
  <c r="CP146" i="32"/>
  <c r="DP146" i="32"/>
  <c r="BS142" i="32"/>
  <c r="DH146" i="32"/>
  <c r="AV142" i="32"/>
  <c r="BC143" i="32"/>
  <c r="BC142" i="32"/>
  <c r="BC145" i="32"/>
  <c r="BC144" i="32"/>
  <c r="BO145" i="32"/>
  <c r="DK146" i="32"/>
  <c r="CO146" i="32"/>
  <c r="CI146" i="32"/>
  <c r="DO146" i="32"/>
  <c r="BH144" i="32"/>
  <c r="AZ142" i="32"/>
  <c r="BE144" i="32"/>
  <c r="BE142" i="32"/>
  <c r="BE145" i="32"/>
  <c r="BE143" i="32"/>
  <c r="CJ146" i="32"/>
  <c r="CS146" i="32"/>
  <c r="BR143" i="32"/>
  <c r="DM146" i="32"/>
  <c r="CY146" i="32"/>
  <c r="CU146" i="32"/>
  <c r="BR144" i="32"/>
  <c r="BS178" i="32"/>
  <c r="BL144" i="32"/>
  <c r="DN146" i="32"/>
  <c r="BH142" i="32"/>
  <c r="AZ144" i="32"/>
  <c r="CL146" i="32"/>
  <c r="DZ146" i="32"/>
  <c r="BB142" i="32"/>
  <c r="BB143" i="32"/>
  <c r="BB145" i="32"/>
  <c r="BB144" i="32"/>
  <c r="EA146" i="32"/>
  <c r="BK142" i="32"/>
  <c r="CX146" i="32"/>
  <c r="DR146" i="32"/>
  <c r="DG146" i="32"/>
  <c r="CF146" i="32"/>
  <c r="CT146" i="32"/>
  <c r="BR145" i="32"/>
  <c r="BD178" i="32"/>
  <c r="BQ142" i="32"/>
  <c r="BL145" i="32"/>
  <c r="DX146" i="32"/>
  <c r="BH145" i="32"/>
  <c r="AZ143" i="32"/>
  <c r="AW143" i="32"/>
  <c r="BK144" i="32"/>
  <c r="CB146" i="32"/>
  <c r="DL146" i="32"/>
  <c r="BJ142" i="32"/>
  <c r="BD143" i="32"/>
  <c r="BD145" i="32"/>
  <c r="BD144" i="32"/>
  <c r="BD142" i="32"/>
  <c r="CE146" i="32"/>
  <c r="DV146" i="32"/>
  <c r="AX144" i="32"/>
  <c r="D35" i="15"/>
  <c r="V125" i="31" s="1"/>
  <c r="C37" i="30"/>
  <c r="F37" i="30" s="1"/>
  <c r="B101" i="30" s="1"/>
  <c r="D257" i="32"/>
  <c r="D13" i="31"/>
  <c r="AH141" i="31"/>
  <c r="AH143" i="31" s="1"/>
  <c r="M14" i="31"/>
  <c r="C259" i="32"/>
  <c r="G151" i="32"/>
  <c r="C143" i="32" s="1"/>
  <c r="AF138" i="31"/>
  <c r="AF140" i="31" s="1"/>
  <c r="K13" i="31"/>
  <c r="G152" i="32"/>
  <c r="C144" i="32" s="1"/>
  <c r="K14" i="31"/>
  <c r="AF141" i="31"/>
  <c r="AF143" i="31" s="1"/>
  <c r="Y82" i="31"/>
  <c r="K16" i="31"/>
  <c r="J16" i="31"/>
  <c r="F35" i="30"/>
  <c r="D260" i="32"/>
  <c r="AH132" i="31"/>
  <c r="AH134" i="31" s="1"/>
  <c r="M11" i="31"/>
  <c r="B39" i="30"/>
  <c r="C39" i="30" s="1"/>
  <c r="T125" i="31"/>
  <c r="T6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143" i="32" l="1"/>
  <c r="D144" i="32"/>
  <c r="BN146" i="32"/>
  <c r="BN147" i="32" s="1"/>
  <c r="BM146" i="32"/>
  <c r="BM148" i="32" s="1"/>
  <c r="CG147" i="32"/>
  <c r="CG163" i="32" s="1"/>
  <c r="BI146" i="32"/>
  <c r="BI147" i="32" s="1"/>
  <c r="CW148" i="32"/>
  <c r="CW163" i="32" s="1"/>
  <c r="BA146" i="32"/>
  <c r="BA148" i="32" s="1"/>
  <c r="CV147" i="32"/>
  <c r="CV163" i="32" s="1"/>
  <c r="CQ147" i="32"/>
  <c r="CQ163" i="32" s="1"/>
  <c r="EB148" i="32"/>
  <c r="EB163" i="32" s="1"/>
  <c r="AW146" i="32"/>
  <c r="AW147" i="32" s="1"/>
  <c r="CR147" i="32"/>
  <c r="CR163" i="32" s="1"/>
  <c r="AX146" i="32"/>
  <c r="AX148" i="32" s="1"/>
  <c r="BR146" i="32"/>
  <c r="BR148" i="32" s="1"/>
  <c r="BC146" i="32"/>
  <c r="BC148" i="32" s="1"/>
  <c r="DQ147" i="32"/>
  <c r="DQ163" i="32" s="1"/>
  <c r="BE146" i="32"/>
  <c r="BE148" i="32" s="1"/>
  <c r="AY146" i="32"/>
  <c r="AY147" i="32" s="1"/>
  <c r="DU147" i="32"/>
  <c r="DU163" i="32" s="1"/>
  <c r="BP146" i="32"/>
  <c r="BP148" i="32" s="1"/>
  <c r="AZ146" i="32"/>
  <c r="AZ148" i="32" s="1"/>
  <c r="BO146" i="32"/>
  <c r="BO147" i="32" s="1"/>
  <c r="BJ146" i="32"/>
  <c r="BJ148" i="32" s="1"/>
  <c r="CM147" i="32"/>
  <c r="CM163" i="32" s="1"/>
  <c r="BL146" i="32"/>
  <c r="BL148" i="32" s="1"/>
  <c r="BQ146" i="32"/>
  <c r="BQ148" i="32" s="1"/>
  <c r="BG146" i="32"/>
  <c r="BG148" i="32" s="1"/>
  <c r="CO148" i="32"/>
  <c r="CO147" i="32"/>
  <c r="CH148" i="32"/>
  <c r="CH147" i="32"/>
  <c r="DS147" i="32"/>
  <c r="DS148" i="32"/>
  <c r="BD146" i="32"/>
  <c r="CT148" i="32"/>
  <c r="CT147" i="32"/>
  <c r="CL147" i="32"/>
  <c r="CL148" i="32"/>
  <c r="CY147" i="32"/>
  <c r="CY148" i="32"/>
  <c r="DK148" i="32"/>
  <c r="DK147" i="32"/>
  <c r="AV146" i="32"/>
  <c r="CD147" i="32"/>
  <c r="CD148" i="32"/>
  <c r="CK148" i="32"/>
  <c r="CK147" i="32"/>
  <c r="DW148" i="32"/>
  <c r="DW147" i="32"/>
  <c r="CF148" i="32"/>
  <c r="CF147" i="32"/>
  <c r="DM148" i="32"/>
  <c r="DM147" i="32"/>
  <c r="DH148" i="32"/>
  <c r="DH147" i="32"/>
  <c r="DV147" i="32"/>
  <c r="DV148" i="32"/>
  <c r="CI148" i="32"/>
  <c r="CI147" i="32"/>
  <c r="CE148" i="32"/>
  <c r="CE147" i="32"/>
  <c r="CU148" i="32"/>
  <c r="CU147" i="32"/>
  <c r="DG148" i="32"/>
  <c r="DG147" i="32"/>
  <c r="BB146" i="32"/>
  <c r="BH146" i="32"/>
  <c r="BS146" i="32"/>
  <c r="DI148" i="32"/>
  <c r="DI147" i="32"/>
  <c r="CB147" i="32"/>
  <c r="CB148" i="32"/>
  <c r="DX148" i="32"/>
  <c r="DX147" i="32"/>
  <c r="DN148" i="32"/>
  <c r="DN147" i="32"/>
  <c r="DP147" i="32"/>
  <c r="DP148" i="32"/>
  <c r="EA147" i="32"/>
  <c r="EA148" i="32"/>
  <c r="DZ147" i="32"/>
  <c r="DZ148" i="32"/>
  <c r="CS148" i="32"/>
  <c r="CS147" i="32"/>
  <c r="CX148" i="32"/>
  <c r="CX147" i="32"/>
  <c r="CJ148" i="32"/>
  <c r="CJ147" i="32"/>
  <c r="CP148" i="32"/>
  <c r="CP147" i="32"/>
  <c r="BF146" i="32"/>
  <c r="DE148" i="32"/>
  <c r="DE147" i="32"/>
  <c r="DJ148" i="32"/>
  <c r="DJ147" i="32"/>
  <c r="CN148" i="32"/>
  <c r="CN147" i="32"/>
  <c r="DR148" i="32"/>
  <c r="DR147" i="32"/>
  <c r="DY148" i="32"/>
  <c r="DY147" i="32"/>
  <c r="DL148" i="32"/>
  <c r="DL147" i="32"/>
  <c r="BQ147" i="32"/>
  <c r="BK146" i="32"/>
  <c r="DO148" i="32"/>
  <c r="DO147" i="32"/>
  <c r="CC148" i="32"/>
  <c r="CC147" i="32"/>
  <c r="DF148" i="32"/>
  <c r="DF147" i="32"/>
  <c r="DT147" i="32"/>
  <c r="DT148" i="32"/>
  <c r="AH126" i="31"/>
  <c r="AH128" i="31" s="1"/>
  <c r="M9" i="31"/>
  <c r="F39" i="30"/>
  <c r="D101" i="30"/>
  <c r="B120" i="30"/>
  <c r="D120" i="30" s="1"/>
  <c r="AH129" i="31"/>
  <c r="AH131" i="31" s="1"/>
  <c r="M10" i="31"/>
  <c r="C260" i="32"/>
  <c r="B99" i="30"/>
  <c r="Z106" i="31"/>
  <c r="BN106" i="31" s="1"/>
  <c r="BN108" i="31" s="1"/>
  <c r="Z103" i="31"/>
  <c r="BK103" i="31" s="1"/>
  <c r="BK108" i="31" s="1"/>
  <c r="Z89" i="31"/>
  <c r="AC89" i="31" s="1"/>
  <c r="AC94" i="31" s="1"/>
  <c r="BY90" i="31" s="1"/>
  <c r="D83" i="31" s="1"/>
  <c r="K83" i="31" s="1"/>
  <c r="Z107" i="31"/>
  <c r="BO107" i="31" s="1"/>
  <c r="BO108" i="31" s="1"/>
  <c r="Z104" i="31"/>
  <c r="BL104" i="31" s="1"/>
  <c r="BL108" i="31" s="1"/>
  <c r="Z98" i="31"/>
  <c r="BM98" i="31" s="1"/>
  <c r="BM101" i="31" s="1"/>
  <c r="Z96" i="31"/>
  <c r="BK96" i="31" s="1"/>
  <c r="BK101" i="31" s="1"/>
  <c r="Z99" i="31"/>
  <c r="BN99" i="31" s="1"/>
  <c r="BN101" i="31" s="1"/>
  <c r="Z100" i="31"/>
  <c r="BO100" i="31" s="1"/>
  <c r="BO101" i="31" s="1"/>
  <c r="Z93" i="31"/>
  <c r="BO93" i="31" s="1"/>
  <c r="BO94" i="31" s="1"/>
  <c r="Z92" i="31"/>
  <c r="BN92" i="31" s="1"/>
  <c r="BN94" i="31" s="1"/>
  <c r="Z97" i="31"/>
  <c r="BL97" i="31" s="1"/>
  <c r="BL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G148" i="32"/>
  <c r="AF129" i="31"/>
  <c r="AF131" i="31" s="1"/>
  <c r="K10" i="31"/>
  <c r="G147" i="32"/>
  <c r="K9" i="31"/>
  <c r="AF126" i="31"/>
  <c r="AF128" i="31" s="1"/>
  <c r="B5" i="31"/>
  <c r="B6" i="31" s="1"/>
  <c r="D259" i="32"/>
  <c r="C283" i="32"/>
  <c r="M13" i="31"/>
  <c r="AH138" i="31"/>
  <c r="AH140" i="31" s="1"/>
  <c r="AK54" i="26"/>
  <c r="B42" i="15"/>
  <c r="B12" i="31" s="1"/>
  <c r="B61" i="15"/>
  <c r="B46" i="15"/>
  <c r="B11" i="31" s="1"/>
  <c r="B58" i="15"/>
  <c r="AY148" i="32" l="1"/>
  <c r="AY163" i="32" s="1"/>
  <c r="AW148" i="32"/>
  <c r="AW163" i="32" s="1"/>
  <c r="BN148" i="32"/>
  <c r="BN163" i="32" s="1"/>
  <c r="BM147" i="32"/>
  <c r="BM163" i="32" s="1"/>
  <c r="AX147" i="32"/>
  <c r="AX163" i="32" s="1"/>
  <c r="BG147" i="32"/>
  <c r="BG163" i="32" s="1"/>
  <c r="BA147" i="32"/>
  <c r="BA163" i="32" s="1"/>
  <c r="DJ163" i="32"/>
  <c r="DG163" i="32"/>
  <c r="BI148" i="32"/>
  <c r="BI163" i="32" s="1"/>
  <c r="BP147" i="32"/>
  <c r="BP163" i="32" s="1"/>
  <c r="EA163" i="32"/>
  <c r="CB163" i="32"/>
  <c r="DM163" i="32"/>
  <c r="AZ147" i="32"/>
  <c r="AZ163" i="32" s="1"/>
  <c r="DP163" i="32"/>
  <c r="DH163" i="32"/>
  <c r="CK163" i="32"/>
  <c r="BR147" i="32"/>
  <c r="BR163" i="32" s="1"/>
  <c r="DE163" i="32"/>
  <c r="CH163" i="32"/>
  <c r="DW163" i="32"/>
  <c r="CO163" i="32"/>
  <c r="CN163" i="32"/>
  <c r="CE163" i="32"/>
  <c r="CI163" i="32"/>
  <c r="CF163" i="32"/>
  <c r="CL163" i="32"/>
  <c r="BC147" i="32"/>
  <c r="BC163" i="32" s="1"/>
  <c r="DR163" i="32"/>
  <c r="CU163" i="32"/>
  <c r="BE147" i="32"/>
  <c r="BE163" i="32" s="1"/>
  <c r="BL147" i="32"/>
  <c r="BL163" i="32" s="1"/>
  <c r="DF163" i="32"/>
  <c r="BQ163" i="32"/>
  <c r="CC163" i="32"/>
  <c r="DL163" i="32"/>
  <c r="DY163" i="32"/>
  <c r="DO163" i="32"/>
  <c r="CX163" i="32"/>
  <c r="DX163" i="32"/>
  <c r="BJ147" i="32"/>
  <c r="BJ163" i="32" s="1"/>
  <c r="BO148" i="32"/>
  <c r="BO163" i="32" s="1"/>
  <c r="CJ163" i="32"/>
  <c r="CS163" i="32"/>
  <c r="DN163" i="32"/>
  <c r="DK163" i="32"/>
  <c r="CP163" i="32"/>
  <c r="DI163" i="32"/>
  <c r="CT163" i="32"/>
  <c r="DV163" i="32"/>
  <c r="BD148" i="32"/>
  <c r="BD147" i="32"/>
  <c r="BS147" i="32"/>
  <c r="BS148" i="32"/>
  <c r="DS163" i="32"/>
  <c r="BF148" i="32"/>
  <c r="BF147" i="32"/>
  <c r="DZ163" i="32"/>
  <c r="BH147" i="32"/>
  <c r="BH148" i="32"/>
  <c r="CY163" i="32"/>
  <c r="AV148" i="32"/>
  <c r="AV147" i="32"/>
  <c r="DT163" i="32"/>
  <c r="BK148" i="32"/>
  <c r="BK147" i="32"/>
  <c r="BB147" i="32"/>
  <c r="BB148" i="32"/>
  <c r="CD163" i="32"/>
  <c r="C142" i="32"/>
  <c r="G155" i="32"/>
  <c r="C145" i="32" s="1"/>
  <c r="K11" i="31"/>
  <c r="AF132" i="31"/>
  <c r="AF134" i="31" s="1"/>
  <c r="AF135" i="31"/>
  <c r="AF137" i="31" s="1"/>
  <c r="K12" i="31"/>
  <c r="J5" i="31"/>
  <c r="K5" i="31"/>
  <c r="D99" i="30"/>
  <c r="AH147" i="31"/>
  <c r="V126" i="31" s="1"/>
  <c r="T134" i="31"/>
  <c r="K112" i="31" s="1"/>
  <c r="K6" i="31"/>
  <c r="J6" i="31"/>
  <c r="C261" i="32"/>
  <c r="B103" i="30"/>
  <c r="B49" i="15"/>
  <c r="Y47" i="31" s="1"/>
  <c r="AC47" i="31" s="1"/>
  <c r="Y53" i="31" s="1"/>
  <c r="Z36" i="31" s="1"/>
  <c r="D142" i="32" l="1"/>
  <c r="D261" i="32"/>
  <c r="D145" i="32"/>
  <c r="AV163" i="32"/>
  <c r="BF163" i="32"/>
  <c r="D250" i="32"/>
  <c r="D283" i="32" s="1"/>
  <c r="D249" i="32"/>
  <c r="BB163" i="32"/>
  <c r="BH163" i="32"/>
  <c r="BS163" i="32"/>
  <c r="BK163" i="32"/>
  <c r="BD163" i="32"/>
  <c r="AC36" i="31"/>
  <c r="AC38" i="31" s="1"/>
  <c r="AD38" i="31" s="1"/>
  <c r="AE38" i="31" s="1"/>
  <c r="AJ39" i="31"/>
  <c r="C199" i="32"/>
  <c r="AF147" i="31"/>
  <c r="T126" i="31" s="1"/>
  <c r="C281" i="32"/>
  <c r="D103" i="30"/>
  <c r="B106" i="30"/>
  <c r="J112" i="31"/>
  <c r="B118" i="30"/>
  <c r="U13" i="7"/>
  <c r="BC14" i="29" s="1"/>
  <c r="U22" i="7"/>
  <c r="BC23" i="29" s="1"/>
  <c r="U23" i="7"/>
  <c r="BC24" i="29" s="1"/>
  <c r="U25" i="7"/>
  <c r="BC26" i="29" s="1"/>
  <c r="U26" i="7"/>
  <c r="BC27" i="29" s="1"/>
  <c r="U27" i="7"/>
  <c r="BC28" i="29" s="1"/>
  <c r="U28" i="7"/>
  <c r="BC29" i="29" s="1"/>
  <c r="U34" i="7"/>
  <c r="U35" i="7"/>
  <c r="S3" i="7"/>
  <c r="BA4" i="29" s="1"/>
  <c r="S4" i="7"/>
  <c r="BA5" i="29" s="1"/>
  <c r="S5" i="7"/>
  <c r="BA6" i="29" s="1"/>
  <c r="S6" i="7"/>
  <c r="BA7" i="29" s="1"/>
  <c r="S24" i="7"/>
  <c r="BA25" i="29" s="1"/>
  <c r="S29" i="7"/>
  <c r="BA30" i="29" s="1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AC39" i="31" l="1"/>
  <c r="AD39" i="31" s="1"/>
  <c r="AE39" i="31" s="1"/>
  <c r="AE41" i="31" s="1"/>
  <c r="J45" i="31" s="1"/>
  <c r="C284" i="32"/>
  <c r="D199" i="32"/>
  <c r="D248" i="32"/>
  <c r="D281" i="32" s="1"/>
  <c r="D284" i="32" s="1"/>
  <c r="Y205" i="32"/>
  <c r="Y207" i="32" s="1"/>
  <c r="Z207" i="32" s="1"/>
  <c r="D118" i="30"/>
  <c r="AD41" i="31" l="1"/>
  <c r="Y208" i="32"/>
  <c r="Z208" i="32" s="1"/>
  <c r="Z210" i="32" s="1"/>
  <c r="D209" i="32" s="1"/>
  <c r="D211" i="32" s="1"/>
  <c r="C209" i="32"/>
  <c r="K33" i="7"/>
  <c r="N33" i="7"/>
  <c r="C211" i="32" l="1"/>
  <c r="N26" i="7"/>
  <c r="N27" i="7"/>
  <c r="N28" i="7"/>
  <c r="N29" i="7"/>
  <c r="N30" i="7"/>
  <c r="N31" i="7"/>
  <c r="N32" i="7"/>
  <c r="N34" i="7"/>
  <c r="N35" i="7"/>
  <c r="N36" i="7"/>
  <c r="N37" i="7"/>
  <c r="K36" i="7"/>
  <c r="K35" i="7"/>
  <c r="K29" i="7"/>
  <c r="K30" i="7"/>
  <c r="K31" i="7"/>
  <c r="K32" i="7"/>
  <c r="N64" i="7" l="1"/>
  <c r="U36" i="7"/>
  <c r="K37" i="7" l="1"/>
  <c r="K34" i="7"/>
  <c r="AC11" i="7"/>
  <c r="K28" i="7"/>
  <c r="K27" i="7"/>
  <c r="K26" i="7"/>
  <c r="L26" i="7" s="1"/>
  <c r="T21" i="7"/>
  <c r="BB22" i="29" s="1"/>
  <c r="BH22" i="29" s="1"/>
  <c r="T15" i="7"/>
  <c r="BB16" i="29" s="1"/>
  <c r="BI16" i="29" s="1"/>
  <c r="T14" i="7"/>
  <c r="BB15" i="29" s="1"/>
  <c r="BI15" i="29" s="1"/>
  <c r="T12" i="7"/>
  <c r="BB13" i="29" s="1"/>
  <c r="T11" i="7"/>
  <c r="BB12" i="29" s="1"/>
  <c r="BI12" i="29" s="1"/>
  <c r="T7" i="7"/>
  <c r="BB8" i="29" s="1"/>
  <c r="BG8" i="29" s="1"/>
  <c r="BG31" i="29" s="1"/>
  <c r="AP3" i="29" s="1"/>
  <c r="BI13" i="29" l="1"/>
  <c r="BH13" i="29"/>
  <c r="V20" i="7"/>
  <c r="T20" i="7"/>
  <c r="BB21" i="29" s="1"/>
  <c r="BH21" i="29" s="1"/>
  <c r="U20" i="7"/>
  <c r="BC21" i="29" s="1"/>
  <c r="V13" i="7"/>
  <c r="T13" i="7"/>
  <c r="BB14" i="29" s="1"/>
  <c r="BH14" i="29" s="1"/>
  <c r="V21" i="7"/>
  <c r="U21" i="7"/>
  <c r="BC22" i="29" s="1"/>
  <c r="V7" i="7"/>
  <c r="U7" i="7"/>
  <c r="BC8" i="29" s="1"/>
  <c r="V15" i="7"/>
  <c r="U15" i="7"/>
  <c r="BC16" i="29" s="1"/>
  <c r="V14" i="7"/>
  <c r="U14" i="7"/>
  <c r="BC15" i="29" s="1"/>
  <c r="V10" i="7"/>
  <c r="U10" i="7"/>
  <c r="BC11" i="29" s="1"/>
  <c r="V8" i="7"/>
  <c r="U8" i="7"/>
  <c r="BC9" i="29" s="1"/>
  <c r="V9" i="7"/>
  <c r="U9" i="7"/>
  <c r="BC10" i="29" s="1"/>
  <c r="K64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9" s="1"/>
  <c r="S7" i="7"/>
  <c r="BA8" i="29" s="1"/>
  <c r="S15" i="7"/>
  <c r="BA16" i="29" s="1"/>
  <c r="R15" i="7"/>
  <c r="S8" i="7"/>
  <c r="BA9" i="29" s="1"/>
  <c r="R8" i="7"/>
  <c r="S20" i="7"/>
  <c r="BA21" i="29" s="1"/>
  <c r="R20" i="7"/>
  <c r="R10" i="7"/>
  <c r="S10" i="7"/>
  <c r="BA11" i="29" s="1"/>
  <c r="R9" i="7"/>
  <c r="S9" i="7"/>
  <c r="BA10" i="29" s="1"/>
  <c r="R13" i="7"/>
  <c r="S13" i="7"/>
  <c r="BA14" i="29" s="1"/>
  <c r="R21" i="7"/>
  <c r="S21" i="7"/>
  <c r="BA22" i="29" s="1"/>
  <c r="U33" i="7"/>
  <c r="T4" i="7"/>
  <c r="BB5" i="29" s="1"/>
  <c r="BH5" i="29" s="1"/>
  <c r="M35" i="7"/>
  <c r="M30" i="7"/>
  <c r="M29" i="7"/>
  <c r="M31" i="7"/>
  <c r="M32" i="7"/>
  <c r="T17" i="7"/>
  <c r="BB18" i="29" s="1"/>
  <c r="BH18" i="29" s="1"/>
  <c r="M27" i="7"/>
  <c r="M34" i="7"/>
  <c r="T18" i="7"/>
  <c r="BB19" i="29" s="1"/>
  <c r="BH19" i="29" s="1"/>
  <c r="M26" i="7"/>
  <c r="M37" i="7"/>
  <c r="L2" i="7"/>
  <c r="T19" i="7"/>
  <c r="BB20" i="29" s="1"/>
  <c r="BI20" i="29" s="1"/>
  <c r="M2" i="7" l="1"/>
  <c r="V29" i="7"/>
  <c r="T29" i="7"/>
  <c r="BB30" i="29" s="1"/>
  <c r="V16" i="7"/>
  <c r="T16" i="7"/>
  <c r="BB17" i="29" s="1"/>
  <c r="BI17" i="29" s="1"/>
  <c r="U16" i="7"/>
  <c r="BC17" i="29" s="1"/>
  <c r="V27" i="7"/>
  <c r="T27" i="7"/>
  <c r="BB28" i="29" s="1"/>
  <c r="V30" i="7"/>
  <c r="T30" i="7"/>
  <c r="V36" i="7"/>
  <c r="T36" i="7"/>
  <c r="V43" i="7"/>
  <c r="T43" i="7"/>
  <c r="V63" i="7"/>
  <c r="T63" i="7"/>
  <c r="V61" i="7"/>
  <c r="T61" i="7"/>
  <c r="V35" i="7"/>
  <c r="T35" i="7"/>
  <c r="V33" i="7"/>
  <c r="T33" i="7"/>
  <c r="V59" i="7"/>
  <c r="T59" i="7"/>
  <c r="V52" i="7"/>
  <c r="T52" i="7"/>
  <c r="V45" i="7"/>
  <c r="T45" i="7"/>
  <c r="V34" i="7"/>
  <c r="T34" i="7"/>
  <c r="V37" i="7"/>
  <c r="T37" i="7"/>
  <c r="V24" i="7"/>
  <c r="T24" i="7"/>
  <c r="BB25" i="29" s="1"/>
  <c r="V54" i="7"/>
  <c r="T54" i="7"/>
  <c r="V53" i="7"/>
  <c r="T53" i="7"/>
  <c r="V50" i="7"/>
  <c r="T50" i="7"/>
  <c r="V58" i="7"/>
  <c r="T58" i="7"/>
  <c r="V47" i="7"/>
  <c r="T47" i="7"/>
  <c r="V62" i="7"/>
  <c r="T62" i="7"/>
  <c r="V51" i="7"/>
  <c r="T51" i="7"/>
  <c r="V39" i="7"/>
  <c r="T39" i="7"/>
  <c r="V49" i="7"/>
  <c r="T49" i="7"/>
  <c r="V57" i="7"/>
  <c r="T57" i="7"/>
  <c r="V5" i="7"/>
  <c r="T5" i="7"/>
  <c r="BB6" i="29" s="1"/>
  <c r="BH6" i="29" s="1"/>
  <c r="V22" i="7"/>
  <c r="T22" i="7"/>
  <c r="BB23" i="29" s="1"/>
  <c r="V32" i="7"/>
  <c r="T32" i="7"/>
  <c r="V23" i="7"/>
  <c r="T23" i="7"/>
  <c r="BB24" i="29" s="1"/>
  <c r="V38" i="7"/>
  <c r="T38" i="7"/>
  <c r="V42" i="7"/>
  <c r="T42" i="7"/>
  <c r="V46" i="7"/>
  <c r="T46" i="7"/>
  <c r="V48" i="7"/>
  <c r="T48" i="7"/>
  <c r="V26" i="7"/>
  <c r="T26" i="7"/>
  <c r="BB27" i="29" s="1"/>
  <c r="V31" i="7"/>
  <c r="T31" i="7"/>
  <c r="V56" i="7"/>
  <c r="T56" i="7"/>
  <c r="V44" i="7"/>
  <c r="T44" i="7"/>
  <c r="V55" i="7"/>
  <c r="T55" i="7"/>
  <c r="V40" i="7"/>
  <c r="T40" i="7"/>
  <c r="V60" i="7"/>
  <c r="T60" i="7"/>
  <c r="V41" i="7"/>
  <c r="T41" i="7"/>
  <c r="V25" i="7"/>
  <c r="T25" i="7"/>
  <c r="BB26" i="29" s="1"/>
  <c r="V6" i="7"/>
  <c r="T6" i="7"/>
  <c r="BB7" i="29" s="1"/>
  <c r="V3" i="7"/>
  <c r="T3" i="7"/>
  <c r="BB4" i="29" s="1"/>
  <c r="BH4" i="29" s="1"/>
  <c r="V4" i="7"/>
  <c r="U4" i="7"/>
  <c r="BC5" i="29" s="1"/>
  <c r="V19" i="7"/>
  <c r="U19" i="7"/>
  <c r="BC20" i="29" s="1"/>
  <c r="V18" i="7"/>
  <c r="U18" i="7"/>
  <c r="BC19" i="29" s="1"/>
  <c r="V17" i="7"/>
  <c r="U17" i="7"/>
  <c r="BC18" i="29" s="1"/>
  <c r="V11" i="7"/>
  <c r="U11" i="7"/>
  <c r="BC12" i="29" s="1"/>
  <c r="V12" i="7"/>
  <c r="U12" i="7"/>
  <c r="BC13" i="29" s="1"/>
  <c r="R26" i="7"/>
  <c r="S26" i="7"/>
  <c r="BA27" i="29" s="1"/>
  <c r="U5" i="7"/>
  <c r="BC6" i="29" s="1"/>
  <c r="R19" i="7"/>
  <c r="S19" i="7"/>
  <c r="BA20" i="29" s="1"/>
  <c r="R22" i="7"/>
  <c r="S22" i="7"/>
  <c r="BA23" i="29" s="1"/>
  <c r="R18" i="7"/>
  <c r="S18" i="7"/>
  <c r="BA19" i="29" s="1"/>
  <c r="U37" i="7"/>
  <c r="R27" i="7"/>
  <c r="S27" i="7"/>
  <c r="BA28" i="29" s="1"/>
  <c r="U30" i="7"/>
  <c r="S23" i="7"/>
  <c r="BA24" i="29" s="1"/>
  <c r="R23" i="7"/>
  <c r="S12" i="7"/>
  <c r="BA13" i="29" s="1"/>
  <c r="R12" i="7"/>
  <c r="U3" i="7"/>
  <c r="BC4" i="29" s="1"/>
  <c r="U32" i="7"/>
  <c r="R35" i="7"/>
  <c r="S35" i="7"/>
  <c r="S16" i="7"/>
  <c r="BA17" i="29" s="1"/>
  <c r="R16" i="7"/>
  <c r="R11" i="7"/>
  <c r="S11" i="7"/>
  <c r="BA12" i="29" s="1"/>
  <c r="R25" i="7"/>
  <c r="S25" i="7"/>
  <c r="BA26" i="29" s="1"/>
  <c r="U31" i="7"/>
  <c r="U24" i="7"/>
  <c r="BC25" i="29" s="1"/>
  <c r="U6" i="7"/>
  <c r="BC7" i="29" s="1"/>
  <c r="R34" i="7"/>
  <c r="S34" i="7"/>
  <c r="R17" i="7"/>
  <c r="S17" i="7"/>
  <c r="BA18" i="29" s="1"/>
  <c r="U29" i="7"/>
  <c r="BC30" i="29" s="1"/>
  <c r="M28" i="7"/>
  <c r="BI7" i="29" l="1"/>
  <c r="BI31" i="29" s="1"/>
  <c r="AP5" i="29" s="1"/>
  <c r="BH7" i="29"/>
  <c r="T2" i="7"/>
  <c r="BB3" i="29" s="1"/>
  <c r="BH3" i="29" s="1"/>
  <c r="U2" i="7"/>
  <c r="BC3" i="29" s="1"/>
  <c r="V28" i="7"/>
  <c r="T28" i="7"/>
  <c r="BB29" i="29" s="1"/>
  <c r="R64" i="7"/>
  <c r="S64" i="7"/>
  <c r="AA18" i="7" s="1"/>
  <c r="U64" i="7"/>
  <c r="V2" i="7"/>
  <c r="V64" i="7" s="1"/>
  <c r="M64" i="7"/>
  <c r="S28" i="7"/>
  <c r="BA29" i="29" s="1"/>
  <c r="R28" i="7"/>
  <c r="BH31" i="29" l="1"/>
  <c r="AP6" i="29" s="1"/>
  <c r="T64" i="7"/>
  <c r="AA17" i="7" s="1"/>
  <c r="AA19" i="7" s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AK26" i="29" s="1"/>
  <c r="C184" i="32" s="1"/>
  <c r="D184" i="32" s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J204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0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E163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202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202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204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204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AJ216" i="32" l="1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D276" i="32"/>
  <c r="D290" i="32" s="1"/>
  <c r="D235" i="32"/>
  <c r="D236" i="32" s="1"/>
  <c r="J115" i="31"/>
  <c r="C258" i="32"/>
  <c r="U12" i="31"/>
  <c r="Y83" i="31" s="1"/>
  <c r="C14" i="31"/>
  <c r="C13" i="31" s="1"/>
  <c r="C35" i="15"/>
  <c r="U125" i="31" s="1"/>
  <c r="C36" i="30"/>
  <c r="F36" i="30" s="1"/>
  <c r="B100" i="30" s="1"/>
  <c r="BR36" i="23"/>
  <c r="E93" i="23" s="1"/>
  <c r="E95" i="23" s="1"/>
  <c r="BR39" i="23"/>
  <c r="H93" i="23" s="1"/>
  <c r="H95" i="23" s="1"/>
  <c r="R192" i="18"/>
  <c r="R198" i="18" s="1"/>
  <c r="R217" i="18" s="1"/>
  <c r="W7" i="22" s="1"/>
  <c r="BI17" i="23" s="1"/>
  <c r="BI37" i="23" s="1"/>
  <c r="R179" i="18"/>
  <c r="I198" i="18"/>
  <c r="I217" i="18" s="1"/>
  <c r="N7" i="22" s="1"/>
  <c r="AZ17" i="23" s="1"/>
  <c r="AZ35" i="23" s="1"/>
  <c r="T177" i="18"/>
  <c r="T164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BJ17" i="23" s="1"/>
  <c r="BJ37" i="23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AY17" i="23" s="1"/>
  <c r="AY35" i="23" s="1"/>
  <c r="S177" i="18"/>
  <c r="O177" i="18"/>
  <c r="O185" i="18" s="1"/>
  <c r="O216" i="18" s="1"/>
  <c r="T6" i="22" s="1"/>
  <c r="BF16" i="23" s="1"/>
  <c r="BF28" i="23" s="1"/>
  <c r="P177" i="18"/>
  <c r="P185" i="18" s="1"/>
  <c r="P216" i="18" s="1"/>
  <c r="U6" i="22" s="1"/>
  <c r="BG16" i="23" s="1"/>
  <c r="BG28" i="23" s="1"/>
  <c r="L177" i="18"/>
  <c r="L185" i="18" s="1"/>
  <c r="L216" i="18" s="1"/>
  <c r="Q6" i="22" s="1"/>
  <c r="BC16" i="23" s="1"/>
  <c r="BC27" i="23" s="1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R177" i="18"/>
  <c r="M177" i="18"/>
  <c r="M185" i="18" s="1"/>
  <c r="M216" i="18" s="1"/>
  <c r="R6" i="22" s="1"/>
  <c r="BD16" i="23" s="1"/>
  <c r="BD27" i="23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R172" i="18" s="1"/>
  <c r="R215" i="18" s="1"/>
  <c r="Q163" i="18"/>
  <c r="J163" i="18"/>
  <c r="H163" i="18"/>
  <c r="H176" i="18"/>
  <c r="H185" i="18" s="1"/>
  <c r="H216" i="18" s="1"/>
  <c r="M6" i="22" s="1"/>
  <c r="AY16" i="23" s="1"/>
  <c r="AY27" i="23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B211" i="18" s="1"/>
  <c r="O136" i="18"/>
  <c r="O149" i="18" s="1"/>
  <c r="O120" i="18"/>
  <c r="X172" i="18"/>
  <c r="X215" i="18" s="1"/>
  <c r="AC5" i="22" s="1"/>
  <c r="BO15" i="23" s="1"/>
  <c r="BO22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Y172" i="18"/>
  <c r="Y215" i="18" s="1"/>
  <c r="AD5" i="22" s="1"/>
  <c r="BP15" i="23" s="1"/>
  <c r="BP22" i="23" s="1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M172" i="18" l="1"/>
  <c r="M215" i="18" s="1"/>
  <c r="O172" i="18"/>
  <c r="O215" i="18" s="1"/>
  <c r="BR35" i="23"/>
  <c r="D93" i="23" s="1"/>
  <c r="D95" i="23" s="1"/>
  <c r="U185" i="18"/>
  <c r="U216" i="18" s="1"/>
  <c r="Z6" i="22" s="1"/>
  <c r="BL16" i="23" s="1"/>
  <c r="BL29" i="23" s="1"/>
  <c r="P172" i="18"/>
  <c r="P215" i="18" s="1"/>
  <c r="L13" i="31"/>
  <c r="AG138" i="31"/>
  <c r="AG140" i="31" s="1"/>
  <c r="J13" i="31"/>
  <c r="AG129" i="31"/>
  <c r="AG131" i="31" s="1"/>
  <c r="L10" i="31"/>
  <c r="J10" i="31"/>
  <c r="D100" i="30"/>
  <c r="B119" i="30"/>
  <c r="B102" i="30"/>
  <c r="D258" i="32"/>
  <c r="D282" i="32" s="1"/>
  <c r="D287" i="32" s="1"/>
  <c r="D292" i="32" s="1"/>
  <c r="D294" i="32" s="1"/>
  <c r="C282" i="32"/>
  <c r="C287" i="32" s="1"/>
  <c r="B119" i="31"/>
  <c r="J119" i="31" s="1"/>
  <c r="C29" i="31"/>
  <c r="J29" i="31" s="1"/>
  <c r="AG141" i="31"/>
  <c r="AG143" i="31" s="1"/>
  <c r="L14" i="31"/>
  <c r="J14" i="31"/>
  <c r="L9" i="31"/>
  <c r="AG126" i="31"/>
  <c r="AG128" i="31" s="1"/>
  <c r="J9" i="31"/>
  <c r="BR37" i="23"/>
  <c r="F93" i="23" s="1"/>
  <c r="F95" i="23" s="1"/>
  <c r="R185" i="18"/>
  <c r="R216" i="18" s="1"/>
  <c r="W6" i="22" s="1"/>
  <c r="BI16" i="23" s="1"/>
  <c r="BI29" i="23" s="1"/>
  <c r="BR28" i="23"/>
  <c r="E83" i="23" s="1"/>
  <c r="E85" i="23" s="1"/>
  <c r="Q172" i="18"/>
  <c r="Q215" i="18" s="1"/>
  <c r="V5" i="22" s="1"/>
  <c r="N172" i="18"/>
  <c r="N215" i="18" s="1"/>
  <c r="S5" i="22" s="1"/>
  <c r="S172" i="18"/>
  <c r="S215" i="18" s="1"/>
  <c r="X5" i="22" s="1"/>
  <c r="BJ15" i="23" s="1"/>
  <c r="BJ21" i="23" s="1"/>
  <c r="P211" i="18"/>
  <c r="P218" i="18" s="1"/>
  <c r="U9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L172" i="18"/>
  <c r="L215" i="18" s="1"/>
  <c r="Q5" i="22" s="1"/>
  <c r="S185" i="18"/>
  <c r="S216" i="18" s="1"/>
  <c r="X6" i="22" s="1"/>
  <c r="BJ16" i="23" s="1"/>
  <c r="BJ29" i="23" s="1"/>
  <c r="G172" i="18"/>
  <c r="G215" i="18" s="1"/>
  <c r="L5" i="22" s="1"/>
  <c r="AX15" i="23" s="1"/>
  <c r="AX23" i="23" s="1"/>
  <c r="I185" i="18"/>
  <c r="I216" i="18" s="1"/>
  <c r="N6" i="22" s="1"/>
  <c r="AZ16" i="23" s="1"/>
  <c r="AZ27" i="23" s="1"/>
  <c r="G185" i="18"/>
  <c r="G216" i="18" s="1"/>
  <c r="L6" i="22" s="1"/>
  <c r="AX16" i="23" s="1"/>
  <c r="AX31" i="23" s="1"/>
  <c r="BR31" i="23" s="1"/>
  <c r="H83" i="23" s="1"/>
  <c r="H85" i="23" s="1"/>
  <c r="M211" i="18"/>
  <c r="M218" i="18" s="1"/>
  <c r="R9" i="22" s="1"/>
  <c r="T185" i="18"/>
  <c r="T216" i="18" s="1"/>
  <c r="Y6" i="22" s="1"/>
  <c r="BK16" i="23" s="1"/>
  <c r="BK29" i="23" s="1"/>
  <c r="V185" i="18"/>
  <c r="V216" i="18" s="1"/>
  <c r="AA6" i="22" s="1"/>
  <c r="J211" i="18"/>
  <c r="J218" i="18" s="1"/>
  <c r="O9" i="22" s="1"/>
  <c r="H172" i="18"/>
  <c r="H215" i="18" s="1"/>
  <c r="M5" i="22" s="1"/>
  <c r="S211" i="18"/>
  <c r="S218" i="18" s="1"/>
  <c r="X9" i="22" s="1"/>
  <c r="N211" i="18"/>
  <c r="N218" i="18" s="1"/>
  <c r="S9" i="22" s="1"/>
  <c r="R211" i="18"/>
  <c r="R218" i="18" s="1"/>
  <c r="W9" i="22" s="1"/>
  <c r="K211" i="18"/>
  <c r="K218" i="18" s="1"/>
  <c r="P9" i="22" s="1"/>
  <c r="L211" i="18"/>
  <c r="L218" i="18" s="1"/>
  <c r="Q9" i="22" s="1"/>
  <c r="Q211" i="18"/>
  <c r="Q218" i="18" s="1"/>
  <c r="V9" i="22" s="1"/>
  <c r="O211" i="18"/>
  <c r="O218" i="18" s="1"/>
  <c r="T9" i="22" s="1"/>
  <c r="I172" i="18"/>
  <c r="I215" i="18" s="1"/>
  <c r="N5" i="22" s="1"/>
  <c r="AZ15" i="23" s="1"/>
  <c r="AZ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I5" i="22"/>
  <c r="R5" i="22"/>
  <c r="U5" i="22"/>
  <c r="AC8" i="22"/>
  <c r="BO5" i="23" s="1"/>
  <c r="J5" i="22"/>
  <c r="H5" i="22"/>
  <c r="K5" i="22"/>
  <c r="T5" i="22"/>
  <c r="Z8" i="22"/>
  <c r="BL5" i="23" s="1"/>
  <c r="BL9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2" i="32" l="1"/>
  <c r="D119" i="30"/>
  <c r="B122" i="30"/>
  <c r="B128" i="30" s="1"/>
  <c r="B130" i="30" s="1"/>
  <c r="BR27" i="23"/>
  <c r="D83" i="23" s="1"/>
  <c r="D85" i="23" s="1"/>
  <c r="H8" i="22"/>
  <c r="AT5" i="23" s="1"/>
  <c r="AT10" i="23" s="1"/>
  <c r="AT15" i="23"/>
  <c r="AT22" i="23" s="1"/>
  <c r="R8" i="22"/>
  <c r="BD5" i="23" s="1"/>
  <c r="BD7" i="23" s="1"/>
  <c r="BD15" i="23"/>
  <c r="BD19" i="23" s="1"/>
  <c r="M8" i="22"/>
  <c r="AY5" i="23" s="1"/>
  <c r="AY7" i="23" s="1"/>
  <c r="AY15" i="23"/>
  <c r="AY19" i="23" s="1"/>
  <c r="J8" i="22"/>
  <c r="AV5" i="23" s="1"/>
  <c r="AV10" i="23" s="1"/>
  <c r="AV15" i="23"/>
  <c r="AV22" i="23" s="1"/>
  <c r="I8" i="22"/>
  <c r="AU5" i="23" s="1"/>
  <c r="AU10" i="23" s="1"/>
  <c r="AU15" i="23"/>
  <c r="AU22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AA8" i="22"/>
  <c r="BM5" i="23" s="1"/>
  <c r="BM9" i="23" s="1"/>
  <c r="BM16" i="23"/>
  <c r="BM29" i="23" s="1"/>
  <c r="BR29" i="23" s="1"/>
  <c r="F83" i="23" s="1"/>
  <c r="F85" i="23" s="1"/>
  <c r="S8" i="22"/>
  <c r="BE5" i="23" s="1"/>
  <c r="BE8" i="23" s="1"/>
  <c r="BE15" i="23"/>
  <c r="BE20" i="23" s="1"/>
  <c r="K8" i="22"/>
  <c r="AW5" i="23" s="1"/>
  <c r="AW11" i="23" s="1"/>
  <c r="AW15" i="23"/>
  <c r="AW23" i="23" s="1"/>
  <c r="BR23" i="23" s="1"/>
  <c r="H73" i="23" s="1"/>
  <c r="H75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X8" i="22"/>
  <c r="BJ5" i="23" s="1"/>
  <c r="BJ9" i="23" s="1"/>
  <c r="P8" i="22"/>
  <c r="BB5" i="23" s="1"/>
  <c r="BB7" i="23" s="1"/>
  <c r="N8" i="22"/>
  <c r="AZ5" i="23" s="1"/>
  <c r="AZ7" i="23" s="1"/>
  <c r="BI8" i="23"/>
  <c r="BP9" i="23"/>
  <c r="BP10" i="23"/>
  <c r="AW9" i="23"/>
  <c r="AU9" i="23"/>
  <c r="AV9" i="23"/>
  <c r="BJ8" i="23"/>
  <c r="BO9" i="23"/>
  <c r="BO10" i="23"/>
  <c r="AT9" i="23"/>
  <c r="L8" i="22"/>
  <c r="AX5" i="23" s="1"/>
  <c r="AA211" i="18"/>
  <c r="O8" i="22"/>
  <c r="BA5" i="23" s="1"/>
  <c r="BA7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T215" i="18"/>
  <c r="Y5" i="22" s="1"/>
  <c r="D165" i="32" l="1"/>
  <c r="C294" i="32"/>
  <c r="AD19" i="31"/>
  <c r="R17" i="31"/>
  <c r="K82" i="31"/>
  <c r="C4" i="22"/>
  <c r="C7" i="22" s="1"/>
  <c r="K25" i="23" s="1"/>
  <c r="C172" i="32" s="1"/>
  <c r="C166" i="32"/>
  <c r="BR20" i="23"/>
  <c r="E73" i="23" s="1"/>
  <c r="E75" i="23" s="1"/>
  <c r="BR19" i="23"/>
  <c r="D73" i="23" s="1"/>
  <c r="D75" i="23" s="1"/>
  <c r="Y8" i="22"/>
  <c r="BK15" i="23"/>
  <c r="BK21" i="23" s="1"/>
  <c r="BR21" i="23" s="1"/>
  <c r="F73" i="23" s="1"/>
  <c r="F75" i="23" s="1"/>
  <c r="BR7" i="23"/>
  <c r="D25" i="23" s="1"/>
  <c r="BR8" i="23"/>
  <c r="E25" i="23" s="1"/>
  <c r="E27" i="23" s="1"/>
  <c r="AX9" i="23"/>
  <c r="AX11" i="23"/>
  <c r="BR11" i="23" s="1"/>
  <c r="H25" i="23" s="1"/>
  <c r="H27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D166" i="32" l="1"/>
  <c r="AG132" i="31"/>
  <c r="AG134" i="31" s="1"/>
  <c r="L11" i="31"/>
  <c r="J11" i="31"/>
  <c r="D27" i="23"/>
  <c r="T110" i="31"/>
  <c r="K116" i="31"/>
  <c r="C214" i="32" s="1"/>
  <c r="L12" i="31"/>
  <c r="AG135" i="31"/>
  <c r="AG137" i="31" s="1"/>
  <c r="J12" i="31"/>
  <c r="S17" i="31"/>
  <c r="T17" i="31"/>
  <c r="T112" i="31"/>
  <c r="M116" i="31"/>
  <c r="D172" i="32"/>
  <c r="C175" i="32"/>
  <c r="AE19" i="31"/>
  <c r="C20" i="31" s="1"/>
  <c r="AF19" i="31"/>
  <c r="D20" i="31" s="1"/>
  <c r="C155" i="32" s="1"/>
  <c r="K27" i="23"/>
  <c r="K73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D155" i="32" l="1"/>
  <c r="D175" i="32"/>
  <c r="C216" i="32"/>
  <c r="D214" i="32"/>
  <c r="L82" i="31"/>
  <c r="C179" i="32"/>
  <c r="C152" i="32"/>
  <c r="J20" i="31"/>
  <c r="AG147" i="31"/>
  <c r="U126" i="31" s="1"/>
  <c r="K75" i="23"/>
  <c r="C30" i="31"/>
  <c r="B118" i="31"/>
  <c r="AF8" i="22"/>
  <c r="AF5" i="22" s="1"/>
  <c r="BR9" i="23"/>
  <c r="F25" i="23" s="1"/>
  <c r="G14" i="22"/>
  <c r="C11" i="22" s="1"/>
  <c r="F13" i="23" s="1"/>
  <c r="K13" i="23" s="1"/>
  <c r="D216" i="32" l="1"/>
  <c r="D179" i="32"/>
  <c r="T111" i="31"/>
  <c r="L116" i="31"/>
  <c r="J82" i="31"/>
  <c r="F27" i="23"/>
  <c r="C170" i="32"/>
  <c r="AD18" i="31"/>
  <c r="R16" i="31"/>
  <c r="C158" i="32"/>
  <c r="D152" i="32"/>
  <c r="C176" i="32"/>
  <c r="J118" i="31"/>
  <c r="C177" i="32"/>
  <c r="C160" i="32"/>
  <c r="J30" i="31"/>
  <c r="D177" i="32" l="1"/>
  <c r="D176" i="32"/>
  <c r="D158" i="32"/>
  <c r="D160" i="32"/>
  <c r="S16" i="31"/>
  <c r="T16" i="31"/>
  <c r="AE18" i="31"/>
  <c r="C19" i="31" s="1"/>
  <c r="AF18" i="31"/>
  <c r="D19" i="31" s="1"/>
  <c r="D170" i="32"/>
  <c r="D178" i="32" s="1"/>
  <c r="C173" i="32"/>
  <c r="C178" i="32"/>
  <c r="C218" i="32"/>
  <c r="J145" i="31"/>
  <c r="C154" i="32" l="1"/>
  <c r="C180" i="32"/>
  <c r="C151" i="32"/>
  <c r="J19" i="31"/>
  <c r="C174" i="32"/>
  <c r="D173" i="32"/>
  <c r="C221" i="32"/>
  <c r="D218" i="32"/>
  <c r="D221" i="32" s="1"/>
  <c r="D174" i="32" l="1"/>
  <c r="D154" i="32"/>
  <c r="C194" i="32"/>
  <c r="J48" i="31"/>
  <c r="B174" i="31" s="1"/>
  <c r="B180" i="31" s="1"/>
  <c r="B181" i="31" s="1"/>
  <c r="C157" i="32"/>
  <c r="D151" i="32"/>
  <c r="C181" i="32"/>
  <c r="D180" i="32"/>
  <c r="D181" i="32" s="1"/>
  <c r="D157" i="32" l="1"/>
  <c r="D194" i="32"/>
  <c r="D237" i="32" s="1"/>
  <c r="D238" i="32" s="1"/>
  <c r="B175" i="31"/>
  <c r="C237" i="32"/>
  <c r="D241" i="32" l="1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188
79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 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<sst xmlns="http://schemas.openxmlformats.org/spreadsheetml/2006/main" count="3012" uniqueCount="1461">
  <si>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</si>
  <si>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</si>
  <si>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</si>
  <si>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</si>
  <si>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</si>
  <si>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</si>
  <si>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</si>
  <si>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</si>
  <si>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</si>
  <si>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</si>
  <si>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</si>
  <si>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</si>
  <si>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</si>
  <si>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</si>
  <si>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</si>
  <si>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</si>
  <si>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</si>
  <si>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</si>
  <si>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</si>
  <si>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</si>
  <si>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</si>
  <si>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</si>
  <si>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</si>
  <si>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</si>
  <si>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</si>
  <si>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</si>
  <si>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</si>
  <si>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</si>
  <si>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</si>
  <si>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</si>
  <si>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</si>
  <si>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</si>
  <si>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</si>
  <si>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</si>
  <si>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</si>
  <si>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</si>
  <si>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</si>
  <si>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</si>
  <si>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</si>
  <si>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</si>
  <si>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</si>
  <si>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</si>
  <si>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</si>
  <si>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</si>
  <si>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</si>
  <si>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</si>
  <si>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</si>
  <si>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</si>
  <si>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</si>
  <si>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</si>
  <si>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</si>
  <si>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</si>
  <si>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</si>
  <si>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</si>
  <si>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</si>
  <si>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</si>
  <si>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</si>
  <si>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</si>
  <si>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</si>
  <si>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</si>
  <si>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</si>
  <si>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</si>
  <si>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</si>
  <si>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</si>
  <si>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</si>
  <si>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</si>
  <si>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</si>
  <si>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</si>
  <si>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</si>
  <si>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</si>
  <si>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</si>
  <si>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</si>
  <si>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</si>
  <si>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</si>
  <si>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</si>
  <si>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</si>
  <si>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</si>
  <si>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</si>
  <si>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</si>
  <si>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</si>
  <si>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</si>
  <si>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</si>
  <si>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</si>
  <si>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</si>
  <si>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</si>
  <si>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</si>
  <si>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</si>
  <si>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</si>
  <si>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</si>
  <si>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</si>
  <si>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</si>
  <si>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</si>
  <si>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</si>
  <si>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</si>
  <si>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</si>
  <si>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</si>
  <si>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</si>
  <si>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</si>
  <si>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</si>
  <si>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</si>
  <si>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</si>
  <si>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</si>
  <si>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</si>
  <si>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</si>
  <si>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</si>
  <si>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</si>
  <si>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</si>
  <si>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</si>
  <si>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</si>
  <si>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</si>
  <si>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</si>
  <si>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</si>
  <si>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</si>
  <si>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</si>
  <si>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</si>
  <si>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</si>
  <si>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</si>
  <si>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</si>
  <si>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</si>
  <si>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</si>
  <si>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</si>
  <si>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</si>
  <si>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</si>
  <si>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</si>
  <si>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</si>
  <si>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</si>
  <si>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</si>
  <si>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</si>
  <si>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</si>
  <si>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</si>
  <si>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</si>
  <si>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</si>
  <si>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</si>
  <si>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</si>
  <si>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</si>
  <si>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</si>
  <si>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</si>
  <si>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</si>
  <si>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</si>
  <si>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</si>
  <si>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</si>
  <si>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</si>
  <si>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</si>
  <si>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</si>
  <si>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</si>
  <si>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</si>
  <si>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</si>
  <si>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</si>
  <si>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</si>
  <si>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</si>
  <si>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</si>
  <si>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</si>
  <si>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</si>
  <si>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</si>
  <si>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</si>
  <si>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</si>
  <si>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</si>
  <si>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</si>
  <si>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</si>
  <si>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</si>
  <si>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</si>
  <si>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</si>
  <si>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</si>
  <si>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</si>
  <si>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</si>
  <si>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</si>
  <si>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</si>
  <si>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</si>
  <si>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</si>
  <si>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</si>
  <si>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</si>
  <si>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</si>
  <si>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</si>
  <si>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</si>
  <si>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</si>
  <si>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</si>
  <si>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</si>
  <si>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</si>
  <si>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</si>
  <si>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</si>
  <si>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</si>
  <si>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</si>
  <si>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</si>
  <si>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</si>
  <si>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</si>
  <si>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</si>
  <si>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</si>
  <si>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</si>
  <si>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</si>
  <si>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</si>
  <si>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</si>
  <si>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</si>
  <si>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</si>
  <si>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</si>
  <si>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</si>
  <si>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</si>
  <si>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</si>
  <si>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</si>
  <si>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</si>
  <si>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</si>
  <si>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</si>
  <si>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</si>
  <si>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</si>
  <si>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</si>
  <si>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</si>
  <si>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</si>
  <si>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</si>
  <si>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</si>
  <si>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</si>
  <si>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</si>
  <si>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</si>
  <si>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</si>
  <si>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</si>
  <si>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</si>
  <si>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</si>
  <si>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</si>
  <si>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</si>
  <si>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</si>
  <si>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</si>
  <si>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</si>
  <si>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</si>
  <si>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</si>
  <si>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</si>
  <si>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</si>
  <si>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</si>
  <si>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</si>
  <si>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</si>
  <si>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</si>
  <si>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</si>
  <si>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</si>
  <si>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</si>
  <si>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</si>
  <si>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</si>
  <si>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</si>
  <si>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</si>
  <si>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</si>
  <si>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</si>
  <si>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</si>
  <si>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</si>
  <si>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</si>
  <si>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</si>
  <si>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</si>
  <si>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</si>
  <si>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</si>
  <si>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</si>
  <si>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</si>
  <si>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</si>
  <si>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</si>
  <si>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</si>
  <si>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</si>
  <si>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</si>
  <si>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</si>
  <si>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</si>
  <si>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</si>
  <si>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</si>
  <si>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</si>
  <si>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</si>
  <si>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</si>
  <si>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</si>
  <si>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</si>
  <si>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</si>
  <si>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</si>
  <si>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</si>
  <si>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</si>
  <si>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</si>
  <si>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</si>
  <si>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</si>
  <si>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</si>
  <si>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</si>
  <si>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</si>
  <si>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</si>
  <si>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</si>
  <si>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</si>
  <si>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</si>
  <si>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</si>
  <si>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</si>
  <si>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</si>
  <si>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</si>
  <si>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</si>
  <si>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</si>
  <si>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</si>
  <si>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</si>
  <si>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</si>
  <si>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</si>
  <si>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</si>
  <si>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</si>
  <si>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</si>
  <si>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</si>
  <si>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</si>
  <si>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</si>
  <si>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</si>
  <si>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</si>
  <si>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</si>
  <si>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</si>
  <si>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</si>
  <si>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</si>
  <si>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</si>
  <si>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</si>
  <si>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</si>
  <si>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</si>
  <si>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</si>
  <si>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</si>
  <si>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</si>
  <si>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</si>
  <si>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</si>
  <si>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</si>
  <si>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</si>
  <si>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</si>
  <si>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</si>
  <si>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</si>
  <si>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</si>
  <si>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</si>
  <si>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</si>
  <si>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</si>
  <si>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</si>
  <si>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</si>
  <si>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</si>
  <si>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</si>
  <si>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</si>
  <si>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</si>
  <si>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</si>
  <si>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</si>
  <si>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</si>
  <si>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</si>
  <si>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</si>
  <si>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</si>
  <si>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</si>
  <si>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</si>
  <si>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</si>
  <si>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</si>
  <si>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</si>
  <si>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</si>
  <si>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</si>
  <si>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</si>
  <si>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</si>
  <si>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</si>
  <si>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</si>
  <si>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</si>
  <si>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</si>
  <si>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</si>
  <si>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</si>
  <si>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</si>
  <si>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</si>
  <si>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</si>
  <si>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</si>
  <si>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</si>
  <si>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</si>
  <si>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</si>
  <si>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</si>
  <si>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</si>
  <si>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</si>
  <si>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</si>
  <si>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</si>
  <si>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</si>
  <si>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</si>
  <si>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</si>
  <si>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</si>
  <si>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</si>
  <si>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</si>
  <si>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</si>
  <si>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</si>
  <si>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</si>
  <si>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</si>
  <si>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</si>
  <si>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</si>
  <si>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</si>
  <si>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</si>
  <si>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</si>
  <si>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</si>
  <si>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</si>
  <si>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</si>
  <si>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</si>
  <si>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</si>
  <si>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</si>
  <si>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</si>
  <si>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</si>
  <si>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</si>
  <si>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</si>
  <si>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</si>
  <si>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</si>
  <si>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</si>
  <si>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</si>
  <si>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</si>
  <si>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</si>
  <si>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</si>
  <si>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</si>
  <si>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</si>
  <si>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</si>
  <si>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</si>
  <si>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</si>
  <si>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</si>
  <si>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</si>
  <si>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</si>
  <si>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</si>
  <si>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</si>
  <si>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</si>
  <si>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</si>
  <si>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</si>
  <si>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</si>
  <si>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</si>
  <si>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</si>
  <si>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</si>
  <si>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</si>
  <si>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</si>
  <si>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</si>
  <si>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</si>
  <si>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</si>
  <si>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</si>
  <si>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</si>
  <si>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</si>
  <si>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</si>
  <si>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</si>
  <si>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</si>
  <si>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</si>
  <si>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</si>
  <si>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</si>
  <si>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</si>
  <si>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</si>
  <si>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</si>
  <si>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</si>
  <si>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</si>
  <si>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</si>
  <si>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</si>
  <si>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</si>
  <si>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</si>
  <si>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</si>
  <si>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</si>
  <si>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</si>
  <si>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</si>
  <si>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</si>
  <si>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</si>
  <si>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</si>
  <si>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</si>
  <si>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</si>
  <si>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</si>
  <si>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</si>
  <si>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</si>
  <si>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</si>
  <si>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</si>
  <si>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</si>
  <si>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</si>
  <si>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</si>
  <si>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</si>
  <si>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</si>
  <si>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</si>
  <si>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</si>
  <si>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</si>
  <si>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</si>
  <si>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</si>
  <si>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</si>
  <si>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</si>
  <si>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</si>
  <si>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</si>
  <si>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</si>
  <si>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</si>
  <si>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</si>
  <si>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</si>
  <si>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</si>
  <si>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</si>
  <si>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</si>
  <si>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</si>
  <si>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</si>
  <si>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</si>
  <si>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</si>
  <si>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</si>
  <si>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</si>
  <si>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</si>
  <si>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</si>
  <si>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</si>
  <si>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</si>
  <si>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</si>
  <si>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</si>
  <si>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</si>
  <si>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</si>
  <si>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</si>
  <si>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</si>
  <si>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</si>
  <si>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</si>
  <si>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</si>
  <si>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</si>
  <si>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</si>
  <si>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</si>
  <si>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</si>
  <si>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</si>
  <si>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</si>
  <si>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</si>
  <si>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</si>
  <si>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</si>
  <si>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</si>
  <si>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</si>
  <si>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</si>
  <si>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</si>
  <si>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</si>
  <si>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</si>
  <si>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</si>
  <si>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</si>
  <si>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</si>
  <si>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</si>
  <si>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</si>
  <si>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</si>
  <si>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</si>
  <si>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</si>
  <si>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</si>
  <si>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</si>
  <si>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</si>
  <si>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</si>
  <si>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</si>
  <si>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</si>
  <si>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</si>
  <si>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</si>
  <si>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</si>
  <si>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</si>
  <si>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</si>
  <si>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</si>
  <si>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</si>
  <si>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</si>
  <si>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</si>
  <si>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</si>
  <si>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</si>
  <si>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</si>
  <si>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</si>
  <si>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</si>
  <si>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</si>
  <si>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</si>
  <si>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</si>
  <si>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</si>
  <si>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</si>
  <si>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</si>
  <si>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</si>
  <si>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</si>
  <si>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</si>
  <si>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</si>
  <si>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</si>
  <si>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</si>
  <si>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</si>
  <si>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</si>
  <si>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</si>
  <si>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</si>
  <si>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</si>
  <si>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</si>
  <si>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</si>
  <si>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</si>
  <si>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</si>
  <si>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</si>
  <si>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</si>
  <si>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</si>
  <si>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</si>
  <si>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</si>
  <si>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</si>
  <si>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</si>
  <si>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</si>
  <si>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</si>
  <si>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</si>
  <si>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</si>
  <si>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</si>
  <si>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</si>
  <si>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</si>
  <si>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</si>
  <si>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</si>
  <si>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</si>
  <si>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</si>
  <si>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</si>
  <si>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</si>
  <si>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</si>
  <si>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</si>
  <si>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</si>
  <si>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</si>
  <si>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</si>
  <si>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</si>
  <si>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</si>
  <si>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</si>
  <si>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</si>
  <si>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</si>
  <si>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</si>
  <si>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</si>
  <si>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</si>
  <si>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</si>
  <si>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</si>
  <si>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</si>
  <si>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</si>
  <si>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</si>
  <si>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</si>
  <si>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</si>
  <si>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</si>
  <si>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</si>
  <si>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</si>
  <si>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</si>
  <si>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</si>
  <si>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</si>
  <si>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</si>
  <si>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</si>
  <si>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</si>
  <si>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</si>
  <si>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</si>
  <si>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</si>
  <si>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</si>
  <si>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</si>
  <si>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</si>
  <si>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</si>
  <si>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</si>
  <si>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</si>
  <si>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</si>
  <si>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</si>
  <si>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</si>
  <si>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</si>
  <si>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</si>
  <si>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</si>
  <si>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</si>
  <si>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</si>
  <si>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</si>
  <si>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</si>
  <si>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</si>
  <si>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</si>
  <si>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</si>
  <si>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</si>
  <si>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</si>
  <si>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</si>
  <si>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</si>
  <si>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</si>
  <si>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</si>
  <si>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</si>
  <si>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</si>
  <si>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</si>
  <si>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</si>
  <si>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</si>
  <si>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</si>
  <si>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</si>
  <si>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</si>
  <si>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</si>
  <si>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</si>
  <si>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</si>
  <si>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</si>
  <si>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</si>
  <si>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</si>
  <si>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</si>
  <si>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</si>
  <si>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</si>
  <si>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</si>
  <si>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</si>
  <si>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</si>
  <si>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</si>
  <si>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</si>
  <si>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</si>
  <si>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</si>
  <si>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</si>
  <si>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</si>
  <si>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</si>
  <si>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</si>
  <si>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</si>
  <si>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</si>
  <si>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</si>
  <si>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</si>
  <si>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</si>
  <si>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</si>
  <si>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</si>
  <si>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</si>
  <si>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</si>
  <si>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</si>
  <si>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</si>
  <si>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</si>
  <si>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</si>
  <si>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</si>
  <si>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</si>
  <si>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</si>
  <si>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</si>
  <si>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</si>
  <si>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</si>
  <si>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</si>
  <si>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</si>
  <si>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</si>
  <si>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</si>
  <si>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</si>
  <si>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</si>
  <si>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</si>
  <si>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</si>
  <si>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</si>
  <si>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</si>
  <si>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</si>
  <si>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</si>
  <si>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</si>
  <si>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</si>
  <si>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</si>
  <si>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</si>
  <si>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</si>
  <si>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</si>
  <si>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</si>
  <si>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</si>
  <si>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</si>
  <si>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</si>
  <si>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</si>
  <si>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</si>
  <si>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</si>
  <si>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</si>
  <si>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</si>
  <si>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</si>
  <si>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</si>
  <si>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</si>
  <si>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</si>
  <si>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</si>
  <si>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</si>
  <si>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</si>
  <si>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</si>
  <si>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</si>
  <si>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</si>
  <si>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</si>
  <si>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</si>
  <si>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</si>
  <si>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</si>
  <si>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</si>
  <si>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</si>
  <si>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</si>
  <si>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</si>
  <si>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</si>
  <si>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</si>
  <si>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</si>
  <si>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</si>
  <si>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</si>
  <si>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</si>
  <si>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</si>
  <si>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</si>
  <si>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</si>
  <si>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</si>
  <si>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</si>
  <si>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</si>
  <si>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</si>
  <si>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</si>
  <si>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</si>
  <si>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</si>
  <si>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</si>
  <si>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</si>
  <si>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</si>
  <si>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</si>
  <si>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</si>
  <si>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</si>
  <si>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</si>
  <si>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</si>
  <si>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</si>
  <si>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</si>
  <si>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</si>
  <si>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</si>
  <si>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</si>
  <si>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</si>
  <si>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</si>
  <si>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</si>
  <si>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</si>
  <si>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</si>
  <si>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</si>
  <si>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</si>
  <si>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</si>
  <si>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</si>
  <si>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</si>
  <si>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</si>
  <si>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</si>
  <si>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</si>
  <si>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</si>
  <si>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</si>
  <si>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</si>
  <si>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</si>
  <si>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</si>
  <si>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</si>
  <si>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</si>
  <si>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</si>
  <si>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</si>
  <si>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</si>
  <si>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</si>
  <si>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</si>
  <si>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</si>
  <si>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</si>
  <si>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</si>
  <si>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</si>
  <si>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</si>
  <si>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</si>
  <si>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</si>
  <si>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</si>
  <si>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</si>
  <si>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</si>
  <si>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</si>
  <si>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</si>
  <si>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</si>
  <si>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</si>
  <si>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</si>
  <si>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</si>
  <si>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</si>
  <si>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</si>
  <si>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</si>
  <si>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</si>
  <si>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</si>
  <si>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</si>
  <si>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</si>
  <si>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</si>
  <si>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</si>
  <si>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</si>
  <si>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</si>
  <si>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</si>
  <si>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</si>
  <si>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</si>
  <si>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</si>
  <si>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</si>
  <si>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</si>
  <si>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</si>
  <si>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</si>
  <si>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</si>
  <si>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</si>
  <si>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</si>
  <si>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</si>
  <si>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</si>
  <si>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</si>
  <si>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</si>
  <si>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</si>
  <si>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</si>
  <si>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</si>
  <si>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</si>
  <si>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</si>
  <si>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</si>
  <si>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</si>
  <si>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</si>
  <si>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</si>
  <si>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</si>
  <si>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</si>
  <si>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</si>
  <si>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</si>
  <si>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</si>
  <si>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</si>
  <si>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</si>
  <si>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</si>
  <si>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</si>
  <si>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</si>
  <si>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</si>
  <si>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</si>
  <si>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</si>
  <si>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</si>
  <si>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</si>
  <si>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</si>
  <si>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</si>
  <si>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</si>
  <si>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</si>
  <si>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</si>
  <si>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</si>
  <si>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</si>
  <si>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</si>
  <si>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</si>
  <si>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</si>
  <si>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</si>
  <si>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</si>
  <si>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</si>
  <si>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</si>
  <si>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</si>
  <si>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</si>
  <si>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</si>
  <si>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</si>
  <si>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</si>
  <si>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</si>
  <si>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</si>
  <si>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</si>
  <si>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</si>
  <si>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</si>
  <si>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</si>
  <si>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</si>
  <si>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</si>
  <si>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</si>
  <si>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</si>
  <si>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</si>
  <si>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</si>
  <si>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</si>
  <si>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</si>
  <si>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</si>
  <si>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</si>
  <si>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</si>
  <si>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</si>
  <si>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</si>
  <si>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</si>
  <si>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</si>
  <si>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</si>
  <si>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</si>
  <si>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</si>
  <si>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</si>
  <si>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</si>
  <si>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</si>
  <si>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</si>
  <si>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</si>
  <si>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</si>
  <si>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</si>
  <si>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</si>
  <si>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</si>
  <si>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</si>
  <si>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</si>
  <si>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</si>
  <si>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</si>
  <si>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</si>
  <si>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</si>
  <si>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</si>
  <si>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</si>
  <si>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</si>
  <si>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</si>
  <si>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</si>
  <si>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</si>
  <si>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</si>
  <si>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</si>
  <si>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</si>
  <si>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</si>
  <si>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</si>
  <si>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</si>
  <si>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</si>
  <si>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</si>
  <si>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</si>
  <si>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</si>
  <si>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</si>
  <si>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</si>
  <si>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</si>
  <si>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</si>
  <si>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</si>
  <si>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</si>
  <si>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</si>
  <si>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</si>
  <si>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</si>
  <si>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</si>
  <si>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</si>
  <si>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</si>
  <si>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</si>
  <si>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</si>
  <si>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</si>
  <si>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</si>
  <si>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</si>
  <si>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</si>
  <si>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</si>
  <si>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</si>
  <si>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</si>
  <si>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</si>
  <si>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</si>
  <si>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</si>
  <si>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</si>
  <si>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</si>
  <si>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</si>
  <si>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</si>
  <si>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</si>
  <si>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</si>
  <si>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</si>
  <si>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</si>
  <si>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</si>
  <si>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</si>
  <si>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</si>
  <si>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</si>
  <si>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</si>
  <si>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</si>
  <si>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</si>
  <si>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</si>
  <si>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</si>
  <si>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</si>
  <si>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</si>
  <si>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</si>
  <si>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</si>
  <si>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</si>
  <si>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</si>
  <si>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</si>
  <si>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</si>
  <si>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</si>
  <si>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</si>
  <si>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</si>
  <si>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</si>
  <si>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</si>
  <si>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</si>
  <si>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</si>
  <si>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</si>
  <si>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</si>
  <si>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</si>
  <si>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</si>
  <si>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</si>
  <si>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</si>
  <si>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</si>
  <si>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</si>
  <si>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</si>
  <si>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</si>
  <si>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</si>
  <si>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</si>
  <si>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</si>
  <si>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</si>
  <si>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</si>
  <si>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</si>
  <si>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</si>
  <si>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</si>
  <si>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</si>
  <si>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</si>
  <si>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</si>
  <si>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</si>
  <si>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</si>
  <si>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</si>
  <si>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</si>
  <si>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</si>
  <si>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</si>
  <si>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</si>
  <si>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</si>
  <si>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</si>
  <si>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</si>
  <si>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</si>
  <si>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</si>
  <si>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</si>
  <si>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</si>
  <si>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</si>
  <si>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</si>
  <si>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</si>
  <si>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</si>
  <si>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</si>
  <si>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</si>
  <si>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</si>
  <si>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</si>
  <si>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</si>
  <si>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</si>
  <si>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</si>
  <si>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</si>
  <si>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</si>
  <si>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</si>
  <si>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</si>
  <si>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</si>
  <si>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</si>
  <si>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</si>
  <si>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</si>
  <si>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</si>
  <si>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</si>
  <si>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</si>
  <si>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</si>
  <si>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</si>
  <si>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</si>
  <si>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</si>
  <si>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</si>
  <si>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</si>
  <si>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</si>
  <si>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</si>
  <si>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</si>
  <si>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</si>
  <si>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</si>
  <si>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</si>
  <si>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</si>
  <si>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</si>
  <si>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</si>
  <si>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</si>
  <si>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</si>
  <si>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</si>
  <si>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</si>
  <si>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</si>
  <si>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</si>
  <si>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</si>
  <si>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</si>
  <si>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</si>
  <si>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</si>
  <si>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</si>
  <si>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</si>
  <si>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</si>
  <si>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</si>
  <si>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</si>
  <si>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</si>
  <si>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</si>
  <si>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</si>
  <si>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</si>
  <si>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</si>
  <si>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</si>
  <si>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</si>
  <si>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</si>
  <si>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</si>
  <si>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</si>
  <si>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</si>
  <si>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</si>
  <si>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</si>
  <si>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</si>
  <si>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</si>
  <si>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</si>
  <si>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</si>
  <si>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</si>
  <si>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</si>
  <si>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</si>
  <si>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</si>
  <si>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</si>
  <si>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</si>
  <si>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</si>
  <si>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</si>
  <si>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</si>
  <si>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</si>
  <si>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</si>
  <si>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</si>
  <si>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</si>
  <si>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</si>
  <si>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</si>
  <si>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</si>
  <si>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</si>
  <si>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</si>
  <si>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</si>
  <si>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</si>
  <si>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</si>
  <si>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</si>
  <si>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</si>
  <si>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</si>
  <si>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</si>
  <si>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</si>
  <si>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</si>
  <si>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</si>
  <si>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</si>
  <si>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</si>
  <si>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</si>
  <si>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</si>
  <si>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</si>
  <si>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</si>
  <si>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</si>
  <si>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</si>
  <si>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</si>
  <si>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</si>
  <si>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</si>
  <si>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</si>
  <si>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</si>
  <si>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</si>
  <si>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</si>
  <si>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</si>
  <si>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</si>
  <si>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</si>
  <si>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</si>
  <si>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</si>
  <si>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</si>
  <si>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</si>
  <si>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</si>
  <si>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</si>
  <si>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</si>
  <si>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</si>
  <si>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</si>
  <si>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</si>
  <si>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</si>
  <si>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</si>
  <si>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</si>
  <si>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</si>
  <si>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</si>
  <si>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</si>
  <si>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</si>
  <si>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</si>
  <si>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</si>
  <si>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</si>
  <si>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</si>
  <si>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</si>
  <si>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</si>
  <si>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</si>
  <si>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</si>
  <si>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</si>
  <si>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</si>
  <si>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</si>
  <si>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</si>
  <si>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</si>
  <si>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</si>
  <si>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</si>
  <si>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</si>
  <si>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</si>
  <si>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</si>
  <si>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</si>
  <si>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</si>
  <si>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</si>
  <si>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</si>
  <si>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</si>
  <si>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</si>
  <si>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</si>
  <si>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</si>
  <si>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</si>
  <si>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</si>
  <si>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</si>
  <si>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</si>
  <si>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</si>
  <si>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</si>
  <si>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</si>
  <si>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</si>
  <si>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</si>
  <si>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</si>
  <si>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</si>
  <si>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</si>
  <si>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</si>
  <si>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</si>
  <si>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</si>
  <si>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</si>
  <si>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</si>
  <si>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</si>
  <si>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</si>
  <si>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</si>
  <si>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</si>
  <si>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</si>
  <si>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</si>
  <si>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</si>
  <si>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</si>
  <si>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</si>
  <si>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</si>
  <si>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</si>
  <si>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</si>
  <si>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</si>
  <si>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</si>
  <si>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</si>
  <si>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</si>
  <si>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</si>
  <si>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</si>
  <si>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</si>
  <si>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</si>
  <si>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</si>
  <si>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</si>
  <si>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</si>
  <si>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</si>
  <si>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</si>
  <si>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</si>
  <si>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</si>
  <si>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</si>
  <si>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</si>
  <si>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</si>
  <si>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</si>
  <si>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</si>
  <si>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</si>
  <si>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</si>
  <si>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</si>
  <si>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</si>
  <si>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</si>
  <si>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</si>
  <si>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</si>
  <si>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</si>
  <si>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</si>
  <si>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</si>
  <si>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</si>
  <si>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</si>
  <si>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</si>
  <si>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</si>
  <si>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</si>
  <si>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</si>
  <si>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</si>
  <si>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</si>
  <si>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</si>
  <si>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</si>
  <si>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</si>
  <si>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</si>
  <si>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</si>
  <si>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</si>
  <si>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</si>
  <si>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</si>
  <si>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</si>
  <si>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</si>
  <si>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</si>
  <si>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</si>
  <si>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</si>
  <si>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</si>
  <si>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</si>
  <si>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</si>
  <si>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</si>
  <si>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</si>
  <si>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</si>
  <si>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</si>
  <si>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</si>
  <si>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</si>
  <si>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</si>
  <si>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</si>
  <si>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</si>
  <si>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</si>
  <si>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</si>
  <si>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</si>
  <si>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</si>
  <si>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</si>
  <si>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</si>
  <si>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</si>
  <si>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</si>
  <si>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</si>
  <si>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</si>
  <si>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</si>
  <si>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</si>
  <si>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</si>
  <si>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</si>
  <si>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</si>
  <si>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</si>
  <si>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</si>
  <si>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</si>
  <si>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</si>
  <si>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</si>
  <si>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</si>
  <si>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</si>
  <si>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</si>
  <si>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</si>
  <si>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</si>
  <si>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</si>
  <si>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</si>
  <si>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</si>
  <si>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</si>
  <si>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</si>
  <si>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</si>
  <si>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</si>
  <si>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</si>
  <si>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</si>
  <si>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</si>
  <si>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</si>
  <si>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</si>
  <si>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</si>
  <si>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</si>
  <si>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</si>
  <si>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</si>
  <si>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</si>
  <si>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</si>
  <si>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</si>
  <si>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</si>
  <si>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</si>
  <si>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</si>
  <si>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</si>
  <si>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</si>
  <si>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</si>
  <si>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</si>
  <si>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</si>
  <si>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</si>
  <si>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</si>
  <si>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</si>
  <si>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</si>
  <si>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</si>
  <si>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</si>
  <si>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</si>
  <si>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</si>
  <si>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</si>
  <si>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</si>
  <si>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</si>
  <si>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</si>
  <si>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</si>
  <si>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</si>
  <si>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</si>
  <si>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</si>
  <si>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</si>
  <si>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</si>
  <si>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</si>
  <si>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</si>
  <si>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</si>
  <si>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</si>
  <si>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</si>
  <si>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</si>
  <si>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</si>
  <si>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</si>
  <si>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</si>
  <si>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</si>
  <si>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</si>
  <si>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</si>
  <si>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</si>
  <si>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</si>
  <si>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</si>
  <si>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</si>
  <si>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</si>
  <si>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</si>
  <si>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</si>
  <si>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</si>
  <si>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</si>
  <si>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</si>
  <si>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</si>
  <si>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</si>
  <si>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</si>
  <si>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</si>
  <si>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</si>
  <si>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</si>
  <si>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</si>
  <si>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</si>
  <si>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</si>
  <si>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</si>
  <si>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</si>
  <si>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</si>
  <si>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</si>
  <si>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</si>
  <si>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</si>
  <si>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</si>
  <si>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</si>
  <si>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</si>
  <si>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</si>
  <si>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</si>
  <si>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</si>
  <si>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</si>
  <si>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</si>
  <si>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</si>
  <si>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</si>
  <si>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</si>
  <si>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</si>
  <si>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</si>
  <si>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</si>
  <si>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</si>
  <si>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</si>
  <si>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</si>
  <si>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</si>
  <si>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</si>
  <si>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</si>
  <si>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</si>
  <si>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</si>
  <si>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</si>
  <si>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</si>
  <si>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</si>
  <si>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</si>
  <si>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</si>
  <si>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</si>
  <si>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</si>
  <si>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</si>
  <si>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</si>
  <si>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</si>
  <si>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</si>
  <si>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</si>
  <si>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</si>
  <si>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</si>
  <si>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</si>
  <si>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</si>
  <si>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</si>
  <si>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</si>
  <si>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</si>
  <si>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</si>
  <si>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</si>
  <si>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</si>
  <si>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</si>
  <si>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</si>
  <si>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</si>
  <si>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</si>
  <si>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</si>
  <si>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</si>
  <si>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</si>
  <si>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</si>
  <si>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</si>
  <si>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</si>
  <si>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</si>
  <si>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</si>
  <si>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</si>
  <si>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</si>
  <si>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</si>
  <si>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</si>
  <si>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</si>
  <si>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</si>
  <si>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</si>
  <si>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</si>
  <si>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</si>
  <si>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</si>
  <si>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</si>
  <si>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</si>
  <si>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</si>
  <si>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</si>
  <si>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</si>
  <si>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</si>
  <si>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</si>
  <si>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</si>
  <si>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</si>
  <si>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</si>
  <si>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</si>
  <si>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</si>
  <si>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</si>
  <si>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</si>
  <si>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</si>
  <si>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</si>
  <si>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</si>
  <si>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</si>
  <si>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</si>
  <si>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</si>
  <si>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</si>
  <si>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</si>
  <si>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</si>
  <si>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</si>
  <si>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</si>
  <si>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</si>
  <si>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</si>
  <si>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</si>
  <si>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</si>
  <si>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</si>
  <si>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</si>
  <si>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</si>
  <si>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</si>
  <si>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</si>
  <si>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</si>
  <si>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</si>
  <si>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</si>
  <si>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</si>
  <si>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</si>
  <si>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</si>
  <si>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>Z2_BV_T2_Ssi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</si>
</sst>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0" fillId="5" borderId="0" xfId="0" applyNumberFormat="1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C171">
            <v>2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C178">
            <v>9</v>
          </cell>
        </row>
        <row r="179"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C182">
            <v>13</v>
          </cell>
        </row>
        <row r="183"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C187">
            <v>18</v>
          </cell>
        </row>
        <row r="188"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C198">
            <v>29</v>
          </cell>
        </row>
        <row r="199"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C201">
            <v>32</v>
          </cell>
        </row>
        <row r="202">
          <cell r="C202">
            <v>33</v>
          </cell>
        </row>
        <row r="203">
          <cell r="C203">
            <v>34</v>
          </cell>
        </row>
        <row r="204">
          <cell r="C204">
            <v>35</v>
          </cell>
        </row>
        <row r="205"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C207">
            <v>38</v>
          </cell>
        </row>
        <row r="208">
          <cell r="C208">
            <v>39</v>
          </cell>
        </row>
        <row r="209">
          <cell r="C209">
            <v>40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540472569446" createdVersion="6" refreshedVersion="6" minRefreshableVersion="3" recordCount="24">
  <cacheSource type="worksheet">
    <worksheetSource ref="A1:J25" sheet="Parcellaire"/>
  </cacheSource>
  <cacheFields count="10">
    <cacheField name="Numéro_x000a_Parcelle" numFmtId="0">
      <sharedItems containsSemiMixedTypes="0" containsString="0" containsNumber="1" containsInteger="1" minValue="1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3">
        <n v="281"/>
        <n v="292"/>
        <n v="47"/>
        <n v="284"/>
        <n v="279"/>
        <m/>
        <n v="277"/>
        <n v="282"/>
        <n v="235" u="1"/>
        <n v="278" u="1"/>
        <n v="233" u="1"/>
        <n v="231" u="1"/>
        <n v="283" u="1"/>
      </sharedItems>
    </cacheField>
    <cacheField name="surface" numFmtId="0">
      <sharedItems containsString="0" containsBlank="1" containsNumber="1" minValue="0.3" maxValue="3.6"/>
    </cacheField>
    <cacheField name="surface2" numFmtId="0">
      <sharedItems containsString="0" containsBlank="1" containsNumber="1" minValue="1" maxValue="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1"/>
    <n v="2"/>
    <x v="0"/>
    <n v="2"/>
    <x v="0"/>
    <n v="0.7"/>
    <m/>
    <n v="2"/>
    <n v="0"/>
  </r>
  <r>
    <n v="2"/>
    <n v="1"/>
    <n v="2"/>
    <x v="0"/>
    <s v="2(1coupe)"/>
    <x v="1"/>
    <n v="3.5"/>
    <m/>
    <n v="3"/>
    <n v="0"/>
  </r>
  <r>
    <n v="3"/>
    <n v="1"/>
    <n v="2"/>
    <x v="0"/>
    <n v="2"/>
    <x v="0"/>
    <n v="0.9"/>
    <m/>
    <n v="3"/>
    <n v="0"/>
  </r>
  <r>
    <n v="4"/>
    <n v="1"/>
    <n v="2"/>
    <x v="0"/>
    <n v="2"/>
    <x v="0"/>
    <n v="0.3"/>
    <m/>
    <n v="2"/>
    <n v="0"/>
  </r>
  <r>
    <n v="5"/>
    <n v="1"/>
    <n v="2"/>
    <x v="0"/>
    <n v="2"/>
    <x v="0"/>
    <n v="1"/>
    <m/>
    <n v="2"/>
    <n v="0"/>
  </r>
  <r>
    <n v="6"/>
    <n v="1"/>
    <n v="2"/>
    <x v="1"/>
    <s v="5.1"/>
    <x v="2"/>
    <n v="2.2000000000000002"/>
    <m/>
    <n v="3"/>
    <n v="1"/>
  </r>
  <r>
    <n v="7"/>
    <n v="1"/>
    <n v="2"/>
    <x v="1"/>
    <n v="2"/>
    <x v="3"/>
    <n v="3"/>
    <n v="3"/>
    <n v="3"/>
    <n v="0.5"/>
  </r>
  <r>
    <n v="8"/>
    <n v="1"/>
    <n v="2"/>
    <x v="1"/>
    <n v="2"/>
    <x v="3"/>
    <n v="2.5"/>
    <n v="2.5"/>
    <n v="2"/>
    <n v="0.5"/>
  </r>
  <r>
    <n v="9"/>
    <n v="1"/>
    <n v="2"/>
    <x v="1"/>
    <s v="2(1coupe)"/>
    <x v="4"/>
    <n v="1"/>
    <n v="1"/>
    <n v="3"/>
    <n v="0.5"/>
  </r>
  <r>
    <n v="10"/>
    <m/>
    <m/>
    <x v="2"/>
    <m/>
    <x v="5"/>
    <m/>
    <m/>
    <m/>
    <m/>
  </r>
  <r>
    <n v="11"/>
    <n v="1"/>
    <n v="0"/>
    <x v="0"/>
    <n v="2"/>
    <x v="4"/>
    <n v="1.3"/>
    <m/>
    <n v="3"/>
    <n v="0"/>
  </r>
  <r>
    <n v="12"/>
    <n v="1"/>
    <n v="0"/>
    <x v="0"/>
    <n v="2"/>
    <x v="6"/>
    <n v="3.6"/>
    <m/>
    <n v="3"/>
    <n v="0"/>
  </r>
  <r>
    <n v="13"/>
    <n v="1"/>
    <n v="2"/>
    <x v="1"/>
    <n v="2"/>
    <x v="4"/>
    <n v="1"/>
    <m/>
    <n v="3"/>
    <n v="0"/>
  </r>
  <r>
    <n v="14"/>
    <m/>
    <m/>
    <x v="2"/>
    <m/>
    <x v="5"/>
    <m/>
    <m/>
    <m/>
    <m/>
  </r>
  <r>
    <n v="15"/>
    <m/>
    <m/>
    <x v="2"/>
    <m/>
    <x v="5"/>
    <m/>
    <m/>
    <m/>
    <m/>
  </r>
  <r>
    <n v="16"/>
    <n v="1"/>
    <n v="2"/>
    <x v="0"/>
    <n v="2"/>
    <x v="1"/>
    <n v="1.5"/>
    <m/>
    <n v="3"/>
    <n v="0"/>
  </r>
  <r>
    <n v="17"/>
    <n v="1"/>
    <n v="2"/>
    <x v="0"/>
    <s v="2(1coupe)"/>
    <x v="7"/>
    <n v="1.7"/>
    <m/>
    <n v="3"/>
    <n v="0.5"/>
  </r>
  <r>
    <n v="18"/>
    <n v="1"/>
    <n v="2"/>
    <x v="1"/>
    <n v="2"/>
    <x v="4"/>
    <n v="1"/>
    <m/>
    <n v="2"/>
    <n v="0"/>
  </r>
  <r>
    <n v="19"/>
    <n v="1"/>
    <n v="2"/>
    <x v="0"/>
    <n v="2"/>
    <x v="0"/>
    <n v="0.4"/>
    <m/>
    <n v="2"/>
    <n v="0"/>
  </r>
  <r>
    <n v="20"/>
    <n v="2"/>
    <n v="2"/>
    <x v="0"/>
    <s v="2 (que fauche)"/>
    <x v="0"/>
    <n v="0.7"/>
    <m/>
    <n v="3"/>
    <n v="0"/>
  </r>
  <r>
    <n v="21"/>
    <m/>
    <m/>
    <x v="2"/>
    <m/>
    <x v="5"/>
    <m/>
    <m/>
    <m/>
    <m/>
  </r>
  <r>
    <n v="22"/>
    <m/>
    <m/>
    <x v="2"/>
    <m/>
    <x v="5"/>
    <m/>
    <m/>
    <m/>
    <m/>
  </r>
  <r>
    <n v="23"/>
    <m/>
    <m/>
    <x v="2"/>
    <m/>
    <x v="5"/>
    <m/>
    <m/>
    <m/>
    <m/>
  </r>
  <r>
    <n v="24"/>
    <m/>
    <m/>
    <x v="2"/>
    <m/>
    <x v="5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4">
        <item x="2"/>
        <item m="1" x="11"/>
        <item m="1" x="10"/>
        <item m="1" x="8"/>
        <item x="6"/>
        <item m="1" x="9"/>
        <item x="4"/>
        <item x="0"/>
        <item x="7"/>
        <item m="1" x="12"/>
        <item x="3"/>
        <item x="5"/>
        <item x="1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9">
    <i>
      <x/>
    </i>
    <i>
      <x v="4"/>
    </i>
    <i>
      <x v="6"/>
    </i>
    <i>
      <x v="7"/>
    </i>
    <i>
      <x v="8"/>
    </i>
    <i>
      <x v="10"/>
    </i>
    <i>
      <x v="11"/>
    </i>
    <i>
      <x v="12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60.935000000000002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115.62970643604652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1.7244651162790696</v>
      </c>
      <c r="M5" s="143">
        <f>CdTrp1!H215+CdTrp2!H215+CdTrp3!H215+CdTrp4!H215</f>
        <v>3.3697674418604651</v>
      </c>
      <c r="N5" s="143">
        <f>CdTrp1!I215+CdTrp2!I215+CdTrp3!I215+CdTrp4!I215</f>
        <v>2.9204651162790696</v>
      </c>
      <c r="O5" s="143">
        <f>CdTrp1!J215+CdTrp2!J215+CdTrp3!J215+CdTrp4!J215</f>
        <v>1.8571162790697675</v>
      </c>
      <c r="P5" s="143">
        <f>CdTrp1!K215+CdTrp2!K215+CdTrp3!K215+CdTrp4!K215</f>
        <v>1.9524593023255812</v>
      </c>
      <c r="Q5" s="143">
        <f>CdTrp1!L215+CdTrp2!L215+CdTrp3!L215+CdTrp4!L215</f>
        <v>0.99087209302325574</v>
      </c>
      <c r="R5" s="143">
        <f>CdTrp1!M215+CdTrp2!M215+CdTrp3!M215+CdTrp4!M215</f>
        <v>0.99087209302325574</v>
      </c>
      <c r="S5" s="143">
        <f>CdTrp1!N215+CdTrp2!N215+CdTrp3!N215+CdTrp4!N215</f>
        <v>1.0239011627906973</v>
      </c>
      <c r="T5" s="143">
        <f>CdTrp1!O215+CdTrp2!O215+CdTrp3!O215+CdTrp4!O215</f>
        <v>1.0239011627906973</v>
      </c>
      <c r="U5" s="143">
        <f>CdTrp1!P215+CdTrp2!P215+CdTrp3!P215+CdTrp4!P215</f>
        <v>1.0239011627906973</v>
      </c>
      <c r="V5" s="143">
        <f>CdTrp1!Q215+CdTrp2!Q215+CdTrp3!Q215+CdTrp4!Q215</f>
        <v>1.0239011627906973</v>
      </c>
      <c r="W5" s="143">
        <f>CdTrp1!R215+CdTrp2!R215+CdTrp3!R215+CdTrp4!R215</f>
        <v>0.95436627906976734</v>
      </c>
      <c r="X5" s="143">
        <f>CdTrp1!S215+CdTrp2!S215+CdTrp3!S215+CdTrp4!S215</f>
        <v>0.95436627906976734</v>
      </c>
      <c r="Y5" s="143">
        <f>CdTrp1!T215+CdTrp2!T215+CdTrp3!T215+CdTrp4!T215</f>
        <v>5.0544238372093027</v>
      </c>
      <c r="Z5" s="143">
        <f>CdTrp1!U215+CdTrp2!U215+CdTrp3!U215+CdTrp4!U215</f>
        <v>1.899191569767442</v>
      </c>
      <c r="AA5" s="143">
        <f>CdTrp1!V215+CdTrp2!V215+CdTrp3!V215+CdTrp4!V215</f>
        <v>1.8379273255813953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118.05580406976745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7.6606046511627923</v>
      </c>
      <c r="M6" s="143">
        <f>CdTrp1!H216+CdTrp2!H216+CdTrp3!H216+CdTrp4!H216</f>
        <v>4.6763546511627903</v>
      </c>
      <c r="N6" s="143">
        <f>CdTrp1!I216+CdTrp2!I216+CdTrp3!I216+CdTrp4!I216</f>
        <v>5.0105232558139541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1.8379273255813953</v>
      </c>
      <c r="X6" s="143">
        <f>CdTrp1!S216+CdTrp2!S216+CdTrp3!S216+CdTrp4!S216</f>
        <v>1.8379273255813953</v>
      </c>
      <c r="Y6" s="143">
        <f>CdTrp1!T216+CdTrp2!T216+CdTrp3!T216+CdTrp4!T216</f>
        <v>1.899191569767442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115.69999999999999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9.3850697674418626</v>
      </c>
      <c r="M8" s="143">
        <f t="shared" si="0"/>
        <v>8.0461220930232553</v>
      </c>
      <c r="N8" s="143">
        <f t="shared" si="0"/>
        <v>7.9309883720930241</v>
      </c>
      <c r="O8" s="143">
        <f t="shared" si="0"/>
        <v>1.8571162790697675</v>
      </c>
      <c r="P8" s="143">
        <f t="shared" si="0"/>
        <v>1.9524593023255812</v>
      </c>
      <c r="Q8" s="143">
        <f t="shared" si="0"/>
        <v>0.99087209302325574</v>
      </c>
      <c r="R8" s="143">
        <f t="shared" si="0"/>
        <v>0.99087209302325574</v>
      </c>
      <c r="S8" s="143">
        <f t="shared" si="0"/>
        <v>1.0239011627906973</v>
      </c>
      <c r="T8" s="143">
        <f t="shared" si="0"/>
        <v>1.0239011627906973</v>
      </c>
      <c r="U8" s="143">
        <f t="shared" si="0"/>
        <v>1.0239011627906973</v>
      </c>
      <c r="V8" s="143">
        <f t="shared" si="0"/>
        <v>1.0239011627906973</v>
      </c>
      <c r="W8" s="143">
        <f t="shared" si="0"/>
        <v>2.7922936046511628</v>
      </c>
      <c r="X8" s="143">
        <f t="shared" si="0"/>
        <v>2.7922936046511628</v>
      </c>
      <c r="Y8" s="143">
        <f t="shared" si="0"/>
        <v>6.9536154069767449</v>
      </c>
      <c r="Z8" s="143">
        <f t="shared" si="0"/>
        <v>1.899191569767442</v>
      </c>
      <c r="AA8" s="143">
        <f t="shared" si="0"/>
        <v>1.8379273255813953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51.524426162790718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6.0408095930232557</v>
      </c>
      <c r="P9" s="143">
        <f>CdTrp1!K218+CdTrp2!K218+CdTrp3!K218+CdTrp4!K218</f>
        <v>6.7314247093023249</v>
      </c>
      <c r="Q9" s="143">
        <f>CdTrp1!L218+CdTrp2!L218+CdTrp3!L218+CdTrp4!L218</f>
        <v>6.8484505813953485</v>
      </c>
      <c r="R9" s="143">
        <f>CdTrp1!M218+CdTrp2!M218+CdTrp3!M218+CdTrp4!M218</f>
        <v>7.1826191860465114</v>
      </c>
      <c r="S9" s="143">
        <f>CdTrp1!N218+CdTrp2!N218+CdTrp3!N218+CdTrp4!N218</f>
        <v>7.4220398255813951</v>
      </c>
      <c r="T9" s="143">
        <f>CdTrp1!O218+CdTrp2!O218+CdTrp3!O218+CdTrp4!O218</f>
        <v>7.4220398255813951</v>
      </c>
      <c r="U9" s="143">
        <f>CdTrp1!P218+CdTrp2!P218+CdTrp3!P218+CdTrp4!P218</f>
        <v>6.8406546511627901</v>
      </c>
      <c r="V9" s="143">
        <f>CdTrp1!Q218+CdTrp2!Q218+CdTrp3!Q218+CdTrp4!Q218</f>
        <v>6.6856186046511619</v>
      </c>
      <c r="W9" s="143">
        <f>CdTrp1!R218+CdTrp2!R218+CdTrp3!R218+CdTrp4!R218</f>
        <v>5.6788604651162791</v>
      </c>
      <c r="X9" s="143">
        <f>CdTrp1!S218+CdTrp2!S218+CdTrp3!S218+CdTrp4!S218</f>
        <v>5.6788604651162791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66.531377906976729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11.3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5.5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11.3</v>
      </c>
      <c r="H14" s="145">
        <f>CdTrp1!AL54+CdTrp2!AL54+CdTrp3!AL54+CdTrp4!AL54</f>
        <v>5.5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4.9000000000000004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4.9000000000000004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75" zoomScaleNormal="75" workbookViewId="0">
      <selection activeCell="Q9" sqref="Q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85" t="s">
        <v>250</v>
      </c>
      <c r="AT2" s="285"/>
      <c r="AU2" s="284" t="s">
        <v>251</v>
      </c>
      <c r="AV2" s="284"/>
      <c r="AW2" s="284" t="s">
        <v>252</v>
      </c>
      <c r="AX2" s="284"/>
      <c r="AY2" s="284" t="s">
        <v>253</v>
      </c>
      <c r="AZ2" s="284"/>
      <c r="BA2" s="284" t="s">
        <v>254</v>
      </c>
      <c r="BB2" s="284"/>
      <c r="BC2" s="284" t="s">
        <v>255</v>
      </c>
      <c r="BD2" s="284"/>
      <c r="BE2" s="284" t="s">
        <v>256</v>
      </c>
      <c r="BF2" s="284"/>
      <c r="BG2" s="284" t="s">
        <v>257</v>
      </c>
      <c r="BH2" s="284"/>
      <c r="BI2" s="284" t="s">
        <v>258</v>
      </c>
      <c r="BJ2" s="284"/>
      <c r="BK2" s="284" t="s">
        <v>259</v>
      </c>
      <c r="BL2" s="284"/>
      <c r="BM2" s="284" t="s">
        <v>260</v>
      </c>
      <c r="BN2" s="284"/>
      <c r="BO2" s="284" t="s">
        <v>261</v>
      </c>
      <c r="BP2" s="284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9.3850697674418626</v>
      </c>
      <c r="AY5" s="13">
        <f>'Conduite Trp'!M8</f>
        <v>8.0461220930232553</v>
      </c>
      <c r="AZ5" s="13">
        <f>'Conduite Trp'!N8</f>
        <v>7.9309883720930241</v>
      </c>
      <c r="BA5" s="13">
        <f>'Conduite Trp'!O8</f>
        <v>1.8571162790697675</v>
      </c>
      <c r="BB5" s="13">
        <f>'Conduite Trp'!P8</f>
        <v>1.9524593023255812</v>
      </c>
      <c r="BC5" s="13">
        <f>'Conduite Trp'!Q8</f>
        <v>0.99087209302325574</v>
      </c>
      <c r="BD5" s="13">
        <f>'Conduite Trp'!R8</f>
        <v>0.99087209302325574</v>
      </c>
      <c r="BE5" s="13">
        <f>'Conduite Trp'!S8</f>
        <v>1.0239011627906973</v>
      </c>
      <c r="BF5" s="13">
        <f>'Conduite Trp'!T8</f>
        <v>1.0239011627906973</v>
      </c>
      <c r="BG5" s="13">
        <f>'Conduite Trp'!U8</f>
        <v>1.0239011627906973</v>
      </c>
      <c r="BH5" s="13">
        <f>'Conduite Trp'!V8</f>
        <v>1.0239011627906973</v>
      </c>
      <c r="BI5" s="13">
        <f>'Conduite Trp'!W8</f>
        <v>2.7922936046511628</v>
      </c>
      <c r="BJ5" s="13">
        <f>'Conduite Trp'!X8</f>
        <v>2.7922936046511628</v>
      </c>
      <c r="BK5" s="13">
        <f>'Conduite Trp'!Y8</f>
        <v>6.9536154069767449</v>
      </c>
      <c r="BL5" s="13">
        <f>'Conduite Trp'!Z8</f>
        <v>1.899191569767442</v>
      </c>
      <c r="BM5" s="13">
        <f>'Conduite Trp'!AA8</f>
        <v>1.8379273255813953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0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f>24.1-O30</f>
        <v>15.600000000000001</v>
      </c>
      <c r="P7">
        <v>1</v>
      </c>
      <c r="Q7" s="39">
        <v>281</v>
      </c>
      <c r="R7" s="39">
        <v>4</v>
      </c>
      <c r="S7" s="281" t="str">
        <f>VLOOKUP($Q7,[1]MEP!$A$5:$D$300,3)</f>
        <v>PP bonne 2 coupes moyennement PRECOCES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0.5</v>
      </c>
      <c r="X7" s="76">
        <f>VLOOKUP($Q7,[1]MEP!$A$4:$K$300,7)</f>
        <v>0.8</v>
      </c>
      <c r="Y7" s="76">
        <f>VLOOKUP($Q7,[1]MEP!$A$4:$K$300,8)</f>
        <v>0.3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6</v>
      </c>
      <c r="AF7" s="61">
        <f t="shared" ref="AF7:AF26" si="1">$R7*W7</f>
        <v>2</v>
      </c>
      <c r="AG7" s="61">
        <f t="shared" ref="AG7:AG26" si="2">$R7*X7</f>
        <v>3.2</v>
      </c>
      <c r="AH7" s="61">
        <f t="shared" ref="AH7:AH26" si="3">$R7*Y7</f>
        <v>1.2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15.2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8.0461220930232553</v>
      </c>
      <c r="AZ7" s="61">
        <f t="shared" si="7"/>
        <v>7.9309883720930241</v>
      </c>
      <c r="BA7" s="61">
        <f t="shared" si="7"/>
        <v>1.8571162790697675</v>
      </c>
      <c r="BB7" s="61">
        <f t="shared" si="7"/>
        <v>1.9524593023255812</v>
      </c>
      <c r="BC7" s="61">
        <f t="shared" si="7"/>
        <v>0.99087209302325574</v>
      </c>
      <c r="BD7" s="61">
        <f t="shared" si="7"/>
        <v>0.99087209302325574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21.768430232558142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60.935000000000002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15.6</v>
      </c>
      <c r="P8">
        <v>2</v>
      </c>
      <c r="Q8" s="39">
        <v>282</v>
      </c>
      <c r="R8" s="39">
        <v>1.7</v>
      </c>
      <c r="S8" s="281" t="str">
        <f>VLOOKUP($Q8,[1]MEP!$A$5:$D$300,3)</f>
        <v>PP moyenne Prélevt étalé sans pat hivernal</v>
      </c>
      <c r="T8" s="76" t="str">
        <f>VLOOKUP($Q8,[1]MEP!$A$5:$D$300,4)</f>
        <v>zone 2</v>
      </c>
      <c r="U8" s="76" t="str">
        <f>VLOOKUP($Q8,[1]MEP!$A$4:$K$300,2)</f>
        <v>P</v>
      </c>
      <c r="V8" s="76">
        <f>VLOOKUP($Q8,[1]MEP!$A$4:$K$300,5)</f>
        <v>1.5</v>
      </c>
      <c r="W8" s="76">
        <f>VLOOKUP($Q8,[1]MEP!$A$4:$K$300,6)</f>
        <v>1.25</v>
      </c>
      <c r="X8" s="76">
        <f>VLOOKUP($Q8,[1]MEP!$A$4:$K$300,7)</f>
        <v>1.5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2.5499999999999998</v>
      </c>
      <c r="AF8" s="61">
        <f t="shared" si="1"/>
        <v>2.125</v>
      </c>
      <c r="AG8" s="61">
        <f t="shared" si="2"/>
        <v>2.5499999999999998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1.0239011627906973</v>
      </c>
      <c r="BF8" s="61">
        <f t="shared" si="8"/>
        <v>1.0239011627906973</v>
      </c>
      <c r="BG8" s="61">
        <f t="shared" si="8"/>
        <v>1.0239011627906973</v>
      </c>
      <c r="BH8" s="61">
        <f t="shared" si="8"/>
        <v>1.0239011627906973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4.0956046511627893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60.935000000000002</v>
      </c>
      <c r="G9" s="81"/>
      <c r="H9" s="61">
        <f>SUM(L34:L43)</f>
        <v>6.6000000000000005</v>
      </c>
      <c r="I9" s="81"/>
      <c r="J9" s="81"/>
      <c r="K9" s="93">
        <f>H9-F9</f>
        <v>-54.335000000000001</v>
      </c>
      <c r="L9" s="81"/>
      <c r="M9" s="100"/>
      <c r="P9">
        <v>3</v>
      </c>
      <c r="Q9" s="39">
        <v>292</v>
      </c>
      <c r="R9" s="39">
        <v>5</v>
      </c>
      <c r="S9" s="281" t="str">
        <f>VLOOKUP($Q9,[1]MEP!$A$5:$D$300,3)</f>
        <v>PP bonne 2 coupes précoces sans déprimage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4</v>
      </c>
      <c r="AH9" s="61">
        <f t="shared" si="3"/>
        <v>0</v>
      </c>
      <c r="AI9" s="61">
        <f t="shared" si="4"/>
        <v>5</v>
      </c>
      <c r="AJ9" s="61">
        <f t="shared" si="5"/>
        <v>0</v>
      </c>
      <c r="AK9" s="141"/>
      <c r="AL9" s="61">
        <f t="shared" si="6"/>
        <v>25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2.7922936046511628</v>
      </c>
      <c r="BJ9" s="61">
        <f t="shared" si="10"/>
        <v>2.7922936046511628</v>
      </c>
      <c r="BK9" s="61">
        <f t="shared" si="10"/>
        <v>6.9536154069767449</v>
      </c>
      <c r="BL9" s="61">
        <f t="shared" si="10"/>
        <v>1.899191569767442</v>
      </c>
      <c r="BM9" s="61">
        <f t="shared" si="10"/>
        <v>1.8379273255813953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16.275321511627908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277</v>
      </c>
      <c r="R10" s="39">
        <v>3.6</v>
      </c>
      <c r="S10" s="281" t="str">
        <f>VLOOKUP($Q10,[1]MEP!$A$5:$D$300,3)</f>
        <v>PP EXCELLENTE 3 COUPES ENRUB</v>
      </c>
      <c r="T10" s="76" t="str">
        <f>VLOOKUP($Q10,[1]MEP!$A$5:$D$300,4)</f>
        <v>Zone 2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9.8000000000000007</v>
      </c>
      <c r="AE10" s="61">
        <f t="shared" ref="AE10:AJ12" si="11">$R10*V10</f>
        <v>0</v>
      </c>
      <c r="AF10" s="61">
        <f t="shared" si="11"/>
        <v>0</v>
      </c>
      <c r="AG10" s="61">
        <f t="shared" si="11"/>
        <v>0</v>
      </c>
      <c r="AH10" s="61">
        <f t="shared" si="11"/>
        <v>0</v>
      </c>
      <c r="AI10" s="61">
        <f t="shared" si="11"/>
        <v>0</v>
      </c>
      <c r="AJ10" s="61">
        <f t="shared" si="11"/>
        <v>0</v>
      </c>
      <c r="AK10" s="141"/>
      <c r="AL10" s="61">
        <f>R10*AC10</f>
        <v>35.28</v>
      </c>
      <c r="AQ10" s="32"/>
      <c r="AR10" s="70">
        <v>4</v>
      </c>
      <c r="AS10" s="61">
        <f>IF(AS$4=4,AS$5,0)</f>
        <v>0</v>
      </c>
      <c r="AT10" s="61">
        <f t="shared" ref="AT10:BP10" si="12">IF(AT$4=4,AT$5,0)</f>
        <v>0</v>
      </c>
      <c r="AU10" s="61">
        <f t="shared" si="12"/>
        <v>0</v>
      </c>
      <c r="AV10" s="61">
        <f t="shared" si="12"/>
        <v>0</v>
      </c>
      <c r="AW10" s="61">
        <f t="shared" si="12"/>
        <v>0</v>
      </c>
      <c r="AX10" s="61">
        <f t="shared" si="12"/>
        <v>0</v>
      </c>
      <c r="AY10" s="61">
        <f t="shared" si="12"/>
        <v>0</v>
      </c>
      <c r="AZ10" s="61">
        <f t="shared" si="12"/>
        <v>0</v>
      </c>
      <c r="BA10" s="61">
        <f t="shared" si="12"/>
        <v>0</v>
      </c>
      <c r="BB10" s="61">
        <f t="shared" si="12"/>
        <v>0</v>
      </c>
      <c r="BC10" s="61">
        <f t="shared" si="12"/>
        <v>0</v>
      </c>
      <c r="BD10" s="61">
        <f t="shared" si="12"/>
        <v>0</v>
      </c>
      <c r="BE10" s="61">
        <f t="shared" si="12"/>
        <v>0</v>
      </c>
      <c r="BF10" s="61">
        <f t="shared" si="12"/>
        <v>0</v>
      </c>
      <c r="BG10" s="61">
        <f t="shared" si="12"/>
        <v>0</v>
      </c>
      <c r="BH10" s="61">
        <f t="shared" si="12"/>
        <v>0</v>
      </c>
      <c r="BI10" s="61">
        <f t="shared" si="12"/>
        <v>0</v>
      </c>
      <c r="BJ10" s="61">
        <f t="shared" si="12"/>
        <v>0</v>
      </c>
      <c r="BK10" s="61">
        <f t="shared" si="12"/>
        <v>0</v>
      </c>
      <c r="BL10" s="61">
        <f t="shared" si="12"/>
        <v>0</v>
      </c>
      <c r="BM10" s="61">
        <f t="shared" si="12"/>
        <v>0</v>
      </c>
      <c r="BN10" s="61">
        <f t="shared" si="12"/>
        <v>0</v>
      </c>
      <c r="BO10" s="61">
        <f t="shared" si="12"/>
        <v>0</v>
      </c>
      <c r="BP10" s="61">
        <f t="shared" si="12"/>
        <v>0</v>
      </c>
      <c r="BR10" s="61">
        <f t="shared" si="9"/>
        <v>0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279</v>
      </c>
      <c r="R11" s="39">
        <v>1.3</v>
      </c>
      <c r="S11" s="281" t="str">
        <f>VLOOKUP($Q11,[1]MEP!$A$5:$D$300,3)</f>
        <v>PP BONNE 1 CP ESTIVALE</v>
      </c>
      <c r="T11" s="76" t="str">
        <f>VLOOKUP($Q11,[1]MEP!$A$5:$D$300,4)</f>
        <v>zone 2</v>
      </c>
      <c r="U11" s="76" t="str">
        <f>VLOOKUP($Q11,[1]MEP!$A$4:$K$300,2)</f>
        <v>F/P</v>
      </c>
      <c r="V11" s="76">
        <f>VLOOKUP($Q11,[1]MEP!$A$4:$K$300,5)</f>
        <v>2.5</v>
      </c>
      <c r="W11" s="76">
        <f>VLOOKUP($Q11,[1]MEP!$A$4:$K$300,6)</f>
        <v>0</v>
      </c>
      <c r="X11" s="76">
        <f>VLOOKUP($Q11,[1]MEP!$A$4:$K$300,7)</f>
        <v>1.25</v>
      </c>
      <c r="Y11" s="76">
        <f>VLOOKUP($Q11,[1]MEP!$A$4:$K$300,8)</f>
        <v>0.1</v>
      </c>
      <c r="Z11" s="76">
        <f>VLOOKUP($Q11,[1]MEP!$A$4:$K$300,9)</f>
        <v>0.25</v>
      </c>
      <c r="AA11" s="76">
        <f>VLOOKUP($Q11,[1]MEP!$A$4:$K$300,10)</f>
        <v>0</v>
      </c>
      <c r="AC11" s="76">
        <f>VLOOKUP($Q11,[1]MEP!$A$4:$K$300,11)</f>
        <v>3.5</v>
      </c>
      <c r="AE11" s="61">
        <f t="shared" si="11"/>
        <v>3.25</v>
      </c>
      <c r="AF11" s="61">
        <f t="shared" si="11"/>
        <v>0</v>
      </c>
      <c r="AG11" s="61">
        <f t="shared" si="11"/>
        <v>1.625</v>
      </c>
      <c r="AH11" s="61">
        <f t="shared" si="11"/>
        <v>0.13</v>
      </c>
      <c r="AI11" s="61">
        <f t="shared" si="11"/>
        <v>0.32500000000000001</v>
      </c>
      <c r="AJ11" s="61">
        <f t="shared" si="11"/>
        <v>0</v>
      </c>
      <c r="AK11" s="141"/>
      <c r="AL11" s="61">
        <f>R11*AC11</f>
        <v>4.55</v>
      </c>
      <c r="AR11" s="69">
        <v>5</v>
      </c>
      <c r="AS11" s="61">
        <f>IF(AS$4=5,AS$5,0)</f>
        <v>0</v>
      </c>
      <c r="AT11" s="61">
        <f t="shared" ref="AT11:BP11" si="13">IF(AT$4=5,AT$5,0)</f>
        <v>0</v>
      </c>
      <c r="AU11" s="61">
        <f t="shared" si="13"/>
        <v>0</v>
      </c>
      <c r="AV11" s="61">
        <f t="shared" si="13"/>
        <v>0</v>
      </c>
      <c r="AW11" s="61">
        <f t="shared" si="13"/>
        <v>0</v>
      </c>
      <c r="AX11" s="61">
        <f t="shared" si="13"/>
        <v>9.3850697674418626</v>
      </c>
      <c r="AY11" s="61">
        <f t="shared" si="13"/>
        <v>0</v>
      </c>
      <c r="AZ11" s="61">
        <f t="shared" si="13"/>
        <v>0</v>
      </c>
      <c r="BA11" s="61">
        <f t="shared" si="13"/>
        <v>0</v>
      </c>
      <c r="BB11" s="61">
        <f t="shared" si="13"/>
        <v>0</v>
      </c>
      <c r="BC11" s="61">
        <f t="shared" si="13"/>
        <v>0</v>
      </c>
      <c r="BD11" s="61">
        <f t="shared" si="13"/>
        <v>0</v>
      </c>
      <c r="BE11" s="61">
        <f t="shared" si="13"/>
        <v>0</v>
      </c>
      <c r="BF11" s="61">
        <f t="shared" si="13"/>
        <v>0</v>
      </c>
      <c r="BG11" s="61">
        <f t="shared" si="13"/>
        <v>0</v>
      </c>
      <c r="BH11" s="61">
        <f t="shared" si="13"/>
        <v>0</v>
      </c>
      <c r="BI11" s="61">
        <f t="shared" si="13"/>
        <v>0</v>
      </c>
      <c r="BJ11" s="61">
        <f t="shared" si="13"/>
        <v>0</v>
      </c>
      <c r="BK11" s="61">
        <f t="shared" si="13"/>
        <v>0</v>
      </c>
      <c r="BL11" s="61">
        <f t="shared" si="13"/>
        <v>0</v>
      </c>
      <c r="BM11" s="61">
        <f t="shared" si="13"/>
        <v>0</v>
      </c>
      <c r="BN11" s="61">
        <f t="shared" si="13"/>
        <v>0</v>
      </c>
      <c r="BO11" s="61">
        <f t="shared" si="13"/>
        <v>0</v>
      </c>
      <c r="BP11" s="61">
        <f t="shared" si="13"/>
        <v>0</v>
      </c>
      <c r="BR11" s="61">
        <f t="shared" si="9"/>
        <v>9.3850697674418626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8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1"/>
        <v>0</v>
      </c>
      <c r="AF12" s="61">
        <f t="shared" si="11"/>
        <v>0</v>
      </c>
      <c r="AG12" s="61">
        <f t="shared" si="11"/>
        <v>0</v>
      </c>
      <c r="AH12" s="61">
        <f t="shared" si="11"/>
        <v>0</v>
      </c>
      <c r="AI12" s="61">
        <f t="shared" si="11"/>
        <v>0</v>
      </c>
      <c r="AJ12" s="61">
        <f t="shared" si="11"/>
        <v>0</v>
      </c>
      <c r="AK12" s="141"/>
      <c r="AL12" s="61">
        <f>R12*AC12</f>
        <v>0</v>
      </c>
      <c r="AR12" s="69">
        <v>6</v>
      </c>
      <c r="AS12" s="61">
        <f>IF(AS$4=6,AS$5,0)</f>
        <v>0</v>
      </c>
      <c r="AT12" s="61">
        <f t="shared" ref="AT12:BP12" si="14">IF(AT$4=6,AT$5,0)</f>
        <v>0</v>
      </c>
      <c r="AU12" s="61">
        <f t="shared" si="14"/>
        <v>0</v>
      </c>
      <c r="AV12" s="61">
        <f t="shared" si="14"/>
        <v>0</v>
      </c>
      <c r="AW12" s="61">
        <f t="shared" si="14"/>
        <v>0</v>
      </c>
      <c r="AX12" s="61">
        <f t="shared" si="14"/>
        <v>0</v>
      </c>
      <c r="AY12" s="61">
        <f t="shared" si="14"/>
        <v>0</v>
      </c>
      <c r="AZ12" s="61">
        <f t="shared" si="14"/>
        <v>0</v>
      </c>
      <c r="BA12" s="61">
        <f t="shared" si="14"/>
        <v>0</v>
      </c>
      <c r="BB12" s="61">
        <f t="shared" si="14"/>
        <v>0</v>
      </c>
      <c r="BC12" s="61">
        <f t="shared" si="14"/>
        <v>0</v>
      </c>
      <c r="BD12" s="61">
        <f t="shared" si="14"/>
        <v>0</v>
      </c>
      <c r="BE12" s="61">
        <f t="shared" si="14"/>
        <v>0</v>
      </c>
      <c r="BF12" s="61">
        <f t="shared" si="14"/>
        <v>0</v>
      </c>
      <c r="BG12" s="61">
        <f t="shared" si="14"/>
        <v>0</v>
      </c>
      <c r="BH12" s="61">
        <f t="shared" si="14"/>
        <v>0</v>
      </c>
      <c r="BI12" s="61">
        <f t="shared" si="14"/>
        <v>0</v>
      </c>
      <c r="BJ12" s="61">
        <f t="shared" si="14"/>
        <v>0</v>
      </c>
      <c r="BK12" s="61">
        <f t="shared" si="14"/>
        <v>0</v>
      </c>
      <c r="BL12" s="61">
        <f t="shared" si="14"/>
        <v>0</v>
      </c>
      <c r="BM12" s="61">
        <f t="shared" si="14"/>
        <v>0</v>
      </c>
      <c r="BN12" s="61">
        <f t="shared" si="14"/>
        <v>0</v>
      </c>
      <c r="BO12" s="61">
        <f t="shared" si="14"/>
        <v>0</v>
      </c>
      <c r="BP12" s="61">
        <f t="shared" si="14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11.3</v>
      </c>
      <c r="G13" s="81"/>
      <c r="H13" s="61">
        <f>F61</f>
        <v>0</v>
      </c>
      <c r="I13" s="81"/>
      <c r="J13" s="81"/>
      <c r="K13" s="93">
        <f>H13-F13</f>
        <v>-11.3</v>
      </c>
      <c r="L13" s="81"/>
      <c r="M13" s="100"/>
      <c r="P13">
        <v>7</v>
      </c>
      <c r="Q13" s="39"/>
      <c r="R13" s="39"/>
      <c r="S13" s="28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5.5</v>
      </c>
      <c r="G14" s="81"/>
      <c r="H14" s="61">
        <f>G61</f>
        <v>0</v>
      </c>
      <c r="I14" s="81"/>
      <c r="J14" s="81"/>
      <c r="K14" s="93">
        <f t="shared" ref="K14:K17" si="15">H14-F14</f>
        <v>-5.5</v>
      </c>
      <c r="L14" s="81"/>
      <c r="M14" s="100"/>
      <c r="P14">
        <v>8</v>
      </c>
      <c r="Q14" s="39"/>
      <c r="R14" s="39"/>
      <c r="S14" s="28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473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1.7244651162790696</v>
      </c>
      <c r="AY15" s="13">
        <f>'Conduite Trp'!M5</f>
        <v>3.3697674418604651</v>
      </c>
      <c r="AZ15" s="13">
        <f>'Conduite Trp'!N5</f>
        <v>2.9204651162790696</v>
      </c>
      <c r="BA15" s="13">
        <f>'Conduite Trp'!O5</f>
        <v>1.8571162790697675</v>
      </c>
      <c r="BB15" s="13">
        <f>'Conduite Trp'!P5</f>
        <v>1.9524593023255812</v>
      </c>
      <c r="BC15" s="13">
        <f>'Conduite Trp'!Q5</f>
        <v>0.99087209302325574</v>
      </c>
      <c r="BD15" s="13">
        <f>'Conduite Trp'!R5</f>
        <v>0.99087209302325574</v>
      </c>
      <c r="BE15" s="13">
        <f>'Conduite Trp'!S5</f>
        <v>1.0239011627906973</v>
      </c>
      <c r="BF15" s="13">
        <f>'Conduite Trp'!T5</f>
        <v>1.0239011627906973</v>
      </c>
      <c r="BG15" s="13">
        <f>'Conduite Trp'!U5</f>
        <v>1.0239011627906973</v>
      </c>
      <c r="BH15" s="13">
        <f>'Conduite Trp'!V5</f>
        <v>1.0239011627906973</v>
      </c>
      <c r="BI15" s="13">
        <f>'Conduite Trp'!W5</f>
        <v>0.95436627906976734</v>
      </c>
      <c r="BJ15" s="13">
        <f>'Conduite Trp'!X5</f>
        <v>0.95436627906976734</v>
      </c>
      <c r="BK15" s="13">
        <f>'Conduite Trp'!Y5</f>
        <v>5.0544238372093027</v>
      </c>
      <c r="BL15" s="13">
        <f>'Conduite Trp'!Z5</f>
        <v>1.899191569767442</v>
      </c>
      <c r="BM15" s="13">
        <f>'Conduite Trp'!AA5</f>
        <v>1.8379273255813953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7.6606046511627923</v>
      </c>
      <c r="AY16" s="13">
        <f>'Conduite Trp'!M6</f>
        <v>4.6763546511627903</v>
      </c>
      <c r="AZ16" s="13">
        <f>'Conduite Trp'!N6</f>
        <v>5.0105232558139541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1.8379273255813953</v>
      </c>
      <c r="BJ16" s="13">
        <f>'Conduite Trp'!X6</f>
        <v>1.8379273255813953</v>
      </c>
      <c r="BK16" s="13">
        <f>'Conduite Trp'!Y6</f>
        <v>1.899191569767442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474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3.3697674418604651</v>
      </c>
      <c r="AZ19" s="61">
        <f t="shared" si="16"/>
        <v>2.9204651162790696</v>
      </c>
      <c r="BA19" s="61">
        <f t="shared" si="16"/>
        <v>1.8571162790697675</v>
      </c>
      <c r="BB19" s="61">
        <f t="shared" si="16"/>
        <v>1.9524593023255812</v>
      </c>
      <c r="BC19" s="61">
        <f t="shared" si="16"/>
        <v>0.99087209302325574</v>
      </c>
      <c r="BD19" s="61">
        <f t="shared" si="16"/>
        <v>0.99087209302325574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12.081552325581395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1.0239011627906973</v>
      </c>
      <c r="BF20" s="61">
        <f t="shared" si="17"/>
        <v>1.0239011627906973</v>
      </c>
      <c r="BG20" s="61">
        <f t="shared" si="17"/>
        <v>1.0239011627906973</v>
      </c>
      <c r="BH20" s="61">
        <f t="shared" si="17"/>
        <v>1.0239011627906973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4.0956046511627893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0.95436627906976734</v>
      </c>
      <c r="BJ21" s="61">
        <f t="shared" si="19"/>
        <v>0.95436627906976734</v>
      </c>
      <c r="BK21" s="61">
        <f t="shared" si="19"/>
        <v>5.0544238372093027</v>
      </c>
      <c r="BL21" s="61">
        <f t="shared" si="19"/>
        <v>1.899191569767442</v>
      </c>
      <c r="BM21" s="61">
        <f t="shared" si="19"/>
        <v>1.8379273255813953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10.700275290697675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1.7244651162790696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1.7244651162790696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22.05</v>
      </c>
      <c r="E24" s="61">
        <f t="shared" si="22"/>
        <v>4.125</v>
      </c>
      <c r="F24" s="61">
        <f t="shared" si="22"/>
        <v>19.524999999999999</v>
      </c>
      <c r="G24" s="61">
        <f t="shared" si="22"/>
        <v>1.6300000000000001</v>
      </c>
      <c r="H24" s="61">
        <f t="shared" si="22"/>
        <v>11.574999999999999</v>
      </c>
      <c r="I24" s="61">
        <f t="shared" si="22"/>
        <v>0</v>
      </c>
      <c r="J24" s="63"/>
      <c r="K24" s="61">
        <f>AL27+AL49+AL71</f>
        <v>115.83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21.768430232558142</v>
      </c>
      <c r="E25" s="61">
        <f>BR8</f>
        <v>4.0956046511627893</v>
      </c>
      <c r="F25" s="61">
        <f>BR9</f>
        <v>16.275321511627908</v>
      </c>
      <c r="G25" s="61">
        <f>BR10</f>
        <v>0</v>
      </c>
      <c r="H25" s="61">
        <f>BR11</f>
        <v>9.3850697674418626</v>
      </c>
      <c r="I25" s="61">
        <f>BR12</f>
        <v>0</v>
      </c>
      <c r="J25" s="63"/>
      <c r="K25" s="76">
        <f>'Conduite Trp'!C7</f>
        <v>115.69999999999999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0.28156976744185869</v>
      </c>
      <c r="E27" s="93">
        <f t="shared" si="24"/>
        <v>2.9395348837210733E-2</v>
      </c>
      <c r="F27" s="93">
        <f t="shared" si="24"/>
        <v>3.2496784883720906</v>
      </c>
      <c r="G27" s="93">
        <f t="shared" si="24"/>
        <v>1.6300000000000001</v>
      </c>
      <c r="H27" s="93">
        <f t="shared" si="24"/>
        <v>2.1899302325581367</v>
      </c>
      <c r="I27" s="93">
        <f t="shared" si="24"/>
        <v>0</v>
      </c>
      <c r="J27" s="63"/>
      <c r="K27" s="93">
        <f>K24-K25</f>
        <v>0.13000000000000966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11.8</v>
      </c>
      <c r="AF27" s="75">
        <f t="shared" ref="AF27:AJ27" si="25">SUM(AF7:AF26)</f>
        <v>4.125</v>
      </c>
      <c r="AG27" s="75">
        <f t="shared" si="25"/>
        <v>11.375</v>
      </c>
      <c r="AH27" s="75">
        <f t="shared" si="25"/>
        <v>1.33</v>
      </c>
      <c r="AI27" s="75">
        <f t="shared" si="25"/>
        <v>5.3250000000000002</v>
      </c>
      <c r="AJ27" s="75">
        <f t="shared" si="25"/>
        <v>0</v>
      </c>
      <c r="AK27"/>
      <c r="AL27" s="75">
        <f>SUM(AL7:AL26)</f>
        <v>80.03</v>
      </c>
      <c r="AQ27" s="32" t="s">
        <v>475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4.6763546511627903</v>
      </c>
      <c r="AZ27" s="61">
        <f t="shared" si="26"/>
        <v>5.0105232558139541</v>
      </c>
      <c r="BA27" s="61">
        <f t="shared" si="26"/>
        <v>0</v>
      </c>
      <c r="BB27" s="61">
        <f t="shared" si="26"/>
        <v>0</v>
      </c>
      <c r="BC27" s="61">
        <f t="shared" si="26"/>
        <v>0</v>
      </c>
      <c r="BD27" s="61">
        <f t="shared" si="26"/>
        <v>0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9.6868779069767434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0</v>
      </c>
      <c r="BF28" s="61">
        <f t="shared" si="27"/>
        <v>0</v>
      </c>
      <c r="BG28" s="61">
        <f t="shared" si="27"/>
        <v>0</v>
      </c>
      <c r="BH28" s="61">
        <f t="shared" si="27"/>
        <v>0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8.5</v>
      </c>
      <c r="P29">
        <v>1</v>
      </c>
      <c r="Q29" s="39">
        <v>284</v>
      </c>
      <c r="R29" s="39">
        <v>5.5</v>
      </c>
      <c r="S29" s="281" t="str">
        <f>VLOOKUP($Q29,[1]MEP!$A$5:$D$300,3)</f>
        <v>PP bonne 2 coupes PRECOCES - P début printemps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0.5</v>
      </c>
      <c r="W29" s="76">
        <f>VLOOKUP($Q29,[1]MEP!$A$4:$K$300,6)</f>
        <v>0</v>
      </c>
      <c r="X29" s="76">
        <f>VLOOKUP($Q29,[1]MEP!$A$4:$K$300,7)</f>
        <v>0.8</v>
      </c>
      <c r="Y29" s="76">
        <f>VLOOKUP($Q29,[1]MEP!$A$4:$K$300,8)</f>
        <v>0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4.5999999999999996</v>
      </c>
      <c r="AE29" s="61">
        <f t="shared" ref="AE29:AE48" si="29">$R29*V29</f>
        <v>2.75</v>
      </c>
      <c r="AF29" s="61">
        <f t="shared" ref="AF29:AF48" si="30">$R29*W29</f>
        <v>0</v>
      </c>
      <c r="AG29" s="61">
        <f t="shared" ref="AG29:AG48" si="31">$R29*X29</f>
        <v>4.4000000000000004</v>
      </c>
      <c r="AH29" s="61">
        <f t="shared" ref="AH29:AH48" si="32">$R29*Y29</f>
        <v>0</v>
      </c>
      <c r="AI29" s="61">
        <f t="shared" ref="AI29:AI48" si="33">$R29*Z29</f>
        <v>5.5</v>
      </c>
      <c r="AJ29" s="61">
        <f t="shared" ref="AJ29:AJ48" si="34">$R29*AA29</f>
        <v>0</v>
      </c>
      <c r="AK29"/>
      <c r="AL29" s="61">
        <f t="shared" ref="AL29:AL48" si="35">R29*AC29</f>
        <v>25.299999999999997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1.8379273255813953</v>
      </c>
      <c r="BJ29" s="61">
        <f t="shared" si="36"/>
        <v>1.8379273255813953</v>
      </c>
      <c r="BK29" s="61">
        <f t="shared" si="36"/>
        <v>1.899191569767442</v>
      </c>
      <c r="BL29" s="61">
        <f t="shared" si="36"/>
        <v>0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5.5750462209302327</v>
      </c>
    </row>
    <row r="30" spans="2:72" ht="15" customHeight="1" x14ac:dyDescent="0.25">
      <c r="N30" s="17" t="s">
        <v>88</v>
      </c>
      <c r="O30" s="42">
        <f>SUM(R29:R48)</f>
        <v>8.5</v>
      </c>
      <c r="P30">
        <v>2</v>
      </c>
      <c r="Q30" s="39">
        <v>279</v>
      </c>
      <c r="R30" s="39">
        <v>3</v>
      </c>
      <c r="S30" s="281" t="str">
        <f>VLOOKUP($Q30,[1]MEP!$A$5:$D$300,3)</f>
        <v>PP BONNE 1 CP ESTIVALE</v>
      </c>
      <c r="T30" s="76" t="str">
        <f>VLOOKUP($Q30,[1]MEP!$A$5:$D$300,4)</f>
        <v>zone 2</v>
      </c>
      <c r="U30" s="76" t="str">
        <f>VLOOKUP($Q30,[1]MEP!$A$4:$K$300,2)</f>
        <v>F/P</v>
      </c>
      <c r="V30" s="76">
        <f>VLOOKUP($Q30,[1]MEP!$A$4:$K$300,5)</f>
        <v>2.5</v>
      </c>
      <c r="W30" s="76">
        <f>VLOOKUP($Q30,[1]MEP!$A$4:$K$300,6)</f>
        <v>0</v>
      </c>
      <c r="X30" s="76">
        <f>VLOOKUP($Q30,[1]MEP!$A$4:$K$300,7)</f>
        <v>1.25</v>
      </c>
      <c r="Y30" s="76">
        <f>VLOOKUP($Q30,[1]MEP!$A$4:$K$300,8)</f>
        <v>0.1</v>
      </c>
      <c r="Z30" s="76">
        <f>VLOOKUP($Q30,[1]MEP!$A$4:$K$300,9)</f>
        <v>0.25</v>
      </c>
      <c r="AA30" s="76">
        <f>VLOOKUP($Q30,[1]MEP!$A$4:$K$300,10)</f>
        <v>0</v>
      </c>
      <c r="AC30" s="76">
        <f>VLOOKUP($Q30,[1]MEP!$A$4:$K$300,11)</f>
        <v>3.5</v>
      </c>
      <c r="AE30" s="61">
        <f t="shared" si="29"/>
        <v>7.5</v>
      </c>
      <c r="AF30" s="61">
        <f t="shared" si="30"/>
        <v>0</v>
      </c>
      <c r="AG30" s="61">
        <f t="shared" si="31"/>
        <v>3.75</v>
      </c>
      <c r="AH30" s="61">
        <f t="shared" si="32"/>
        <v>0.30000000000000004</v>
      </c>
      <c r="AI30" s="61">
        <f t="shared" si="33"/>
        <v>0.75</v>
      </c>
      <c r="AJ30" s="61">
        <f t="shared" si="34"/>
        <v>0</v>
      </c>
      <c r="AK30"/>
      <c r="AL30" s="61">
        <f t="shared" si="35"/>
        <v>10.5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81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9"/>
        <v>0</v>
      </c>
      <c r="AF31" s="61">
        <f t="shared" si="30"/>
        <v>0</v>
      </c>
      <c r="AG31" s="61">
        <f t="shared" si="31"/>
        <v>0</v>
      </c>
      <c r="AH31" s="61">
        <f t="shared" si="32"/>
        <v>0</v>
      </c>
      <c r="AI31" s="61">
        <f t="shared" si="33"/>
        <v>0</v>
      </c>
      <c r="AJ31" s="61">
        <f t="shared" si="34"/>
        <v>0</v>
      </c>
      <c r="AK31"/>
      <c r="AL31" s="61">
        <f t="shared" si="35"/>
        <v>0</v>
      </c>
      <c r="AR31" s="69">
        <v>5</v>
      </c>
      <c r="AS31" s="61">
        <f>IF(AS$4=5,AS$16,0)</f>
        <v>0</v>
      </c>
      <c r="AT31" s="61">
        <f t="shared" ref="AT31:BP31" si="38">IF(AT$4=5,AT$16,0)</f>
        <v>0</v>
      </c>
      <c r="AU31" s="61">
        <f t="shared" si="38"/>
        <v>0</v>
      </c>
      <c r="AV31" s="61">
        <f t="shared" si="38"/>
        <v>0</v>
      </c>
      <c r="AW31" s="61">
        <f t="shared" si="38"/>
        <v>0</v>
      </c>
      <c r="AX31" s="61">
        <f t="shared" si="38"/>
        <v>7.6606046511627923</v>
      </c>
      <c r="AY31" s="61">
        <f t="shared" si="38"/>
        <v>0</v>
      </c>
      <c r="AZ31" s="61">
        <f t="shared" si="38"/>
        <v>0</v>
      </c>
      <c r="BA31" s="61">
        <f t="shared" si="38"/>
        <v>0</v>
      </c>
      <c r="BB31" s="61">
        <f t="shared" si="38"/>
        <v>0</v>
      </c>
      <c r="BC31" s="61">
        <f t="shared" si="38"/>
        <v>0</v>
      </c>
      <c r="BD31" s="61">
        <f t="shared" si="38"/>
        <v>0</v>
      </c>
      <c r="BE31" s="61">
        <f t="shared" si="38"/>
        <v>0</v>
      </c>
      <c r="BF31" s="61">
        <f t="shared" si="38"/>
        <v>0</v>
      </c>
      <c r="BG31" s="61">
        <f t="shared" si="38"/>
        <v>0</v>
      </c>
      <c r="BH31" s="61">
        <f t="shared" si="38"/>
        <v>0</v>
      </c>
      <c r="BI31" s="61">
        <f t="shared" si="38"/>
        <v>0</v>
      </c>
      <c r="BJ31" s="61">
        <f t="shared" si="38"/>
        <v>0</v>
      </c>
      <c r="BK31" s="61">
        <f t="shared" si="38"/>
        <v>0</v>
      </c>
      <c r="BL31" s="61">
        <f t="shared" si="38"/>
        <v>0</v>
      </c>
      <c r="BM31" s="61">
        <f t="shared" si="38"/>
        <v>0</v>
      </c>
      <c r="BN31" s="61">
        <f t="shared" si="38"/>
        <v>0</v>
      </c>
      <c r="BO31" s="61">
        <f t="shared" si="38"/>
        <v>0</v>
      </c>
      <c r="BP31" s="61">
        <f t="shared" si="38"/>
        <v>0</v>
      </c>
      <c r="BR31" s="61">
        <f t="shared" si="28"/>
        <v>7.6606046511627923</v>
      </c>
    </row>
    <row r="32" spans="2:72" x14ac:dyDescent="0.25">
      <c r="D32" s="68" t="s">
        <v>267</v>
      </c>
      <c r="E32" s="68" t="s">
        <v>18</v>
      </c>
      <c r="F32" s="284" t="s">
        <v>276</v>
      </c>
      <c r="G32" s="284"/>
      <c r="H32" s="82"/>
      <c r="I32" s="68" t="s">
        <v>280</v>
      </c>
      <c r="J32" s="82" t="s">
        <v>280</v>
      </c>
      <c r="K32" s="284" t="s">
        <v>278</v>
      </c>
      <c r="L32" s="284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9"/>
        <v>0</v>
      </c>
      <c r="AF32" s="61">
        <f t="shared" si="30"/>
        <v>0</v>
      </c>
      <c r="AG32" s="61">
        <f t="shared" si="31"/>
        <v>0</v>
      </c>
      <c r="AH32" s="61">
        <f t="shared" si="32"/>
        <v>0</v>
      </c>
      <c r="AI32" s="61">
        <f t="shared" si="33"/>
        <v>0</v>
      </c>
      <c r="AJ32" s="61">
        <f t="shared" si="34"/>
        <v>0</v>
      </c>
      <c r="AK32"/>
      <c r="AL32" s="61">
        <f t="shared" si="35"/>
        <v>0</v>
      </c>
      <c r="AM32" s="32"/>
      <c r="AR32" s="69">
        <v>6</v>
      </c>
      <c r="AS32" s="61">
        <f>IF(AS$4=6,AS$16,0)</f>
        <v>0</v>
      </c>
      <c r="AT32" s="61">
        <f t="shared" ref="AT32:BP32" si="39">IF(AT$4=6,AT$16,0)</f>
        <v>0</v>
      </c>
      <c r="AU32" s="61">
        <f t="shared" si="39"/>
        <v>0</v>
      </c>
      <c r="AV32" s="61">
        <f t="shared" si="39"/>
        <v>0</v>
      </c>
      <c r="AW32" s="61">
        <f t="shared" si="39"/>
        <v>0</v>
      </c>
      <c r="AX32" s="61">
        <f t="shared" si="39"/>
        <v>0</v>
      </c>
      <c r="AY32" s="61">
        <f t="shared" si="39"/>
        <v>0</v>
      </c>
      <c r="AZ32" s="61">
        <f t="shared" si="39"/>
        <v>0</v>
      </c>
      <c r="BA32" s="61">
        <f t="shared" si="39"/>
        <v>0</v>
      </c>
      <c r="BB32" s="61">
        <f t="shared" si="39"/>
        <v>0</v>
      </c>
      <c r="BC32" s="61">
        <f t="shared" si="39"/>
        <v>0</v>
      </c>
      <c r="BD32" s="61">
        <f t="shared" si="39"/>
        <v>0</v>
      </c>
      <c r="BE32" s="61">
        <f t="shared" si="39"/>
        <v>0</v>
      </c>
      <c r="BF32" s="61">
        <f t="shared" si="39"/>
        <v>0</v>
      </c>
      <c r="BG32" s="61">
        <f t="shared" si="39"/>
        <v>0</v>
      </c>
      <c r="BH32" s="61">
        <f t="shared" si="39"/>
        <v>0</v>
      </c>
      <c r="BI32" s="61">
        <f t="shared" si="39"/>
        <v>0</v>
      </c>
      <c r="BJ32" s="61">
        <f t="shared" si="39"/>
        <v>0</v>
      </c>
      <c r="BK32" s="61">
        <f t="shared" si="39"/>
        <v>0</v>
      </c>
      <c r="BL32" s="61">
        <f t="shared" si="39"/>
        <v>0</v>
      </c>
      <c r="BM32" s="61">
        <f t="shared" si="39"/>
        <v>0</v>
      </c>
      <c r="BN32" s="61">
        <f t="shared" si="39"/>
        <v>0</v>
      </c>
      <c r="BO32" s="61">
        <f t="shared" si="39"/>
        <v>0</v>
      </c>
      <c r="BP32" s="61">
        <f t="shared" si="39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2.2000000000000002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0">E34*F34</f>
        <v>0</v>
      </c>
      <c r="L34" s="61">
        <f t="shared" ref="L34:L43" si="41">E34*G34</f>
        <v>6.6000000000000005</v>
      </c>
      <c r="M34" s="61">
        <f t="shared" ref="M34:M43" si="42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3">VALUE(LEFT(I35,2))</f>
        <v>0</v>
      </c>
      <c r="K35" s="61">
        <f t="shared" si="40"/>
        <v>0</v>
      </c>
      <c r="L35" s="61">
        <f t="shared" si="41"/>
        <v>0</v>
      </c>
      <c r="M35" s="61">
        <f t="shared" si="42"/>
        <v>0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476</v>
      </c>
      <c r="AR35" s="69">
        <v>1</v>
      </c>
      <c r="AS35" s="61">
        <f>IF(AS$4=1,AS$17,0)</f>
        <v>0</v>
      </c>
      <c r="AT35" s="61">
        <f t="shared" ref="AT35:BP35" si="44">IF(AT$4=1,AT$17,0)</f>
        <v>0</v>
      </c>
      <c r="AU35" s="61">
        <f t="shared" si="44"/>
        <v>0</v>
      </c>
      <c r="AV35" s="61">
        <f t="shared" si="44"/>
        <v>0</v>
      </c>
      <c r="AW35" s="61">
        <f t="shared" si="44"/>
        <v>0</v>
      </c>
      <c r="AX35" s="61">
        <f t="shared" si="44"/>
        <v>0</v>
      </c>
      <c r="AY35" s="61">
        <f t="shared" si="44"/>
        <v>0</v>
      </c>
      <c r="AZ35" s="61">
        <f t="shared" si="44"/>
        <v>0</v>
      </c>
      <c r="BA35" s="61">
        <f t="shared" si="44"/>
        <v>0</v>
      </c>
      <c r="BB35" s="61">
        <f t="shared" si="44"/>
        <v>0</v>
      </c>
      <c r="BC35" s="61">
        <f t="shared" si="44"/>
        <v>0</v>
      </c>
      <c r="BD35" s="61">
        <f t="shared" si="44"/>
        <v>0</v>
      </c>
      <c r="BE35" s="61">
        <f t="shared" si="44"/>
        <v>0</v>
      </c>
      <c r="BF35" s="61">
        <f t="shared" si="44"/>
        <v>0</v>
      </c>
      <c r="BG35" s="61">
        <f t="shared" si="44"/>
        <v>0</v>
      </c>
      <c r="BH35" s="61">
        <f t="shared" si="44"/>
        <v>0</v>
      </c>
      <c r="BI35" s="61">
        <f t="shared" si="44"/>
        <v>0</v>
      </c>
      <c r="BJ35" s="61">
        <f t="shared" si="44"/>
        <v>0</v>
      </c>
      <c r="BK35" s="61">
        <f t="shared" si="44"/>
        <v>0</v>
      </c>
      <c r="BL35" s="61">
        <f t="shared" si="44"/>
        <v>0</v>
      </c>
      <c r="BM35" s="61">
        <f t="shared" si="44"/>
        <v>0</v>
      </c>
      <c r="BN35" s="61">
        <f t="shared" si="44"/>
        <v>0</v>
      </c>
      <c r="BO35" s="61">
        <f t="shared" si="44"/>
        <v>0</v>
      </c>
      <c r="BP35" s="61">
        <f t="shared" si="44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3"/>
        <v>0</v>
      </c>
      <c r="K36" s="61">
        <f t="shared" si="40"/>
        <v>0</v>
      </c>
      <c r="L36" s="61">
        <f t="shared" si="41"/>
        <v>0</v>
      </c>
      <c r="M36" s="61">
        <f t="shared" si="42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5">IF(AT$4=2,AT$17,0)</f>
        <v>0</v>
      </c>
      <c r="AU36" s="61">
        <f t="shared" si="45"/>
        <v>0</v>
      </c>
      <c r="AV36" s="61">
        <f t="shared" si="45"/>
        <v>0</v>
      </c>
      <c r="AW36" s="61">
        <f t="shared" si="45"/>
        <v>0</v>
      </c>
      <c r="AX36" s="61">
        <f t="shared" si="45"/>
        <v>0</v>
      </c>
      <c r="AY36" s="61">
        <f t="shared" si="45"/>
        <v>0</v>
      </c>
      <c r="AZ36" s="61">
        <f t="shared" si="45"/>
        <v>0</v>
      </c>
      <c r="BA36" s="61">
        <f t="shared" si="45"/>
        <v>0</v>
      </c>
      <c r="BB36" s="61">
        <f t="shared" si="45"/>
        <v>0</v>
      </c>
      <c r="BC36" s="61">
        <f t="shared" si="45"/>
        <v>0</v>
      </c>
      <c r="BD36" s="61">
        <f t="shared" si="45"/>
        <v>0</v>
      </c>
      <c r="BE36" s="61">
        <f t="shared" si="45"/>
        <v>0</v>
      </c>
      <c r="BF36" s="61">
        <f t="shared" si="45"/>
        <v>0</v>
      </c>
      <c r="BG36" s="61">
        <f t="shared" si="45"/>
        <v>0</v>
      </c>
      <c r="BH36" s="61">
        <f t="shared" si="45"/>
        <v>0</v>
      </c>
      <c r="BI36" s="61">
        <f t="shared" si="45"/>
        <v>0</v>
      </c>
      <c r="BJ36" s="61">
        <f t="shared" si="45"/>
        <v>0</v>
      </c>
      <c r="BK36" s="61">
        <f t="shared" si="45"/>
        <v>0</v>
      </c>
      <c r="BL36" s="61">
        <f t="shared" si="45"/>
        <v>0</v>
      </c>
      <c r="BM36" s="61">
        <f t="shared" si="45"/>
        <v>0</v>
      </c>
      <c r="BN36" s="61">
        <f t="shared" si="45"/>
        <v>0</v>
      </c>
      <c r="BO36" s="61">
        <f t="shared" si="45"/>
        <v>0</v>
      </c>
      <c r="BP36" s="61">
        <f t="shared" si="45"/>
        <v>0</v>
      </c>
      <c r="BR36" s="61">
        <f t="shared" ref="BR36:BR40" si="46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3"/>
        <v>0</v>
      </c>
      <c r="K37" s="61">
        <f t="shared" si="40"/>
        <v>0</v>
      </c>
      <c r="L37" s="61">
        <f t="shared" si="41"/>
        <v>0</v>
      </c>
      <c r="M37" s="61">
        <f t="shared" si="42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7">IF(AT$4=3,AT$17,0)</f>
        <v>0</v>
      </c>
      <c r="AU37" s="61">
        <f t="shared" si="47"/>
        <v>0</v>
      </c>
      <c r="AV37" s="61">
        <f t="shared" si="47"/>
        <v>0</v>
      </c>
      <c r="AW37" s="61">
        <f t="shared" si="47"/>
        <v>0</v>
      </c>
      <c r="AX37" s="61">
        <f t="shared" si="47"/>
        <v>0</v>
      </c>
      <c r="AY37" s="61">
        <f t="shared" si="47"/>
        <v>0</v>
      </c>
      <c r="AZ37" s="61">
        <f t="shared" si="47"/>
        <v>0</v>
      </c>
      <c r="BA37" s="61">
        <f t="shared" si="47"/>
        <v>0</v>
      </c>
      <c r="BB37" s="61">
        <f t="shared" si="47"/>
        <v>0</v>
      </c>
      <c r="BC37" s="61">
        <f t="shared" si="47"/>
        <v>0</v>
      </c>
      <c r="BD37" s="61">
        <f t="shared" si="47"/>
        <v>0</v>
      </c>
      <c r="BE37" s="61">
        <f t="shared" si="47"/>
        <v>0</v>
      </c>
      <c r="BF37" s="61">
        <f t="shared" si="47"/>
        <v>0</v>
      </c>
      <c r="BG37" s="61">
        <f t="shared" si="47"/>
        <v>0</v>
      </c>
      <c r="BH37" s="61">
        <f t="shared" si="47"/>
        <v>0</v>
      </c>
      <c r="BI37" s="61">
        <f t="shared" si="47"/>
        <v>0</v>
      </c>
      <c r="BJ37" s="61">
        <f t="shared" si="47"/>
        <v>0</v>
      </c>
      <c r="BK37" s="61">
        <f t="shared" si="47"/>
        <v>0</v>
      </c>
      <c r="BL37" s="61">
        <f t="shared" si="47"/>
        <v>0</v>
      </c>
      <c r="BM37" s="61">
        <f t="shared" si="47"/>
        <v>0</v>
      </c>
      <c r="BN37" s="61">
        <f t="shared" si="47"/>
        <v>0</v>
      </c>
      <c r="BO37" s="61">
        <f t="shared" si="47"/>
        <v>0</v>
      </c>
      <c r="BP37" s="61">
        <f t="shared" si="47"/>
        <v>0</v>
      </c>
      <c r="BR37" s="61">
        <f t="shared" si="46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3"/>
        <v>0</v>
      </c>
      <c r="K38" s="61">
        <f t="shared" si="40"/>
        <v>0</v>
      </c>
      <c r="L38" s="61">
        <f t="shared" si="41"/>
        <v>0</v>
      </c>
      <c r="M38" s="61">
        <f t="shared" si="42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8">IF(AT$4=4,AT$17,0)</f>
        <v>0</v>
      </c>
      <c r="AU38" s="61">
        <f t="shared" si="48"/>
        <v>0</v>
      </c>
      <c r="AV38" s="61">
        <f t="shared" si="48"/>
        <v>0</v>
      </c>
      <c r="AW38" s="61">
        <f t="shared" si="48"/>
        <v>0</v>
      </c>
      <c r="AX38" s="61">
        <f t="shared" si="48"/>
        <v>0</v>
      </c>
      <c r="AY38" s="61">
        <f t="shared" si="48"/>
        <v>0</v>
      </c>
      <c r="AZ38" s="61">
        <f t="shared" si="48"/>
        <v>0</v>
      </c>
      <c r="BA38" s="61">
        <f t="shared" si="48"/>
        <v>0</v>
      </c>
      <c r="BB38" s="61">
        <f t="shared" si="48"/>
        <v>0</v>
      </c>
      <c r="BC38" s="61">
        <f t="shared" si="48"/>
        <v>0</v>
      </c>
      <c r="BD38" s="61">
        <f t="shared" si="48"/>
        <v>0</v>
      </c>
      <c r="BE38" s="61">
        <f t="shared" si="48"/>
        <v>0</v>
      </c>
      <c r="BF38" s="61">
        <f t="shared" si="48"/>
        <v>0</v>
      </c>
      <c r="BG38" s="61">
        <f t="shared" si="48"/>
        <v>0</v>
      </c>
      <c r="BH38" s="61">
        <f t="shared" si="48"/>
        <v>0</v>
      </c>
      <c r="BI38" s="61">
        <f t="shared" si="48"/>
        <v>0</v>
      </c>
      <c r="BJ38" s="61">
        <f t="shared" si="48"/>
        <v>0</v>
      </c>
      <c r="BK38" s="61">
        <f t="shared" si="48"/>
        <v>0</v>
      </c>
      <c r="BL38" s="61">
        <f t="shared" si="48"/>
        <v>0</v>
      </c>
      <c r="BM38" s="61">
        <f t="shared" si="48"/>
        <v>0</v>
      </c>
      <c r="BN38" s="61">
        <f t="shared" si="48"/>
        <v>0</v>
      </c>
      <c r="BO38" s="61">
        <f t="shared" si="48"/>
        <v>0</v>
      </c>
      <c r="BP38" s="61">
        <f t="shared" si="48"/>
        <v>0</v>
      </c>
      <c r="BR38" s="61">
        <f t="shared" si="46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3"/>
        <v>0</v>
      </c>
      <c r="K39" s="61">
        <f t="shared" si="40"/>
        <v>0</v>
      </c>
      <c r="L39" s="61">
        <f t="shared" si="41"/>
        <v>0</v>
      </c>
      <c r="M39" s="61">
        <f t="shared" si="42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9">IF(AT$4=5,AT$17,0)</f>
        <v>0</v>
      </c>
      <c r="AU39" s="61">
        <f t="shared" si="49"/>
        <v>0</v>
      </c>
      <c r="AV39" s="61">
        <f t="shared" si="49"/>
        <v>0</v>
      </c>
      <c r="AW39" s="61">
        <f t="shared" si="49"/>
        <v>0</v>
      </c>
      <c r="AX39" s="61">
        <f t="shared" si="49"/>
        <v>0</v>
      </c>
      <c r="AY39" s="61">
        <f t="shared" si="49"/>
        <v>0</v>
      </c>
      <c r="AZ39" s="61">
        <f t="shared" si="49"/>
        <v>0</v>
      </c>
      <c r="BA39" s="61">
        <f t="shared" si="49"/>
        <v>0</v>
      </c>
      <c r="BB39" s="61">
        <f t="shared" si="49"/>
        <v>0</v>
      </c>
      <c r="BC39" s="61">
        <f t="shared" si="49"/>
        <v>0</v>
      </c>
      <c r="BD39" s="61">
        <f t="shared" si="49"/>
        <v>0</v>
      </c>
      <c r="BE39" s="61">
        <f t="shared" si="49"/>
        <v>0</v>
      </c>
      <c r="BF39" s="61">
        <f t="shared" si="49"/>
        <v>0</v>
      </c>
      <c r="BG39" s="61">
        <f t="shared" si="49"/>
        <v>0</v>
      </c>
      <c r="BH39" s="61">
        <f t="shared" si="49"/>
        <v>0</v>
      </c>
      <c r="BI39" s="61">
        <f t="shared" si="49"/>
        <v>0</v>
      </c>
      <c r="BJ39" s="61">
        <f t="shared" si="49"/>
        <v>0</v>
      </c>
      <c r="BK39" s="61">
        <f t="shared" si="49"/>
        <v>0</v>
      </c>
      <c r="BL39" s="61">
        <f t="shared" si="49"/>
        <v>0</v>
      </c>
      <c r="BM39" s="61">
        <f t="shared" si="49"/>
        <v>0</v>
      </c>
      <c r="BN39" s="61">
        <f t="shared" si="49"/>
        <v>0</v>
      </c>
      <c r="BO39" s="61">
        <f t="shared" si="49"/>
        <v>0</v>
      </c>
      <c r="BP39" s="61">
        <f t="shared" si="49"/>
        <v>0</v>
      </c>
      <c r="BR39" s="61">
        <f t="shared" si="46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3"/>
        <v>0</v>
      </c>
      <c r="K40" s="61">
        <f t="shared" si="40"/>
        <v>0</v>
      </c>
      <c r="L40" s="61">
        <f t="shared" si="41"/>
        <v>0</v>
      </c>
      <c r="M40" s="61">
        <f t="shared" si="42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0">IF(AT$4=6,AT$17,0)</f>
        <v>0</v>
      </c>
      <c r="AU40" s="61">
        <f t="shared" si="50"/>
        <v>0</v>
      </c>
      <c r="AV40" s="61">
        <f t="shared" si="50"/>
        <v>0</v>
      </c>
      <c r="AW40" s="61">
        <f t="shared" si="50"/>
        <v>0</v>
      </c>
      <c r="AX40" s="61">
        <f t="shared" si="50"/>
        <v>0</v>
      </c>
      <c r="AY40" s="61">
        <f t="shared" si="50"/>
        <v>0</v>
      </c>
      <c r="AZ40" s="61">
        <f t="shared" si="50"/>
        <v>0</v>
      </c>
      <c r="BA40" s="61">
        <f t="shared" si="50"/>
        <v>0</v>
      </c>
      <c r="BB40" s="61">
        <f t="shared" si="50"/>
        <v>0</v>
      </c>
      <c r="BC40" s="61">
        <f t="shared" si="50"/>
        <v>0</v>
      </c>
      <c r="BD40" s="61">
        <f t="shared" si="50"/>
        <v>0</v>
      </c>
      <c r="BE40" s="61">
        <f t="shared" si="50"/>
        <v>0</v>
      </c>
      <c r="BF40" s="61">
        <f t="shared" si="50"/>
        <v>0</v>
      </c>
      <c r="BG40" s="61">
        <f t="shared" si="50"/>
        <v>0</v>
      </c>
      <c r="BH40" s="61">
        <f t="shared" si="50"/>
        <v>0</v>
      </c>
      <c r="BI40" s="61">
        <f t="shared" si="50"/>
        <v>0</v>
      </c>
      <c r="BJ40" s="61">
        <f t="shared" si="50"/>
        <v>0</v>
      </c>
      <c r="BK40" s="61">
        <f t="shared" si="50"/>
        <v>0</v>
      </c>
      <c r="BL40" s="61">
        <f t="shared" si="50"/>
        <v>0</v>
      </c>
      <c r="BM40" s="61">
        <f t="shared" si="50"/>
        <v>0</v>
      </c>
      <c r="BN40" s="61">
        <f t="shared" si="50"/>
        <v>0</v>
      </c>
      <c r="BO40" s="61">
        <f t="shared" si="50"/>
        <v>0</v>
      </c>
      <c r="BP40" s="61">
        <f t="shared" si="50"/>
        <v>0</v>
      </c>
      <c r="BR40" s="61">
        <f t="shared" si="46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3"/>
        <v>0</v>
      </c>
      <c r="K41" s="61">
        <f t="shared" si="40"/>
        <v>0</v>
      </c>
      <c r="L41" s="61">
        <f t="shared" si="41"/>
        <v>0</v>
      </c>
      <c r="M41" s="61">
        <f t="shared" si="42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3"/>
        <v>0</v>
      </c>
      <c r="K42" s="61">
        <f t="shared" si="40"/>
        <v>0</v>
      </c>
      <c r="L42" s="61">
        <f t="shared" si="41"/>
        <v>0</v>
      </c>
      <c r="M42" s="61">
        <f t="shared" si="42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3"/>
        <v>0</v>
      </c>
      <c r="K43" s="61">
        <f t="shared" si="40"/>
        <v>0</v>
      </c>
      <c r="L43" s="61">
        <f t="shared" si="41"/>
        <v>0</v>
      </c>
      <c r="M43" s="61">
        <f t="shared" si="42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10.25</v>
      </c>
      <c r="AF49" s="75">
        <f t="shared" ref="AF49" si="51">SUM(AF29:AF48)</f>
        <v>0</v>
      </c>
      <c r="AG49" s="75">
        <f t="shared" ref="AG49" si="52">SUM(AG29:AG48)</f>
        <v>8.15</v>
      </c>
      <c r="AH49" s="75">
        <f t="shared" ref="AH49" si="53">SUM(AH29:AH48)</f>
        <v>0.30000000000000004</v>
      </c>
      <c r="AI49" s="75">
        <f t="shared" ref="AI49" si="54">SUM(AI29:AI48)</f>
        <v>6.25</v>
      </c>
      <c r="AJ49" s="75">
        <f t="shared" ref="AJ49" si="55">SUM(AJ29:AJ48)</f>
        <v>0</v>
      </c>
      <c r="AK49"/>
      <c r="AL49" s="75">
        <f>SUM(AL29:AL48)</f>
        <v>35.799999999999997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6">IF($J34=1,$K34,0)</f>
        <v>0</v>
      </c>
      <c r="G51" s="61">
        <f t="shared" ref="G51:G60" si="57">IF($J34=2,$K34,0)</f>
        <v>0</v>
      </c>
      <c r="H51" s="61">
        <f t="shared" ref="H51:I60" si="58">IF($J34=3,$K34,0)</f>
        <v>0</v>
      </c>
      <c r="I51" s="61">
        <f t="shared" si="58"/>
        <v>0</v>
      </c>
      <c r="J51" s="61">
        <f t="shared" ref="J51:J60" si="59">IF($J34=4,$K34,0)</f>
        <v>0</v>
      </c>
      <c r="K51" s="61">
        <f t="shared" ref="K51:K60" si="60">IF($J34=5,$K34,0)</f>
        <v>0</v>
      </c>
      <c r="M51" s="63"/>
      <c r="N51" s="40" t="s">
        <v>270</v>
      </c>
      <c r="O51" s="39">
        <v>2.2000000000000002</v>
      </c>
      <c r="P51">
        <v>1</v>
      </c>
      <c r="Q51" s="39">
        <v>47</v>
      </c>
      <c r="R51" s="39">
        <v>2.2000000000000002</v>
      </c>
      <c r="S51" s="281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1">$R51*V51</f>
        <v>0</v>
      </c>
      <c r="AF51" s="61">
        <f t="shared" ref="AF51:AF70" si="62">$R51*W51</f>
        <v>0</v>
      </c>
      <c r="AG51" s="61">
        <f t="shared" ref="AG51:AG70" si="63">$R51*X51</f>
        <v>0</v>
      </c>
      <c r="AH51" s="61">
        <f t="shared" ref="AH51:AH70" si="64">$R51*Y51</f>
        <v>0</v>
      </c>
      <c r="AI51" s="61">
        <f t="shared" ref="AI51:AI70" si="65">$R51*Z51</f>
        <v>0</v>
      </c>
      <c r="AJ51" s="61">
        <f t="shared" ref="AJ51:AJ70" si="66">$R51*AA51</f>
        <v>0</v>
      </c>
      <c r="AK51"/>
      <c r="AL51" s="61">
        <f t="shared" ref="AL51:AL70" si="67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6"/>
        <v>0</v>
      </c>
      <c r="G52" s="61">
        <f t="shared" si="57"/>
        <v>0</v>
      </c>
      <c r="H52" s="61">
        <f t="shared" si="58"/>
        <v>0</v>
      </c>
      <c r="I52" s="61">
        <f t="shared" si="58"/>
        <v>0</v>
      </c>
      <c r="J52" s="61">
        <f t="shared" si="59"/>
        <v>0</v>
      </c>
      <c r="K52" s="61">
        <f t="shared" si="60"/>
        <v>0</v>
      </c>
      <c r="M52" s="91"/>
      <c r="N52" s="17" t="s">
        <v>88</v>
      </c>
      <c r="O52" s="42">
        <f>SUM(R51:R70)</f>
        <v>2.2000000000000002</v>
      </c>
      <c r="P52">
        <v>2</v>
      </c>
      <c r="Q52" s="39"/>
      <c r="R52" s="39"/>
      <c r="S52" s="281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1"/>
        <v>0</v>
      </c>
      <c r="AF52" s="61">
        <f t="shared" si="62"/>
        <v>0</v>
      </c>
      <c r="AG52" s="61">
        <f t="shared" si="63"/>
        <v>0</v>
      </c>
      <c r="AH52" s="61">
        <f t="shared" si="64"/>
        <v>0</v>
      </c>
      <c r="AI52" s="61">
        <f t="shared" si="65"/>
        <v>0</v>
      </c>
      <c r="AJ52" s="61">
        <f t="shared" si="66"/>
        <v>0</v>
      </c>
      <c r="AK52"/>
      <c r="AL52" s="61">
        <f t="shared" si="67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6"/>
        <v>0</v>
      </c>
      <c r="G53" s="61">
        <f t="shared" si="57"/>
        <v>0</v>
      </c>
      <c r="H53" s="61">
        <f t="shared" si="58"/>
        <v>0</v>
      </c>
      <c r="I53" s="61">
        <f t="shared" si="58"/>
        <v>0</v>
      </c>
      <c r="J53" s="61">
        <f t="shared" si="59"/>
        <v>0</v>
      </c>
      <c r="K53" s="61">
        <f t="shared" si="60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1"/>
        <v>0</v>
      </c>
      <c r="AF53" s="61">
        <f t="shared" si="62"/>
        <v>0</v>
      </c>
      <c r="AG53" s="61">
        <f t="shared" si="63"/>
        <v>0</v>
      </c>
      <c r="AH53" s="61">
        <f t="shared" si="64"/>
        <v>0</v>
      </c>
      <c r="AI53" s="61">
        <f t="shared" si="65"/>
        <v>0</v>
      </c>
      <c r="AJ53" s="61">
        <f t="shared" si="66"/>
        <v>0</v>
      </c>
      <c r="AK53"/>
      <c r="AL53" s="61">
        <f t="shared" si="67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6"/>
        <v>0</v>
      </c>
      <c r="G54" s="61">
        <f t="shared" si="57"/>
        <v>0</v>
      </c>
      <c r="H54" s="61">
        <f t="shared" si="58"/>
        <v>0</v>
      </c>
      <c r="I54" s="61">
        <f t="shared" si="58"/>
        <v>0</v>
      </c>
      <c r="J54" s="61">
        <f t="shared" si="59"/>
        <v>0</v>
      </c>
      <c r="K54" s="61">
        <f t="shared" si="60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1"/>
        <v>0</v>
      </c>
      <c r="AF54" s="61">
        <f t="shared" si="62"/>
        <v>0</v>
      </c>
      <c r="AG54" s="61">
        <f t="shared" si="63"/>
        <v>0</v>
      </c>
      <c r="AH54" s="61">
        <f t="shared" si="64"/>
        <v>0</v>
      </c>
      <c r="AI54" s="61">
        <f t="shared" si="65"/>
        <v>0</v>
      </c>
      <c r="AJ54" s="61">
        <f t="shared" si="66"/>
        <v>0</v>
      </c>
      <c r="AK54"/>
      <c r="AL54" s="61">
        <f t="shared" si="67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6"/>
        <v>0</v>
      </c>
      <c r="G55" s="61">
        <f t="shared" si="57"/>
        <v>0</v>
      </c>
      <c r="H55" s="61">
        <f t="shared" si="58"/>
        <v>0</v>
      </c>
      <c r="I55" s="61">
        <f t="shared" si="58"/>
        <v>0</v>
      </c>
      <c r="J55" s="61">
        <f t="shared" si="59"/>
        <v>0</v>
      </c>
      <c r="K55" s="61">
        <f t="shared" si="60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1"/>
        <v>0</v>
      </c>
      <c r="AF55" s="61">
        <f t="shared" si="62"/>
        <v>0</v>
      </c>
      <c r="AG55" s="61">
        <f t="shared" si="63"/>
        <v>0</v>
      </c>
      <c r="AH55" s="61">
        <f t="shared" si="64"/>
        <v>0</v>
      </c>
      <c r="AI55" s="61">
        <f t="shared" si="65"/>
        <v>0</v>
      </c>
      <c r="AJ55" s="61">
        <f t="shared" si="66"/>
        <v>0</v>
      </c>
      <c r="AK55"/>
      <c r="AL55" s="61">
        <f t="shared" si="67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6"/>
        <v>0</v>
      </c>
      <c r="G56" s="61">
        <f t="shared" si="57"/>
        <v>0</v>
      </c>
      <c r="H56" s="61">
        <f t="shared" si="58"/>
        <v>0</v>
      </c>
      <c r="I56" s="61">
        <f t="shared" si="58"/>
        <v>0</v>
      </c>
      <c r="J56" s="61">
        <f t="shared" si="59"/>
        <v>0</v>
      </c>
      <c r="K56" s="61">
        <f t="shared" si="60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1"/>
        <v>0</v>
      </c>
      <c r="AF56" s="61">
        <f t="shared" si="62"/>
        <v>0</v>
      </c>
      <c r="AG56" s="61">
        <f t="shared" si="63"/>
        <v>0</v>
      </c>
      <c r="AH56" s="61">
        <f t="shared" si="64"/>
        <v>0</v>
      </c>
      <c r="AI56" s="61">
        <f t="shared" si="65"/>
        <v>0</v>
      </c>
      <c r="AJ56" s="61">
        <f t="shared" si="66"/>
        <v>0</v>
      </c>
      <c r="AK56"/>
      <c r="AL56" s="61">
        <f t="shared" si="67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6"/>
        <v>0</v>
      </c>
      <c r="G57" s="61">
        <f t="shared" si="57"/>
        <v>0</v>
      </c>
      <c r="H57" s="61">
        <f t="shared" si="58"/>
        <v>0</v>
      </c>
      <c r="I57" s="61">
        <f t="shared" si="58"/>
        <v>0</v>
      </c>
      <c r="J57" s="61">
        <f t="shared" si="59"/>
        <v>0</v>
      </c>
      <c r="K57" s="61">
        <f t="shared" si="60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1"/>
        <v>0</v>
      </c>
      <c r="AF57" s="61">
        <f t="shared" si="62"/>
        <v>0</v>
      </c>
      <c r="AG57" s="61">
        <f t="shared" si="63"/>
        <v>0</v>
      </c>
      <c r="AH57" s="61">
        <f t="shared" si="64"/>
        <v>0</v>
      </c>
      <c r="AI57" s="61">
        <f t="shared" si="65"/>
        <v>0</v>
      </c>
      <c r="AJ57" s="61">
        <f t="shared" si="66"/>
        <v>0</v>
      </c>
      <c r="AK57"/>
      <c r="AL57" s="61">
        <f t="shared" si="67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6"/>
        <v>0</v>
      </c>
      <c r="G58" s="61">
        <f t="shared" si="57"/>
        <v>0</v>
      </c>
      <c r="H58" s="61">
        <f t="shared" si="58"/>
        <v>0</v>
      </c>
      <c r="I58" s="61">
        <f t="shared" si="58"/>
        <v>0</v>
      </c>
      <c r="J58" s="61">
        <f t="shared" si="59"/>
        <v>0</v>
      </c>
      <c r="K58" s="61">
        <f t="shared" si="60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1"/>
        <v>0</v>
      </c>
      <c r="AF58" s="61">
        <f t="shared" si="62"/>
        <v>0</v>
      </c>
      <c r="AG58" s="61">
        <f t="shared" si="63"/>
        <v>0</v>
      </c>
      <c r="AH58" s="61">
        <f t="shared" si="64"/>
        <v>0</v>
      </c>
      <c r="AI58" s="61">
        <f t="shared" si="65"/>
        <v>0</v>
      </c>
      <c r="AJ58" s="61">
        <f t="shared" si="66"/>
        <v>0</v>
      </c>
      <c r="AK58"/>
      <c r="AL58" s="61">
        <f t="shared" si="67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6"/>
        <v>0</v>
      </c>
      <c r="G59" s="61">
        <f t="shared" si="57"/>
        <v>0</v>
      </c>
      <c r="H59" s="61">
        <f t="shared" si="58"/>
        <v>0</v>
      </c>
      <c r="I59" s="61">
        <f t="shared" si="58"/>
        <v>0</v>
      </c>
      <c r="J59" s="61">
        <f t="shared" si="59"/>
        <v>0</v>
      </c>
      <c r="K59" s="61">
        <f t="shared" si="60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1"/>
        <v>0</v>
      </c>
      <c r="AF59" s="61">
        <f t="shared" si="62"/>
        <v>0</v>
      </c>
      <c r="AG59" s="61">
        <f t="shared" si="63"/>
        <v>0</v>
      </c>
      <c r="AH59" s="61">
        <f t="shared" si="64"/>
        <v>0</v>
      </c>
      <c r="AI59" s="61">
        <f t="shared" si="65"/>
        <v>0</v>
      </c>
      <c r="AJ59" s="61">
        <f t="shared" si="66"/>
        <v>0</v>
      </c>
      <c r="AK59"/>
      <c r="AL59" s="61">
        <f t="shared" si="67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6"/>
        <v>0</v>
      </c>
      <c r="G60" s="61">
        <f t="shared" si="57"/>
        <v>0</v>
      </c>
      <c r="H60" s="61">
        <f t="shared" si="58"/>
        <v>0</v>
      </c>
      <c r="I60" s="61">
        <f t="shared" si="58"/>
        <v>0</v>
      </c>
      <c r="J60" s="61">
        <f t="shared" si="59"/>
        <v>0</v>
      </c>
      <c r="K60" s="61">
        <f t="shared" si="60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1"/>
        <v>0</v>
      </c>
      <c r="AF60" s="61">
        <f t="shared" si="62"/>
        <v>0</v>
      </c>
      <c r="AG60" s="61">
        <f t="shared" si="63"/>
        <v>0</v>
      </c>
      <c r="AH60" s="61">
        <f t="shared" si="64"/>
        <v>0</v>
      </c>
      <c r="AI60" s="61">
        <f t="shared" si="65"/>
        <v>0</v>
      </c>
      <c r="AJ60" s="61">
        <f t="shared" si="66"/>
        <v>0</v>
      </c>
      <c r="AK60"/>
      <c r="AL60" s="61">
        <f t="shared" si="67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8">SUM(G51:G60)</f>
        <v>0</v>
      </c>
      <c r="H61" s="75">
        <f t="shared" si="68"/>
        <v>0</v>
      </c>
      <c r="I61" s="75">
        <f t="shared" si="68"/>
        <v>0</v>
      </c>
      <c r="J61" s="75">
        <f t="shared" si="68"/>
        <v>0</v>
      </c>
      <c r="K61" s="75">
        <f t="shared" si="68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1"/>
        <v>0</v>
      </c>
      <c r="AF61" s="61">
        <f t="shared" si="62"/>
        <v>0</v>
      </c>
      <c r="AG61" s="61">
        <f t="shared" si="63"/>
        <v>0</v>
      </c>
      <c r="AH61" s="61">
        <f t="shared" si="64"/>
        <v>0</v>
      </c>
      <c r="AI61" s="61">
        <f t="shared" si="65"/>
        <v>0</v>
      </c>
      <c r="AJ61" s="61">
        <f t="shared" si="66"/>
        <v>0</v>
      </c>
      <c r="AK61"/>
      <c r="AL61" s="61">
        <f t="shared" si="67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1"/>
        <v>0</v>
      </c>
      <c r="AF62" s="61">
        <f t="shared" si="62"/>
        <v>0</v>
      </c>
      <c r="AG62" s="61">
        <f t="shared" si="63"/>
        <v>0</v>
      </c>
      <c r="AH62" s="61">
        <f t="shared" si="64"/>
        <v>0</v>
      </c>
      <c r="AI62" s="61">
        <f t="shared" si="65"/>
        <v>0</v>
      </c>
      <c r="AJ62" s="61">
        <f t="shared" si="66"/>
        <v>0</v>
      </c>
      <c r="AK62"/>
      <c r="AL62" s="61">
        <f t="shared" si="67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1"/>
        <v>0</v>
      </c>
      <c r="AF63" s="61">
        <f t="shared" si="62"/>
        <v>0</v>
      </c>
      <c r="AG63" s="61">
        <f t="shared" si="63"/>
        <v>0</v>
      </c>
      <c r="AH63" s="61">
        <f t="shared" si="64"/>
        <v>0</v>
      </c>
      <c r="AI63" s="61">
        <f t="shared" si="65"/>
        <v>0</v>
      </c>
      <c r="AJ63" s="61">
        <f t="shared" si="66"/>
        <v>0</v>
      </c>
      <c r="AK63"/>
      <c r="AL63" s="61">
        <f t="shared" si="67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1"/>
        <v>0</v>
      </c>
      <c r="AF64" s="61">
        <f t="shared" si="62"/>
        <v>0</v>
      </c>
      <c r="AG64" s="61">
        <f t="shared" si="63"/>
        <v>0</v>
      </c>
      <c r="AH64" s="61">
        <f t="shared" si="64"/>
        <v>0</v>
      </c>
      <c r="AI64" s="61">
        <f t="shared" si="65"/>
        <v>0</v>
      </c>
      <c r="AJ64" s="61">
        <f t="shared" si="66"/>
        <v>0</v>
      </c>
      <c r="AK64"/>
      <c r="AL64" s="61">
        <f t="shared" si="67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1"/>
        <v>0</v>
      </c>
      <c r="AF65" s="61">
        <f t="shared" si="62"/>
        <v>0</v>
      </c>
      <c r="AG65" s="61">
        <f t="shared" si="63"/>
        <v>0</v>
      </c>
      <c r="AH65" s="61">
        <f t="shared" si="64"/>
        <v>0</v>
      </c>
      <c r="AI65" s="61">
        <f t="shared" si="65"/>
        <v>0</v>
      </c>
      <c r="AJ65" s="61">
        <f t="shared" si="66"/>
        <v>0</v>
      </c>
      <c r="AK65"/>
      <c r="AL65" s="61">
        <f t="shared" si="67"/>
        <v>0</v>
      </c>
      <c r="AN65" s="32"/>
      <c r="AT65" s="5"/>
      <c r="AU65" s="5"/>
      <c r="BS65"/>
      <c r="BU65" s="82"/>
    </row>
    <row r="66" spans="2:73" x14ac:dyDescent="0.25">
      <c r="B66" s="161" t="s">
        <v>468</v>
      </c>
      <c r="C66" s="161"/>
      <c r="D66" s="161"/>
      <c r="E66" s="161"/>
      <c r="F66" s="161"/>
      <c r="G66" s="162" t="s">
        <v>469</v>
      </c>
      <c r="H66" s="162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1"/>
        <v>0</v>
      </c>
      <c r="AF66" s="61">
        <f t="shared" si="62"/>
        <v>0</v>
      </c>
      <c r="AG66" s="61">
        <f t="shared" si="63"/>
        <v>0</v>
      </c>
      <c r="AH66" s="61">
        <f t="shared" si="64"/>
        <v>0</v>
      </c>
      <c r="AI66" s="61">
        <f t="shared" si="65"/>
        <v>0</v>
      </c>
      <c r="AJ66" s="61">
        <f t="shared" si="66"/>
        <v>0</v>
      </c>
      <c r="AK66"/>
      <c r="AL66" s="61">
        <f t="shared" si="67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1"/>
        <v>0</v>
      </c>
      <c r="AF67" s="61">
        <f t="shared" si="62"/>
        <v>0</v>
      </c>
      <c r="AG67" s="61">
        <f t="shared" si="63"/>
        <v>0</v>
      </c>
      <c r="AH67" s="61">
        <f t="shared" si="64"/>
        <v>0</v>
      </c>
      <c r="AI67" s="61">
        <f t="shared" si="65"/>
        <v>0</v>
      </c>
      <c r="AJ67" s="61">
        <f t="shared" si="66"/>
        <v>0</v>
      </c>
      <c r="AK67"/>
      <c r="AL67" s="61">
        <f t="shared" si="67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1"/>
        <v>0</v>
      </c>
      <c r="AF68" s="61">
        <f t="shared" si="62"/>
        <v>0</v>
      </c>
      <c r="AG68" s="61">
        <f t="shared" si="63"/>
        <v>0</v>
      </c>
      <c r="AH68" s="61">
        <f t="shared" si="64"/>
        <v>0</v>
      </c>
      <c r="AI68" s="61">
        <f t="shared" si="65"/>
        <v>0</v>
      </c>
      <c r="AJ68" s="61">
        <f t="shared" si="66"/>
        <v>0</v>
      </c>
      <c r="AK68"/>
      <c r="AL68" s="61">
        <f t="shared" si="67"/>
        <v>0</v>
      </c>
      <c r="AN68" s="32"/>
      <c r="AT68" s="5"/>
      <c r="AU68" s="5"/>
      <c r="BS68"/>
      <c r="BU68" s="82"/>
    </row>
    <row r="69" spans="2:73" x14ac:dyDescent="0.25">
      <c r="B69" s="163" t="s">
        <v>470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1"/>
        <v>0</v>
      </c>
      <c r="AF69" s="61">
        <f t="shared" si="62"/>
        <v>0</v>
      </c>
      <c r="AG69" s="61">
        <f t="shared" si="63"/>
        <v>0</v>
      </c>
      <c r="AH69" s="61">
        <f t="shared" si="64"/>
        <v>0</v>
      </c>
      <c r="AI69" s="61">
        <f t="shared" si="65"/>
        <v>0</v>
      </c>
      <c r="AJ69" s="61">
        <f t="shared" si="66"/>
        <v>0</v>
      </c>
      <c r="AK69"/>
      <c r="AL69" s="61">
        <f t="shared" si="67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1"/>
        <v>0</v>
      </c>
      <c r="AF70" s="61">
        <f t="shared" si="62"/>
        <v>0</v>
      </c>
      <c r="AG70" s="61">
        <f t="shared" si="63"/>
        <v>0</v>
      </c>
      <c r="AH70" s="61">
        <f t="shared" si="64"/>
        <v>0</v>
      </c>
      <c r="AI70" s="61">
        <f t="shared" si="65"/>
        <v>0</v>
      </c>
      <c r="AJ70" s="61">
        <f t="shared" si="66"/>
        <v>0</v>
      </c>
      <c r="AK70"/>
      <c r="AL70" s="61">
        <f t="shared" si="67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8" t="s">
        <v>415</v>
      </c>
      <c r="L71" s="63"/>
      <c r="AE71" s="75">
        <f t="shared" ref="AE71:AJ71" si="69">SUM(AE51:AE70)</f>
        <v>0</v>
      </c>
      <c r="AF71" s="75">
        <f t="shared" si="69"/>
        <v>0</v>
      </c>
      <c r="AG71" s="75">
        <f t="shared" si="69"/>
        <v>0</v>
      </c>
      <c r="AH71" s="75">
        <f t="shared" si="69"/>
        <v>0</v>
      </c>
      <c r="AI71" s="75">
        <f t="shared" si="69"/>
        <v>0</v>
      </c>
      <c r="AJ71" s="75">
        <f t="shared" si="69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11.8</v>
      </c>
      <c r="E72" s="61">
        <f t="shared" ref="E72:H72" si="70">AF27</f>
        <v>4.125</v>
      </c>
      <c r="F72" s="61">
        <f t="shared" si="70"/>
        <v>11.375</v>
      </c>
      <c r="G72" s="61">
        <f t="shared" si="70"/>
        <v>1.33</v>
      </c>
      <c r="H72" s="61">
        <f t="shared" si="70"/>
        <v>5.3250000000000002</v>
      </c>
      <c r="I72" s="61">
        <f t="shared" ref="I72" si="71">AJ75+AJ97+AJ119</f>
        <v>0</v>
      </c>
      <c r="J72" s="63"/>
      <c r="K72" s="61">
        <f>+K24</f>
        <v>115.83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12.081552325581395</v>
      </c>
      <c r="E73" s="61">
        <f>BR20</f>
        <v>4.0956046511627893</v>
      </c>
      <c r="F73" s="61">
        <f>BR21</f>
        <v>10.700275290697675</v>
      </c>
      <c r="G73" s="61">
        <f>BR22</f>
        <v>0</v>
      </c>
      <c r="H73" s="61">
        <f>BR23</f>
        <v>1.7244651162790696</v>
      </c>
      <c r="I73" s="61">
        <f>BR60</f>
        <v>0</v>
      </c>
      <c r="J73" s="63"/>
      <c r="K73" s="76">
        <f>+K25</f>
        <v>115.69999999999999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-0.28155232558139431</v>
      </c>
      <c r="E75" s="93">
        <f t="shared" ref="E75:I75" si="72">E72-E73</f>
        <v>2.9395348837210733E-2</v>
      </c>
      <c r="F75" s="93">
        <f t="shared" si="72"/>
        <v>0.67472470930232475</v>
      </c>
      <c r="G75" s="93">
        <f t="shared" si="72"/>
        <v>1.33</v>
      </c>
      <c r="H75" s="93">
        <f t="shared" si="72"/>
        <v>3.6005348837209308</v>
      </c>
      <c r="I75" s="93">
        <f t="shared" si="72"/>
        <v>0</v>
      </c>
      <c r="J75" s="63"/>
      <c r="K75" s="93">
        <f>+K27</f>
        <v>0.13000000000000966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10.25</v>
      </c>
      <c r="E82" s="61">
        <f t="shared" ref="E82:H82" si="73">AF49</f>
        <v>0</v>
      </c>
      <c r="F82" s="61">
        <f t="shared" si="73"/>
        <v>8.15</v>
      </c>
      <c r="G82" s="61">
        <f t="shared" si="73"/>
        <v>0.30000000000000004</v>
      </c>
      <c r="H82" s="61">
        <f t="shared" si="73"/>
        <v>6.25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9.6868779069767434</v>
      </c>
      <c r="E83" s="61">
        <f>BR28</f>
        <v>0</v>
      </c>
      <c r="F83" s="61">
        <f>BR29</f>
        <v>5.5750462209302327</v>
      </c>
      <c r="G83" s="61">
        <f>BR30</f>
        <v>0</v>
      </c>
      <c r="H83" s="61">
        <f>BR31</f>
        <v>7.6606046511627923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0.56312209302325655</v>
      </c>
      <c r="E85" s="93">
        <f t="shared" ref="E85:H85" si="74">E82-E83</f>
        <v>0</v>
      </c>
      <c r="F85" s="93">
        <f t="shared" si="74"/>
        <v>2.5749537790697676</v>
      </c>
      <c r="G85" s="93">
        <f t="shared" si="74"/>
        <v>0.30000000000000004</v>
      </c>
      <c r="H85" s="93">
        <f t="shared" si="74"/>
        <v>-1.4106046511627923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5">AF71</f>
        <v>0</v>
      </c>
      <c r="F92" s="61">
        <f t="shared" si="75"/>
        <v>0</v>
      </c>
      <c r="G92" s="61">
        <f t="shared" si="75"/>
        <v>0</v>
      </c>
      <c r="H92" s="61">
        <f t="shared" si="75"/>
        <v>0</v>
      </c>
      <c r="I92" s="61">
        <f t="shared" si="75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6">E92-E93</f>
        <v>0</v>
      </c>
      <c r="F95" s="93">
        <f t="shared" si="76"/>
        <v>0</v>
      </c>
      <c r="G95" s="93">
        <f t="shared" si="76"/>
        <v>0</v>
      </c>
      <c r="H95" s="93">
        <f t="shared" si="76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F17" sqref="F1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2" t="s">
        <v>1458</v>
      </c>
      <c r="B3" s="282" t="s">
        <v>1454</v>
      </c>
    </row>
    <row r="4" spans="1:5" x14ac:dyDescent="0.25">
      <c r="A4" s="282" t="s">
        <v>1457</v>
      </c>
      <c r="B4" t="s">
        <v>478</v>
      </c>
      <c r="C4" t="s">
        <v>447</v>
      </c>
      <c r="D4" t="s">
        <v>1455</v>
      </c>
      <c r="E4" t="s">
        <v>1456</v>
      </c>
    </row>
    <row r="5" spans="1:5" x14ac:dyDescent="0.25">
      <c r="A5" s="15">
        <v>47</v>
      </c>
      <c r="B5" s="283">
        <v>2.2000000000000002</v>
      </c>
      <c r="C5" s="283"/>
      <c r="D5" s="283"/>
      <c r="E5" s="283">
        <v>2.2000000000000002</v>
      </c>
    </row>
    <row r="6" spans="1:5" x14ac:dyDescent="0.25">
      <c r="A6" s="15">
        <v>277</v>
      </c>
      <c r="B6" s="283"/>
      <c r="C6" s="283">
        <v>3.6</v>
      </c>
      <c r="D6" s="283"/>
      <c r="E6" s="283">
        <v>3.6</v>
      </c>
    </row>
    <row r="7" spans="1:5" x14ac:dyDescent="0.25">
      <c r="A7" s="15">
        <v>279</v>
      </c>
      <c r="B7" s="283">
        <v>3</v>
      </c>
      <c r="C7" s="283">
        <v>1.3</v>
      </c>
      <c r="D7" s="283"/>
      <c r="E7" s="283">
        <v>4.3</v>
      </c>
    </row>
    <row r="8" spans="1:5" x14ac:dyDescent="0.25">
      <c r="A8" s="15">
        <v>281</v>
      </c>
      <c r="B8" s="283"/>
      <c r="C8" s="283">
        <v>4</v>
      </c>
      <c r="D8" s="283"/>
      <c r="E8" s="283">
        <v>4</v>
      </c>
    </row>
    <row r="9" spans="1:5" x14ac:dyDescent="0.25">
      <c r="A9" s="15">
        <v>282</v>
      </c>
      <c r="B9" s="283"/>
      <c r="C9" s="283">
        <v>1.7</v>
      </c>
      <c r="D9" s="283"/>
      <c r="E9" s="283">
        <v>1.7</v>
      </c>
    </row>
    <row r="10" spans="1:5" x14ac:dyDescent="0.25">
      <c r="A10" s="15">
        <v>284</v>
      </c>
      <c r="B10" s="283">
        <v>5.5</v>
      </c>
      <c r="C10" s="283"/>
      <c r="D10" s="283"/>
      <c r="E10" s="283">
        <v>5.5</v>
      </c>
    </row>
    <row r="11" spans="1:5" x14ac:dyDescent="0.25">
      <c r="A11" s="15" t="s">
        <v>1455</v>
      </c>
      <c r="B11" s="283"/>
      <c r="C11" s="283"/>
      <c r="D11" s="283"/>
      <c r="E11" s="283"/>
    </row>
    <row r="12" spans="1:5" x14ac:dyDescent="0.25">
      <c r="A12" s="15">
        <v>292</v>
      </c>
      <c r="B12" s="283"/>
      <c r="C12" s="283">
        <v>5</v>
      </c>
      <c r="D12" s="283"/>
      <c r="E12" s="283">
        <v>5</v>
      </c>
    </row>
    <row r="13" spans="1:5" x14ac:dyDescent="0.25">
      <c r="A13" s="15" t="s">
        <v>1456</v>
      </c>
      <c r="B13" s="283">
        <v>10.7</v>
      </c>
      <c r="C13" s="283">
        <v>15.6</v>
      </c>
      <c r="D13" s="283"/>
      <c r="E13" s="283">
        <v>26.3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opLeftCell="A14" workbookViewId="0">
      <selection activeCell="G29" sqref="G29"/>
    </sheetView>
  </sheetViews>
  <sheetFormatPr baseColWidth="10" defaultRowHeight="15" x14ac:dyDescent="0.25"/>
  <cols>
    <col min="5" max="5" width="16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75</v>
      </c>
      <c r="G1" s="7" t="s">
        <v>18</v>
      </c>
      <c r="H1" s="7" t="s">
        <v>1459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479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270">
        <v>281</v>
      </c>
      <c r="G2" s="9">
        <v>0.7</v>
      </c>
      <c r="H2" s="9"/>
      <c r="I2" s="9">
        <v>2</v>
      </c>
      <c r="J2" s="9">
        <v>0</v>
      </c>
      <c r="K2" s="8">
        <f>IF(B2=2,0,IF(I2=$Y$10,G2*$AB$10,IF(I2=$Y$11,G2*$AB$11,IF(I2=$Y$12,G2*$AB$12,""))))</f>
        <v>0.7</v>
      </c>
      <c r="L2" s="8">
        <f t="shared" ref="L2:L64" si="0">IF(J2=$Y$5,K2*$AA$5,IF(J2=$Y$6,K2*$AA$6,IF(J2=$Y$7,K2*$AA$7,"")))</f>
        <v>0.7</v>
      </c>
      <c r="M2" s="10">
        <f>IF(I2=$Y$10,SQRT(L2*10000),SQRT(Parcellaire!L2*10000)/$AC$11)</f>
        <v>59.16079783099616</v>
      </c>
      <c r="N2" s="10">
        <f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236.64319132398464</v>
      </c>
      <c r="U2" s="10">
        <f>IF(C2=2,Q2*M2,0)</f>
        <v>236.64319132398464</v>
      </c>
      <c r="V2" s="27">
        <f>O2*M2</f>
        <v>354.96478698597696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448</v>
      </c>
      <c r="F3" s="270">
        <v>292</v>
      </c>
      <c r="G3" s="9">
        <v>3.5</v>
      </c>
      <c r="H3" s="9"/>
      <c r="I3" s="9">
        <v>3</v>
      </c>
      <c r="J3" s="9">
        <v>0</v>
      </c>
      <c r="K3" s="8">
        <f t="shared" ref="K3:K22" si="1">IF(B3=2,0,IF(I3=$Y$10,G3*$AB$10,IF(I3=$Y$11,G3*$AB$11,IF(I3=$Y$12,G3*$AB$12,""))))</f>
        <v>3.8500000000000005</v>
      </c>
      <c r="L3" s="8">
        <f t="shared" ref="L3:L22" si="2">IF(J3=$Y$5,K3*$AA$5,IF(J3=$Y$6,K3*$AA$6,IF(J3=$Y$7,K3*$AA$7,"")))</f>
        <v>3.8500000000000005</v>
      </c>
      <c r="M3" s="10">
        <f>IF(I3=$Y$10,SQRT(L3*10000),SQRT(Parcellaire!L3*10000)/$AC$11)</f>
        <v>138.74436925511608</v>
      </c>
      <c r="N3" s="10">
        <f t="shared" ref="N3:N22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693.72184627558033</v>
      </c>
      <c r="U3" s="10">
        <f t="shared" ref="U3:U37" si="7">IF(C3=2,Q3*M3,0)</f>
        <v>277.48873851023217</v>
      </c>
      <c r="V3" s="27">
        <f t="shared" ref="V3:V37" si="8">O3*M3</f>
        <v>832.46621553069645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2</v>
      </c>
      <c r="F4" s="270">
        <v>281</v>
      </c>
      <c r="G4" s="9">
        <v>0.9</v>
      </c>
      <c r="H4" s="9"/>
      <c r="I4" s="9">
        <v>3</v>
      </c>
      <c r="J4" s="9">
        <v>0</v>
      </c>
      <c r="K4" s="8">
        <f t="shared" si="1"/>
        <v>0.9900000000000001</v>
      </c>
      <c r="L4" s="8">
        <f t="shared" si="2"/>
        <v>0.9900000000000001</v>
      </c>
      <c r="M4" s="10">
        <f>IF(I4=$Y$10,SQRT(L4*10000),SQRT(Parcellaire!L4*10000)/$AC$11)</f>
        <v>70.356236397351438</v>
      </c>
      <c r="N4" s="10">
        <f t="shared" si="3"/>
        <v>6</v>
      </c>
      <c r="O4" s="24">
        <v>6</v>
      </c>
      <c r="P4" s="26"/>
      <c r="Q4" s="155">
        <v>5</v>
      </c>
      <c r="R4" s="10">
        <f t="shared" si="4"/>
        <v>0</v>
      </c>
      <c r="S4" s="10">
        <f t="shared" si="5"/>
        <v>0</v>
      </c>
      <c r="T4" s="10">
        <f t="shared" si="6"/>
        <v>246.24682739073003</v>
      </c>
      <c r="U4" s="10">
        <f>IF(C4=2,Q4*M4,0)</f>
        <v>351.78118198675719</v>
      </c>
      <c r="V4" s="27">
        <f t="shared" si="8"/>
        <v>422.13741838410863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0">
        <v>281</v>
      </c>
      <c r="G5" s="9">
        <v>0.3</v>
      </c>
      <c r="H5" s="9"/>
      <c r="I5" s="9">
        <v>2</v>
      </c>
      <c r="J5" s="9">
        <v>0</v>
      </c>
      <c r="K5" s="8">
        <f t="shared" si="1"/>
        <v>0.3</v>
      </c>
      <c r="L5" s="8">
        <f t="shared" si="2"/>
        <v>0.3</v>
      </c>
      <c r="M5" s="10">
        <f>IF(I5=$Y$10,SQRT(L5*10000),SQRT(Parcellaire!L5*10000)/$AC$11)</f>
        <v>38.729833462074168</v>
      </c>
      <c r="N5" s="10">
        <f t="shared" si="3"/>
        <v>6</v>
      </c>
      <c r="O5" s="24">
        <v>6</v>
      </c>
      <c r="P5" s="26"/>
      <c r="Q5" s="155">
        <v>5</v>
      </c>
      <c r="R5" s="10">
        <f t="shared" si="4"/>
        <v>0</v>
      </c>
      <c r="S5" s="10">
        <f t="shared" si="5"/>
        <v>0</v>
      </c>
      <c r="T5" s="10">
        <f t="shared" si="6"/>
        <v>135.55441711725959</v>
      </c>
      <c r="U5" s="10">
        <f t="shared" si="7"/>
        <v>193.64916731037084</v>
      </c>
      <c r="V5" s="27">
        <f t="shared" si="8"/>
        <v>232.37900077244501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447</v>
      </c>
      <c r="E6" s="9">
        <v>2</v>
      </c>
      <c r="F6" s="270">
        <v>281</v>
      </c>
      <c r="G6" s="9">
        <v>1</v>
      </c>
      <c r="H6" s="9"/>
      <c r="I6" s="9">
        <v>2</v>
      </c>
      <c r="J6" s="9">
        <v>0</v>
      </c>
      <c r="K6" s="8">
        <f t="shared" si="1"/>
        <v>1</v>
      </c>
      <c r="L6" s="8">
        <f t="shared" si="2"/>
        <v>1</v>
      </c>
      <c r="M6" s="10">
        <f>IF(I6=$Y$10,SQRT(L6*10000),SQRT(Parcellaire!L6*10000)/$AC$11)</f>
        <v>70.710678118654741</v>
      </c>
      <c r="N6" s="10">
        <f t="shared" si="3"/>
        <v>6</v>
      </c>
      <c r="O6" s="24">
        <v>6</v>
      </c>
      <c r="P6" s="26"/>
      <c r="Q6" s="155">
        <v>3</v>
      </c>
      <c r="R6" s="10">
        <f t="shared" si="4"/>
        <v>0</v>
      </c>
      <c r="S6" s="10">
        <f t="shared" si="5"/>
        <v>0</v>
      </c>
      <c r="T6" s="10">
        <f t="shared" si="6"/>
        <v>318.19805153394634</v>
      </c>
      <c r="U6" s="10">
        <f t="shared" si="7"/>
        <v>212.13203435596421</v>
      </c>
      <c r="V6" s="27">
        <f t="shared" si="8"/>
        <v>424.26406871192842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478</v>
      </c>
      <c r="E7" s="9" t="s">
        <v>343</v>
      </c>
      <c r="F7" s="9">
        <v>47</v>
      </c>
      <c r="G7" s="9">
        <v>2.2000000000000002</v>
      </c>
      <c r="H7" s="9"/>
      <c r="I7" s="9">
        <v>3</v>
      </c>
      <c r="J7" s="9">
        <v>1</v>
      </c>
      <c r="K7" s="8">
        <f t="shared" si="1"/>
        <v>2.4200000000000004</v>
      </c>
      <c r="L7" s="8">
        <f t="shared" si="2"/>
        <v>2.9040000000000004</v>
      </c>
      <c r="M7" s="10">
        <f>IF(I7=$Y$10,SQRT(L7*10000),SQRT(Parcellaire!L7*10000)/$AC$11)</f>
        <v>120.49896265113654</v>
      </c>
      <c r="N7" s="10">
        <f t="shared" si="3"/>
        <v>6</v>
      </c>
      <c r="O7" s="24">
        <v>6</v>
      </c>
      <c r="P7" s="26"/>
      <c r="Q7" s="155">
        <v>6</v>
      </c>
      <c r="R7" s="10">
        <f>IF(C7=1,O7*M7,0)</f>
        <v>0</v>
      </c>
      <c r="S7" s="10">
        <f t="shared" si="5"/>
        <v>0</v>
      </c>
      <c r="T7" s="10">
        <f t="shared" si="6"/>
        <v>361.49688795340961</v>
      </c>
      <c r="U7" s="10">
        <f t="shared" si="7"/>
        <v>722.99377590681922</v>
      </c>
      <c r="V7" s="27">
        <f t="shared" si="8"/>
        <v>722.99377590681922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478</v>
      </c>
      <c r="E8" s="9">
        <v>2</v>
      </c>
      <c r="F8" s="270">
        <v>284</v>
      </c>
      <c r="G8" s="9">
        <v>6.5</v>
      </c>
      <c r="H8" s="9">
        <v>3</v>
      </c>
      <c r="I8" s="9">
        <v>3</v>
      </c>
      <c r="J8" s="9">
        <v>0.5</v>
      </c>
      <c r="K8" s="8">
        <f t="shared" si="1"/>
        <v>7.15</v>
      </c>
      <c r="L8" s="8">
        <f t="shared" si="2"/>
        <v>7.8650000000000011</v>
      </c>
      <c r="M8" s="10">
        <f>IF(I8=$Y$10,SQRT(L8*10000),SQRT(Parcellaire!L8*10000)/$AC$11)</f>
        <v>198.30532015051941</v>
      </c>
      <c r="N8" s="10">
        <f t="shared" si="3"/>
        <v>6</v>
      </c>
      <c r="O8" s="24">
        <v>6</v>
      </c>
      <c r="P8" s="26"/>
      <c r="Q8" s="155">
        <v>1</v>
      </c>
      <c r="R8" s="10">
        <f t="shared" si="4"/>
        <v>0</v>
      </c>
      <c r="S8" s="10">
        <f t="shared" si="5"/>
        <v>0</v>
      </c>
      <c r="T8" s="10">
        <f t="shared" si="6"/>
        <v>1090.6792608278568</v>
      </c>
      <c r="U8" s="10">
        <f t="shared" si="7"/>
        <v>198.30532015051941</v>
      </c>
      <c r="V8" s="27">
        <f t="shared" si="8"/>
        <v>1189.8319209031165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478</v>
      </c>
      <c r="E9" s="9">
        <v>2</v>
      </c>
      <c r="F9" s="270">
        <v>284</v>
      </c>
      <c r="G9" s="9"/>
      <c r="H9" s="9">
        <v>2.5</v>
      </c>
      <c r="I9" s="9">
        <v>2</v>
      </c>
      <c r="J9" s="9">
        <v>0.5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f t="shared" ref="Q9:Q63" si="9">O9-P9</f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478</v>
      </c>
      <c r="E10" s="9" t="s">
        <v>448</v>
      </c>
      <c r="F10" s="270">
        <v>279</v>
      </c>
      <c r="G10" s="9"/>
      <c r="H10" s="9">
        <v>1</v>
      </c>
      <c r="I10" s="9">
        <v>3</v>
      </c>
      <c r="J10" s="9">
        <v>0.5</v>
      </c>
      <c r="K10" s="8">
        <f t="shared" si="1"/>
        <v>0</v>
      </c>
      <c r="L10" s="8">
        <f t="shared" si="2"/>
        <v>0</v>
      </c>
      <c r="M10" s="10">
        <f>IF(I10=$Y$10,SQRT(L10*10000),SQRT(Parcellaire!L10*10000)/$AC$11)</f>
        <v>0</v>
      </c>
      <c r="N10" s="10">
        <f t="shared" si="3"/>
        <v>6</v>
      </c>
      <c r="O10" s="24">
        <v>0</v>
      </c>
      <c r="P10" s="26"/>
      <c r="Q10" s="155">
        <f t="shared" si="9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10">
        <f t="shared" si="7"/>
        <v>0</v>
      </c>
      <c r="V10" s="27">
        <f t="shared" si="8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/>
      <c r="C11" s="9"/>
      <c r="D11" s="9"/>
      <c r="E11" s="9"/>
      <c r="F11" s="270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0</v>
      </c>
      <c r="P11" s="26"/>
      <c r="Q11" s="155">
        <f t="shared" si="9"/>
        <v>0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0</v>
      </c>
      <c r="D12" s="9" t="s">
        <v>447</v>
      </c>
      <c r="E12" s="9">
        <v>2</v>
      </c>
      <c r="F12" s="270">
        <v>279</v>
      </c>
      <c r="G12" s="9">
        <v>1.3</v>
      </c>
      <c r="H12" s="9"/>
      <c r="I12" s="9">
        <v>3</v>
      </c>
      <c r="J12" s="9">
        <v>0</v>
      </c>
      <c r="K12" s="8">
        <f t="shared" si="1"/>
        <v>1.4300000000000002</v>
      </c>
      <c r="L12" s="8">
        <f t="shared" si="2"/>
        <v>1.4300000000000002</v>
      </c>
      <c r="M12" s="10">
        <f>IF(I12=$Y$10,SQRT(L12*10000),SQRT(Parcellaire!L12*10000)/$AC$11)</f>
        <v>84.557672626438816</v>
      </c>
      <c r="N12" s="10">
        <f t="shared" si="3"/>
        <v>6</v>
      </c>
      <c r="O12" s="24">
        <v>0</v>
      </c>
      <c r="P12" s="26"/>
      <c r="Q12" s="155">
        <f t="shared" si="9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447</v>
      </c>
      <c r="E13" s="9">
        <v>2</v>
      </c>
      <c r="F13" s="270">
        <v>277</v>
      </c>
      <c r="G13" s="9">
        <v>3.6</v>
      </c>
      <c r="H13" s="9"/>
      <c r="I13" s="9">
        <v>3</v>
      </c>
      <c r="J13" s="9">
        <v>0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1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478</v>
      </c>
      <c r="E14" s="9">
        <v>2</v>
      </c>
      <c r="F14" s="270">
        <v>279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2</v>
      </c>
      <c r="R14" s="10">
        <f t="shared" si="4"/>
        <v>0</v>
      </c>
      <c r="S14" s="10">
        <f t="shared" si="5"/>
        <v>0</v>
      </c>
      <c r="T14" s="10">
        <f t="shared" si="6"/>
        <v>370.80992435478311</v>
      </c>
      <c r="U14" s="10">
        <f t="shared" si="7"/>
        <v>148.32396974191326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14</v>
      </c>
      <c r="B15" s="9"/>
      <c r="C15" s="9"/>
      <c r="D15" s="9"/>
      <c r="E15" s="9"/>
      <c r="F15" s="270"/>
      <c r="G15" s="9"/>
      <c r="H15" s="9"/>
      <c r="I15" s="9"/>
      <c r="J15" s="9"/>
      <c r="K15" s="8" t="str">
        <f t="shared" si="1"/>
        <v/>
      </c>
      <c r="L15" s="8" t="e">
        <f t="shared" si="2"/>
        <v>#VALUE!</v>
      </c>
      <c r="M15" s="10" t="e">
        <f>IF(I15=$Y$10,SQRT(L15*10000),SQRT(Parcellaire!L15*10000)/$AC$11)</f>
        <v>#VALUE!</v>
      </c>
      <c r="N15" s="10">
        <f t="shared" si="3"/>
        <v>6</v>
      </c>
      <c r="O15" s="24">
        <v>6</v>
      </c>
      <c r="P15" s="26"/>
      <c r="Q15" s="155">
        <v>4</v>
      </c>
      <c r="R15" s="10">
        <f t="shared" si="4"/>
        <v>0</v>
      </c>
      <c r="S15" s="10">
        <f t="shared" si="5"/>
        <v>0</v>
      </c>
      <c r="T15" s="10" t="e">
        <f t="shared" si="6"/>
        <v>#VALUE!</v>
      </c>
      <c r="U15" s="10">
        <f t="shared" si="7"/>
        <v>0</v>
      </c>
      <c r="V15" s="27" t="e">
        <f t="shared" si="8"/>
        <v>#VALUE!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/>
      <c r="C16" s="9"/>
      <c r="D16" s="9"/>
      <c r="E16" s="9"/>
      <c r="F16" s="270"/>
      <c r="G16" s="270"/>
      <c r="H16" s="270"/>
      <c r="I16" s="9"/>
      <c r="J16" s="9"/>
      <c r="K16" s="8" t="str">
        <f t="shared" si="1"/>
        <v/>
      </c>
      <c r="L16" s="8" t="e">
        <f t="shared" si="2"/>
        <v>#VALUE!</v>
      </c>
      <c r="M16" s="10" t="e">
        <f>IF(I16=$Y$10,SQRT(L16*10000),SQRT(Parcellaire!L16*10000)/$AC$11)</f>
        <v>#VALUE!</v>
      </c>
      <c r="N16" s="10">
        <f t="shared" si="3"/>
        <v>6</v>
      </c>
      <c r="O16" s="24">
        <v>4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 t="e">
        <f t="shared" si="6"/>
        <v>#VALUE!</v>
      </c>
      <c r="U16" s="10">
        <f t="shared" si="7"/>
        <v>0</v>
      </c>
      <c r="V16" s="27" t="e">
        <f t="shared" si="8"/>
        <v>#VALUE!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2</v>
      </c>
      <c r="F17" s="270">
        <v>292</v>
      </c>
      <c r="G17" s="9">
        <v>1.5</v>
      </c>
      <c r="H17" s="9"/>
      <c r="I17" s="9">
        <v>3</v>
      </c>
      <c r="J17" s="9">
        <v>0</v>
      </c>
      <c r="K17" s="8">
        <f t="shared" si="1"/>
        <v>1.6500000000000001</v>
      </c>
      <c r="L17" s="8">
        <f t="shared" si="2"/>
        <v>1.6500000000000001</v>
      </c>
      <c r="M17" s="10">
        <f>IF(I17=$Y$10,SQRT(L17*10000),SQRT(Parcellaire!L17*10000)/$AC$11)</f>
        <v>90.829510622924758</v>
      </c>
      <c r="N17" s="10">
        <f t="shared" si="3"/>
        <v>6</v>
      </c>
      <c r="O17" s="24">
        <v>6</v>
      </c>
      <c r="P17" s="26"/>
      <c r="Q17" s="155">
        <v>4</v>
      </c>
      <c r="R17" s="10">
        <f t="shared" si="4"/>
        <v>0</v>
      </c>
      <c r="S17" s="10">
        <f t="shared" si="5"/>
        <v>0</v>
      </c>
      <c r="T17" s="10">
        <f t="shared" si="6"/>
        <v>363.31804249169898</v>
      </c>
      <c r="U17" s="10">
        <f t="shared" si="7"/>
        <v>363.31804249169903</v>
      </c>
      <c r="V17" s="27">
        <f t="shared" si="8"/>
        <v>544.97706373754852</v>
      </c>
      <c r="W17" s="3"/>
      <c r="X17" s="3"/>
      <c r="Y17" s="8">
        <v>2</v>
      </c>
      <c r="Z17" s="138" t="s">
        <v>335</v>
      </c>
      <c r="AA17" s="136">
        <f>T64</f>
        <v>5360.9104112872601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448</v>
      </c>
      <c r="F18" s="270">
        <v>282</v>
      </c>
      <c r="G18" s="9">
        <v>1.7</v>
      </c>
      <c r="H18" s="9"/>
      <c r="I18" s="9">
        <v>3</v>
      </c>
      <c r="J18" s="9">
        <v>0.5</v>
      </c>
      <c r="K18" s="8">
        <f t="shared" si="1"/>
        <v>1.87</v>
      </c>
      <c r="L18" s="8">
        <f t="shared" si="2"/>
        <v>2.0570000000000004</v>
      </c>
      <c r="M18" s="10">
        <f>IF(I18=$Y$10,SQRT(L18*10000),SQRT(Parcellaire!L18*10000)/$AC$11)</f>
        <v>101.41498903022176</v>
      </c>
      <c r="N18" s="10">
        <f t="shared" si="3"/>
        <v>6</v>
      </c>
      <c r="O18" s="24">
        <v>6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608.48993418133057</v>
      </c>
      <c r="U18" s="10">
        <f t="shared" si="7"/>
        <v>0</v>
      </c>
      <c r="V18" s="27">
        <f t="shared" si="8"/>
        <v>608.48993418133057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478</v>
      </c>
      <c r="E19" s="9">
        <v>2</v>
      </c>
      <c r="F19" s="270">
        <v>279</v>
      </c>
      <c r="G19" s="9">
        <v>1</v>
      </c>
      <c r="H19" s="9"/>
      <c r="I19" s="9">
        <v>2</v>
      </c>
      <c r="J19" s="9">
        <v>0</v>
      </c>
      <c r="K19" s="8">
        <f t="shared" si="1"/>
        <v>1</v>
      </c>
      <c r="L19" s="8">
        <f t="shared" si="2"/>
        <v>1</v>
      </c>
      <c r="M19" s="10">
        <f>IF(I19=$Y$10,SQRT(L19*10000),SQRT(Parcellaire!L19*10000)/$AC$11)</f>
        <v>70.710678118654741</v>
      </c>
      <c r="N19" s="10">
        <f t="shared" si="3"/>
        <v>6</v>
      </c>
      <c r="O19" s="24">
        <v>6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424.26406871192842</v>
      </c>
      <c r="U19" s="10">
        <f t="shared" si="7"/>
        <v>0</v>
      </c>
      <c r="V19" s="27">
        <f t="shared" si="8"/>
        <v>424.26406871192842</v>
      </c>
      <c r="W19" s="3"/>
      <c r="X19" s="3"/>
      <c r="Z19" s="20"/>
      <c r="AA19" s="136">
        <f>AA17+AA18</f>
        <v>5360.9104112872601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>
        <v>2</v>
      </c>
      <c r="F20" s="270">
        <v>281</v>
      </c>
      <c r="G20" s="9">
        <v>0.4</v>
      </c>
      <c r="H20" s="9"/>
      <c r="I20" s="9">
        <v>2</v>
      </c>
      <c r="J20" s="9">
        <v>0</v>
      </c>
      <c r="K20" s="8">
        <f t="shared" si="1"/>
        <v>0.4</v>
      </c>
      <c r="L20" s="8">
        <f t="shared" si="2"/>
        <v>0.4</v>
      </c>
      <c r="M20" s="10">
        <f>IF(I20=$Y$10,SQRT(L20*10000),SQRT(Parcellaire!L20*10000)/$AC$11)</f>
        <v>44.721359549995789</v>
      </c>
      <c r="N20" s="10">
        <f t="shared" si="3"/>
        <v>6</v>
      </c>
      <c r="O20" s="24">
        <v>6</v>
      </c>
      <c r="P20" s="26"/>
      <c r="Q20" s="166">
        <v>3</v>
      </c>
      <c r="R20" s="10">
        <f t="shared" si="4"/>
        <v>0</v>
      </c>
      <c r="S20" s="10">
        <f t="shared" si="5"/>
        <v>0</v>
      </c>
      <c r="T20" s="10">
        <f t="shared" si="6"/>
        <v>201.24611797498108</v>
      </c>
      <c r="U20" s="10">
        <f t="shared" si="7"/>
        <v>134.16407864998737</v>
      </c>
      <c r="V20" s="27">
        <f t="shared" si="8"/>
        <v>268.32815729997475</v>
      </c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447</v>
      </c>
      <c r="E21" s="9" t="s">
        <v>437</v>
      </c>
      <c r="F21" s="9">
        <v>281</v>
      </c>
      <c r="G21" s="9">
        <v>0.7</v>
      </c>
      <c r="H21" s="9"/>
      <c r="I21" s="9">
        <v>3</v>
      </c>
      <c r="J21" s="9">
        <v>0</v>
      </c>
      <c r="K21" s="8">
        <f t="shared" si="1"/>
        <v>0.77</v>
      </c>
      <c r="L21" s="8">
        <f t="shared" si="2"/>
        <v>0.77</v>
      </c>
      <c r="M21" s="10">
        <f>IF(I21=$Y$10,SQRT(L21*10000),SQRT(Parcellaire!L21*10000)/$AC$11)</f>
        <v>62.048368229954278</v>
      </c>
      <c r="N21" s="10">
        <f t="shared" si="3"/>
        <v>6</v>
      </c>
      <c r="O21" s="24">
        <v>6</v>
      </c>
      <c r="P21" s="26"/>
      <c r="Q21" s="155">
        <v>2</v>
      </c>
      <c r="R21" s="10">
        <f t="shared" si="4"/>
        <v>0</v>
      </c>
      <c r="S21" s="10">
        <f t="shared" si="5"/>
        <v>0</v>
      </c>
      <c r="T21" s="10">
        <f t="shared" si="6"/>
        <v>310.24184114977135</v>
      </c>
      <c r="U21" s="10">
        <f t="shared" si="7"/>
        <v>124.09673645990856</v>
      </c>
      <c r="V21" s="27">
        <f t="shared" si="8"/>
        <v>372.29020937972564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"/>
        <v/>
      </c>
      <c r="L22" s="8" t="e">
        <f t="shared" si="2"/>
        <v>#VALUE!</v>
      </c>
      <c r="M22" s="10" t="e">
        <f>IF(I22=$Y$10,SQRT(L22*10000),SQRT(Parcellaire!L22*10000)/$AC$11)</f>
        <v>#VALUE!</v>
      </c>
      <c r="N22" s="10">
        <f t="shared" si="3"/>
        <v>6</v>
      </c>
      <c r="O22" s="24"/>
      <c r="P22" s="26"/>
      <c r="Q22" s="155">
        <f t="shared" si="9"/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ref="K23:K25" si="10">IF(I23=$Y$10,G23*$AB$10,IF(I23=$Y$11,G23*$AB$11,IF(I23=$Y$12,G23*$AB$12,"")))</f>
        <v/>
      </c>
      <c r="L23" s="8" t="e">
        <f t="shared" ref="L23:L25" si="11">IF(J23=$Y$5,K23*$AA$5,IF(J23=$Y$6,K23*$AA$6,IF(J23=$Y$7,K23*$AA$7,"")))</f>
        <v>#VALUE!</v>
      </c>
      <c r="M23" s="10" t="e">
        <f>IF(I23=$Y$10,SQRT(L23*10000),SQRT(Parcellaire!L23*10000)/$AC$11)</f>
        <v>#VALUE!</v>
      </c>
      <c r="N23" s="10">
        <f t="shared" ref="N23:N25" si="12">IF(I23=1,4,6)</f>
        <v>6</v>
      </c>
      <c r="O23" s="24"/>
      <c r="P23" s="26"/>
      <c r="Q23" s="155">
        <f t="shared" si="9"/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si="9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480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0"/>
        <v/>
      </c>
      <c r="L25" s="8" t="e">
        <f t="shared" si="11"/>
        <v>#VALUE!</v>
      </c>
      <c r="M25" s="10" t="e">
        <f>IF(I25=$Y$10,SQRT(L25*10000),SQRT(Parcellaire!L25*10000)/$AC$11)</f>
        <v>#VALUE!</v>
      </c>
      <c r="N25" s="10">
        <f t="shared" si="12"/>
        <v>6</v>
      </c>
      <c r="O25" s="24"/>
      <c r="P25" s="26"/>
      <c r="Q25" s="155">
        <f t="shared" si="9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481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ref="K26:K37" si="13">IF(I26=$Y$10,G26*$AB$10,IF(I26=$Y$11,G26*$AB$11,IF(I26=$Y$12,G26*$AB$12,"")))</f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ref="N26:N37" si="14">IF(I26=1,4,6)</f>
        <v>6</v>
      </c>
      <c r="O26" s="24"/>
      <c r="P26" s="26"/>
      <c r="Q26" s="155">
        <f t="shared" si="9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3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9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3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9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3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9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3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9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3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9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3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9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3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9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3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9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3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9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3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9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3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9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5">IF(I38=$Y$10,G38*$AB$10,IF(I38=$Y$11,G38*$AB$11,IF(I38=$Y$12,G38*$AB$12,"")))</f>
        <v/>
      </c>
      <c r="L38" s="8" t="e">
        <f t="shared" si="0"/>
        <v>#VALUE!</v>
      </c>
      <c r="M38" s="10" t="e">
        <f>IF(I38=$Y$10,SQRT(L38*10000),SQRT(Parcellaire!L38*10000)/$AC$11)</f>
        <v>#VALUE!</v>
      </c>
      <c r="N38" s="10">
        <f t="shared" ref="N38:N57" si="16">IF(I38=1,4,6)</f>
        <v>6</v>
      </c>
      <c r="O38" s="24"/>
      <c r="P38" s="26"/>
      <c r="Q38" s="155">
        <f t="shared" si="9"/>
        <v>0</v>
      </c>
      <c r="R38" s="10">
        <f t="shared" ref="R38:R57" si="17">IF(C38=1,O38*M38,0)</f>
        <v>0</v>
      </c>
      <c r="S38" s="10">
        <f t="shared" ref="S38:S57" si="18">IF(C38=1,P38*M38,0)</f>
        <v>0</v>
      </c>
      <c r="T38" s="10" t="e">
        <f t="shared" si="6"/>
        <v>#VALUE!</v>
      </c>
      <c r="U38" s="10">
        <f t="shared" ref="U38:U57" si="19">IF(C38=2,Q38*M38,0)</f>
        <v>0</v>
      </c>
      <c r="V38" s="27" t="e">
        <f t="shared" ref="V38:V57" si="20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5"/>
        <v/>
      </c>
      <c r="L39" s="8" t="e">
        <f t="shared" si="0"/>
        <v>#VALUE!</v>
      </c>
      <c r="M39" s="10" t="e">
        <f>IF(I39=$Y$10,SQRT(L39*10000),SQRT(Parcellaire!L39*10000)/$AC$11)</f>
        <v>#VALUE!</v>
      </c>
      <c r="N39" s="10">
        <f t="shared" si="16"/>
        <v>6</v>
      </c>
      <c r="O39" s="24"/>
      <c r="P39" s="26"/>
      <c r="Q39" s="155">
        <f t="shared" si="9"/>
        <v>0</v>
      </c>
      <c r="R39" s="10">
        <f t="shared" si="17"/>
        <v>0</v>
      </c>
      <c r="S39" s="10">
        <f t="shared" si="18"/>
        <v>0</v>
      </c>
      <c r="T39" s="10" t="e">
        <f t="shared" si="6"/>
        <v>#VALUE!</v>
      </c>
      <c r="U39" s="10">
        <f t="shared" si="19"/>
        <v>0</v>
      </c>
      <c r="V39" s="27" t="e">
        <f t="shared" si="20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5"/>
        <v/>
      </c>
      <c r="L40" s="8" t="e">
        <f t="shared" si="0"/>
        <v>#VALUE!</v>
      </c>
      <c r="M40" s="10" t="e">
        <f>IF(I40=$Y$10,SQRT(L40*10000),SQRT(Parcellaire!L40*10000)/$AC$11)</f>
        <v>#VALUE!</v>
      </c>
      <c r="N40" s="10">
        <f t="shared" si="16"/>
        <v>6</v>
      </c>
      <c r="O40" s="24"/>
      <c r="P40" s="26"/>
      <c r="Q40" s="155">
        <f t="shared" si="9"/>
        <v>0</v>
      </c>
      <c r="R40" s="10">
        <f t="shared" si="17"/>
        <v>0</v>
      </c>
      <c r="S40" s="10">
        <f t="shared" si="18"/>
        <v>0</v>
      </c>
      <c r="T40" s="10" t="e">
        <f t="shared" si="6"/>
        <v>#VALUE!</v>
      </c>
      <c r="U40" s="10">
        <f t="shared" si="19"/>
        <v>0</v>
      </c>
      <c r="V40" s="27" t="e">
        <f t="shared" si="20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5"/>
        <v/>
      </c>
      <c r="L41" s="8" t="e">
        <f t="shared" si="0"/>
        <v>#VALUE!</v>
      </c>
      <c r="M41" s="10" t="e">
        <f>IF(I41=$Y$10,SQRT(L41*10000),SQRT(Parcellaire!L41*10000)/$AC$11)</f>
        <v>#VALUE!</v>
      </c>
      <c r="N41" s="10">
        <f t="shared" si="16"/>
        <v>6</v>
      </c>
      <c r="O41" s="24"/>
      <c r="P41" s="26"/>
      <c r="Q41" s="155">
        <f t="shared" si="9"/>
        <v>0</v>
      </c>
      <c r="R41" s="10">
        <f t="shared" si="17"/>
        <v>0</v>
      </c>
      <c r="S41" s="10">
        <f t="shared" si="18"/>
        <v>0</v>
      </c>
      <c r="T41" s="10" t="e">
        <f t="shared" si="6"/>
        <v>#VALUE!</v>
      </c>
      <c r="U41" s="10">
        <f t="shared" si="19"/>
        <v>0</v>
      </c>
      <c r="V41" s="27" t="e">
        <f t="shared" si="20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5"/>
        <v/>
      </c>
      <c r="L42" s="8" t="e">
        <f t="shared" si="0"/>
        <v>#VALUE!</v>
      </c>
      <c r="M42" s="10" t="e">
        <f>IF(I42=$Y$10,SQRT(L42*10000),SQRT(Parcellaire!L42*10000)/$AC$11)</f>
        <v>#VALUE!</v>
      </c>
      <c r="N42" s="10">
        <f t="shared" si="16"/>
        <v>6</v>
      </c>
      <c r="O42" s="24"/>
      <c r="P42" s="26"/>
      <c r="Q42" s="155">
        <f t="shared" si="9"/>
        <v>0</v>
      </c>
      <c r="R42" s="10">
        <f t="shared" si="17"/>
        <v>0</v>
      </c>
      <c r="S42" s="10">
        <f t="shared" si="18"/>
        <v>0</v>
      </c>
      <c r="T42" s="10" t="e">
        <f t="shared" si="6"/>
        <v>#VALUE!</v>
      </c>
      <c r="U42" s="10">
        <f t="shared" si="19"/>
        <v>0</v>
      </c>
      <c r="V42" s="27" t="e">
        <f t="shared" si="20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5"/>
        <v/>
      </c>
      <c r="L43" s="8" t="e">
        <f t="shared" si="0"/>
        <v>#VALUE!</v>
      </c>
      <c r="M43" s="10" t="e">
        <f>IF(I43=$Y$10,SQRT(L43*10000),SQRT(Parcellaire!L43*10000)/$AC$11)</f>
        <v>#VALUE!</v>
      </c>
      <c r="N43" s="10">
        <f t="shared" si="16"/>
        <v>6</v>
      </c>
      <c r="O43" s="24"/>
      <c r="P43" s="26"/>
      <c r="Q43" s="155">
        <f t="shared" si="9"/>
        <v>0</v>
      </c>
      <c r="R43" s="10">
        <f t="shared" si="17"/>
        <v>0</v>
      </c>
      <c r="S43" s="10">
        <f t="shared" si="18"/>
        <v>0</v>
      </c>
      <c r="T43" s="10" t="e">
        <f t="shared" si="6"/>
        <v>#VALUE!</v>
      </c>
      <c r="U43" s="10">
        <f t="shared" si="19"/>
        <v>0</v>
      </c>
      <c r="V43" s="27" t="e">
        <f t="shared" si="20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5"/>
        <v/>
      </c>
      <c r="L44" s="8" t="e">
        <f t="shared" si="0"/>
        <v>#VALUE!</v>
      </c>
      <c r="M44" s="10" t="e">
        <f>IF(I44=$Y$10,SQRT(L44*10000),SQRT(Parcellaire!L44*10000)/$AC$11)</f>
        <v>#VALUE!</v>
      </c>
      <c r="N44" s="10">
        <f t="shared" si="16"/>
        <v>6</v>
      </c>
      <c r="O44" s="24"/>
      <c r="P44" s="26"/>
      <c r="Q44" s="155">
        <f t="shared" si="9"/>
        <v>0</v>
      </c>
      <c r="R44" s="10">
        <f t="shared" si="17"/>
        <v>0</v>
      </c>
      <c r="S44" s="10">
        <f t="shared" si="18"/>
        <v>0</v>
      </c>
      <c r="T44" s="10" t="e">
        <f t="shared" si="6"/>
        <v>#VALUE!</v>
      </c>
      <c r="U44" s="10">
        <f t="shared" si="19"/>
        <v>0</v>
      </c>
      <c r="V44" s="27" t="e">
        <f t="shared" si="20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5"/>
        <v/>
      </c>
      <c r="L45" s="8" t="e">
        <f t="shared" si="0"/>
        <v>#VALUE!</v>
      </c>
      <c r="M45" s="10" t="e">
        <f>IF(I45=$Y$10,SQRT(L45*10000),SQRT(Parcellaire!L45*10000)/$AC$11)</f>
        <v>#VALUE!</v>
      </c>
      <c r="N45" s="10">
        <f t="shared" si="16"/>
        <v>6</v>
      </c>
      <c r="O45" s="24"/>
      <c r="P45" s="26"/>
      <c r="Q45" s="155">
        <f t="shared" si="9"/>
        <v>0</v>
      </c>
      <c r="R45" s="10">
        <f t="shared" si="17"/>
        <v>0</v>
      </c>
      <c r="S45" s="10">
        <f t="shared" si="18"/>
        <v>0</v>
      </c>
      <c r="T45" s="10" t="e">
        <f t="shared" si="6"/>
        <v>#VALUE!</v>
      </c>
      <c r="U45" s="10">
        <f t="shared" si="19"/>
        <v>0</v>
      </c>
      <c r="V45" s="27" t="e">
        <f t="shared" si="20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5"/>
        <v/>
      </c>
      <c r="L46" s="8" t="e">
        <f t="shared" si="0"/>
        <v>#VALUE!</v>
      </c>
      <c r="M46" s="10" t="e">
        <f>IF(I46=$Y$10,SQRT(L46*10000),SQRT(Parcellaire!L46*10000)/$AC$11)</f>
        <v>#VALUE!</v>
      </c>
      <c r="N46" s="10">
        <f t="shared" si="16"/>
        <v>6</v>
      </c>
      <c r="O46" s="24"/>
      <c r="P46" s="26"/>
      <c r="Q46" s="155">
        <f t="shared" si="9"/>
        <v>0</v>
      </c>
      <c r="R46" s="10">
        <f t="shared" si="17"/>
        <v>0</v>
      </c>
      <c r="S46" s="10">
        <f t="shared" si="18"/>
        <v>0</v>
      </c>
      <c r="T46" s="10" t="e">
        <f t="shared" si="6"/>
        <v>#VALUE!</v>
      </c>
      <c r="U46" s="10">
        <f t="shared" si="19"/>
        <v>0</v>
      </c>
      <c r="V46" s="27" t="e">
        <f t="shared" si="20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5"/>
        <v/>
      </c>
      <c r="L47" s="8" t="e">
        <f t="shared" si="0"/>
        <v>#VALUE!</v>
      </c>
      <c r="M47" s="10" t="e">
        <f>IF(I47=$Y$10,SQRT(L47*10000),SQRT(Parcellaire!L47*10000)/$AC$11)</f>
        <v>#VALUE!</v>
      </c>
      <c r="N47" s="10">
        <f t="shared" si="16"/>
        <v>6</v>
      </c>
      <c r="O47" s="24"/>
      <c r="P47" s="26"/>
      <c r="Q47" s="155">
        <f t="shared" si="9"/>
        <v>0</v>
      </c>
      <c r="R47" s="10">
        <f t="shared" si="17"/>
        <v>0</v>
      </c>
      <c r="S47" s="10">
        <f t="shared" si="18"/>
        <v>0</v>
      </c>
      <c r="T47" s="10" t="e">
        <f t="shared" si="6"/>
        <v>#VALUE!</v>
      </c>
      <c r="U47" s="10">
        <f t="shared" si="19"/>
        <v>0</v>
      </c>
      <c r="V47" s="27" t="e">
        <f t="shared" si="20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5"/>
        <v/>
      </c>
      <c r="L48" s="8" t="e">
        <f t="shared" si="0"/>
        <v>#VALUE!</v>
      </c>
      <c r="M48" s="10" t="e">
        <f>IF(I48=$Y$10,SQRT(L48*10000),SQRT(Parcellaire!L48*10000)/$AC$11)</f>
        <v>#VALUE!</v>
      </c>
      <c r="N48" s="10">
        <f t="shared" si="16"/>
        <v>6</v>
      </c>
      <c r="O48" s="24"/>
      <c r="P48" s="26"/>
      <c r="Q48" s="155">
        <f t="shared" si="9"/>
        <v>0</v>
      </c>
      <c r="R48" s="10">
        <f t="shared" si="17"/>
        <v>0</v>
      </c>
      <c r="S48" s="10">
        <f t="shared" si="18"/>
        <v>0</v>
      </c>
      <c r="T48" s="10" t="e">
        <f t="shared" si="6"/>
        <v>#VALUE!</v>
      </c>
      <c r="U48" s="10">
        <f t="shared" si="19"/>
        <v>0</v>
      </c>
      <c r="V48" s="27" t="e">
        <f t="shared" si="20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5"/>
        <v/>
      </c>
      <c r="L49" s="8" t="e">
        <f t="shared" si="0"/>
        <v>#VALUE!</v>
      </c>
      <c r="M49" s="10" t="e">
        <f>IF(I49=$Y$10,SQRT(L49*10000),SQRT(Parcellaire!L49*10000)/$AC$11)</f>
        <v>#VALUE!</v>
      </c>
      <c r="N49" s="10">
        <f t="shared" si="16"/>
        <v>6</v>
      </c>
      <c r="O49" s="24"/>
      <c r="P49" s="26"/>
      <c r="Q49" s="155">
        <f t="shared" si="9"/>
        <v>0</v>
      </c>
      <c r="R49" s="10">
        <f t="shared" si="17"/>
        <v>0</v>
      </c>
      <c r="S49" s="10">
        <f t="shared" si="18"/>
        <v>0</v>
      </c>
      <c r="T49" s="10" t="e">
        <f t="shared" si="6"/>
        <v>#VALUE!</v>
      </c>
      <c r="U49" s="10">
        <f t="shared" si="19"/>
        <v>0</v>
      </c>
      <c r="V49" s="27" t="e">
        <f t="shared" si="20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5"/>
        <v/>
      </c>
      <c r="L50" s="8" t="e">
        <f t="shared" si="0"/>
        <v>#VALUE!</v>
      </c>
      <c r="M50" s="10" t="e">
        <f>IF(I50=$Y$10,SQRT(L50*10000),SQRT(Parcellaire!L50*10000)/$AC$11)</f>
        <v>#VALUE!</v>
      </c>
      <c r="N50" s="10">
        <f t="shared" si="16"/>
        <v>6</v>
      </c>
      <c r="O50" s="24"/>
      <c r="P50" s="26"/>
      <c r="Q50" s="155">
        <f t="shared" si="9"/>
        <v>0</v>
      </c>
      <c r="R50" s="10">
        <f t="shared" si="17"/>
        <v>0</v>
      </c>
      <c r="S50" s="10">
        <f t="shared" si="18"/>
        <v>0</v>
      </c>
      <c r="T50" s="10" t="e">
        <f t="shared" si="6"/>
        <v>#VALUE!</v>
      </c>
      <c r="U50" s="10">
        <f t="shared" si="19"/>
        <v>0</v>
      </c>
      <c r="V50" s="27" t="e">
        <f t="shared" si="20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5"/>
        <v/>
      </c>
      <c r="L51" s="8" t="e">
        <f t="shared" si="0"/>
        <v>#VALUE!</v>
      </c>
      <c r="M51" s="10" t="e">
        <f>IF(I51=$Y$10,SQRT(L51*10000),SQRT(Parcellaire!L51*10000)/$AC$11)</f>
        <v>#VALUE!</v>
      </c>
      <c r="N51" s="10">
        <f t="shared" si="16"/>
        <v>6</v>
      </c>
      <c r="O51" s="24"/>
      <c r="P51" s="26"/>
      <c r="Q51" s="155">
        <f t="shared" si="9"/>
        <v>0</v>
      </c>
      <c r="R51" s="10">
        <f t="shared" si="17"/>
        <v>0</v>
      </c>
      <c r="S51" s="10">
        <f t="shared" si="18"/>
        <v>0</v>
      </c>
      <c r="T51" s="10" t="e">
        <f t="shared" si="6"/>
        <v>#VALUE!</v>
      </c>
      <c r="U51" s="10">
        <f t="shared" si="19"/>
        <v>0</v>
      </c>
      <c r="V51" s="27" t="e">
        <f t="shared" si="20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5"/>
        <v/>
      </c>
      <c r="L52" s="8" t="e">
        <f t="shared" si="0"/>
        <v>#VALUE!</v>
      </c>
      <c r="M52" s="10" t="e">
        <f>IF(I52=$Y$10,SQRT(L52*10000),SQRT(Parcellaire!L52*10000)/$AC$11)</f>
        <v>#VALUE!</v>
      </c>
      <c r="N52" s="10">
        <f t="shared" si="16"/>
        <v>6</v>
      </c>
      <c r="O52" s="24"/>
      <c r="P52" s="26"/>
      <c r="Q52" s="155">
        <f t="shared" si="9"/>
        <v>0</v>
      </c>
      <c r="R52" s="10">
        <f t="shared" si="17"/>
        <v>0</v>
      </c>
      <c r="S52" s="10">
        <f t="shared" si="18"/>
        <v>0</v>
      </c>
      <c r="T52" s="10" t="e">
        <f t="shared" si="6"/>
        <v>#VALUE!</v>
      </c>
      <c r="U52" s="10">
        <f t="shared" si="19"/>
        <v>0</v>
      </c>
      <c r="V52" s="27" t="e">
        <f t="shared" si="20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5"/>
        <v/>
      </c>
      <c r="L53" s="8" t="e">
        <f t="shared" si="0"/>
        <v>#VALUE!</v>
      </c>
      <c r="M53" s="10" t="e">
        <f>IF(I53=$Y$10,SQRT(L53*10000),SQRT(Parcellaire!L53*10000)/$AC$11)</f>
        <v>#VALUE!</v>
      </c>
      <c r="N53" s="10">
        <f t="shared" si="16"/>
        <v>6</v>
      </c>
      <c r="O53" s="24"/>
      <c r="P53" s="26"/>
      <c r="Q53" s="155">
        <f t="shared" si="9"/>
        <v>0</v>
      </c>
      <c r="R53" s="10">
        <f t="shared" si="17"/>
        <v>0</v>
      </c>
      <c r="S53" s="10">
        <f t="shared" si="18"/>
        <v>0</v>
      </c>
      <c r="T53" s="10" t="e">
        <f t="shared" si="6"/>
        <v>#VALUE!</v>
      </c>
      <c r="U53" s="10">
        <f t="shared" si="19"/>
        <v>0</v>
      </c>
      <c r="V53" s="27" t="e">
        <f t="shared" si="20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5"/>
        <v/>
      </c>
      <c r="L54" s="8" t="e">
        <f t="shared" si="0"/>
        <v>#VALUE!</v>
      </c>
      <c r="M54" s="10" t="e">
        <f>IF(I54=$Y$10,SQRT(L54*10000),SQRT(Parcellaire!L54*10000)/$AC$11)</f>
        <v>#VALUE!</v>
      </c>
      <c r="N54" s="10">
        <f t="shared" si="16"/>
        <v>6</v>
      </c>
      <c r="O54" s="24"/>
      <c r="P54" s="26"/>
      <c r="Q54" s="155">
        <f t="shared" si="9"/>
        <v>0</v>
      </c>
      <c r="R54" s="10">
        <f t="shared" si="17"/>
        <v>0</v>
      </c>
      <c r="S54" s="10">
        <f t="shared" si="18"/>
        <v>0</v>
      </c>
      <c r="T54" s="10" t="e">
        <f t="shared" si="6"/>
        <v>#VALUE!</v>
      </c>
      <c r="U54" s="10">
        <f t="shared" si="19"/>
        <v>0</v>
      </c>
      <c r="V54" s="27" t="e">
        <f t="shared" si="20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5"/>
        <v/>
      </c>
      <c r="L55" s="8" t="e">
        <f t="shared" si="0"/>
        <v>#VALUE!</v>
      </c>
      <c r="M55" s="10" t="e">
        <f>IF(I55=$Y$10,SQRT(L55*10000),SQRT(Parcellaire!L55*10000)/$AC$11)</f>
        <v>#VALUE!</v>
      </c>
      <c r="N55" s="10">
        <f t="shared" si="16"/>
        <v>6</v>
      </c>
      <c r="O55" s="24"/>
      <c r="P55" s="26"/>
      <c r="Q55" s="155">
        <f t="shared" si="9"/>
        <v>0</v>
      </c>
      <c r="R55" s="10">
        <f t="shared" si="17"/>
        <v>0</v>
      </c>
      <c r="S55" s="10">
        <f t="shared" si="18"/>
        <v>0</v>
      </c>
      <c r="T55" s="10" t="e">
        <f t="shared" si="6"/>
        <v>#VALUE!</v>
      </c>
      <c r="U55" s="10">
        <f t="shared" si="19"/>
        <v>0</v>
      </c>
      <c r="V55" s="27" t="e">
        <f t="shared" si="20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5"/>
        <v/>
      </c>
      <c r="L56" s="8" t="e">
        <f t="shared" si="0"/>
        <v>#VALUE!</v>
      </c>
      <c r="M56" s="10" t="e">
        <f>IF(I56=$Y$10,SQRT(L56*10000),SQRT(Parcellaire!L56*10000)/$AC$11)</f>
        <v>#VALUE!</v>
      </c>
      <c r="N56" s="10">
        <f t="shared" si="16"/>
        <v>6</v>
      </c>
      <c r="O56" s="24"/>
      <c r="P56" s="26"/>
      <c r="Q56" s="155">
        <f t="shared" si="9"/>
        <v>0</v>
      </c>
      <c r="R56" s="10">
        <f t="shared" si="17"/>
        <v>0</v>
      </c>
      <c r="S56" s="10">
        <f t="shared" si="18"/>
        <v>0</v>
      </c>
      <c r="T56" s="10" t="e">
        <f t="shared" si="6"/>
        <v>#VALUE!</v>
      </c>
      <c r="U56" s="10">
        <f t="shared" si="19"/>
        <v>0</v>
      </c>
      <c r="V56" s="27" t="e">
        <f t="shared" si="20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5"/>
        <v/>
      </c>
      <c r="L57" s="8" t="e">
        <f t="shared" si="0"/>
        <v>#VALUE!</v>
      </c>
      <c r="M57" s="10" t="e">
        <f>IF(I57=$Y$10,SQRT(L57*10000),SQRT(Parcellaire!L57*10000)/$AC$11)</f>
        <v>#VALUE!</v>
      </c>
      <c r="N57" s="10">
        <f t="shared" si="16"/>
        <v>6</v>
      </c>
      <c r="O57" s="24"/>
      <c r="P57" s="26"/>
      <c r="Q57" s="155">
        <f t="shared" si="9"/>
        <v>0</v>
      </c>
      <c r="R57" s="10">
        <f t="shared" si="17"/>
        <v>0</v>
      </c>
      <c r="S57" s="10">
        <f t="shared" si="18"/>
        <v>0</v>
      </c>
      <c r="T57" s="10" t="e">
        <f t="shared" si="6"/>
        <v>#VALUE!</v>
      </c>
      <c r="U57" s="10">
        <f t="shared" si="19"/>
        <v>0</v>
      </c>
      <c r="V57" s="27" t="e">
        <f t="shared" si="20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1">IF(I58=$Y$10,G58*$AB$10,IF(I58=$Y$11,G58*$AB$11,IF(I58=$Y$12,G58*$AB$12,"")))</f>
        <v/>
      </c>
      <c r="L58" s="8" t="e">
        <f t="shared" si="0"/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9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6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1"/>
        <v/>
      </c>
      <c r="L59" s="8" t="e">
        <f t="shared" si="0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9"/>
        <v>0</v>
      </c>
      <c r="R59" s="10">
        <f t="shared" si="23"/>
        <v>0</v>
      </c>
      <c r="S59" s="10">
        <f t="shared" si="24"/>
        <v>0</v>
      </c>
      <c r="T59" s="10" t="e">
        <f t="shared" si="6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1"/>
        <v/>
      </c>
      <c r="L60" s="8" t="e">
        <f t="shared" si="0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9"/>
        <v>0</v>
      </c>
      <c r="R60" s="10">
        <f t="shared" si="23"/>
        <v>0</v>
      </c>
      <c r="S60" s="10">
        <f t="shared" si="24"/>
        <v>0</v>
      </c>
      <c r="T60" s="10" t="e">
        <f t="shared" si="6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1"/>
        <v/>
      </c>
      <c r="L61" s="8" t="e">
        <f t="shared" si="0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9"/>
        <v>0</v>
      </c>
      <c r="R61" s="10">
        <f t="shared" si="23"/>
        <v>0</v>
      </c>
      <c r="S61" s="10">
        <f t="shared" si="24"/>
        <v>0</v>
      </c>
      <c r="T61" s="10" t="e">
        <f t="shared" si="6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1"/>
        <v/>
      </c>
      <c r="L62" s="8" t="e">
        <f t="shared" si="0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9"/>
        <v>0</v>
      </c>
      <c r="R62" s="10">
        <f t="shared" si="23"/>
        <v>0</v>
      </c>
      <c r="S62" s="10">
        <f t="shared" si="24"/>
        <v>0</v>
      </c>
      <c r="T62" s="10" t="e">
        <f t="shared" si="6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1"/>
        <v/>
      </c>
      <c r="L63" s="8" t="e">
        <f t="shared" si="0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9"/>
        <v>0</v>
      </c>
      <c r="R63" s="10">
        <f t="shared" si="23"/>
        <v>0</v>
      </c>
      <c r="S63" s="10">
        <f t="shared" si="24"/>
        <v>0</v>
      </c>
      <c r="T63" s="10" t="e">
        <f t="shared" si="6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22.7</v>
      </c>
      <c r="H64" s="135"/>
      <c r="I64" s="135">
        <f>SUMIF(Parcellaire!$B$2:$B$63,1,Parcellaire!I2:I63)</f>
        <v>42</v>
      </c>
      <c r="J64" s="135">
        <f>SUMIF(Parcellaire!$B$2:$B$63,1,Parcellaire!J2:J63)</f>
        <v>3</v>
      </c>
      <c r="K64" s="135">
        <f>SUMIF(Parcellaire!$B$2:$B$63,1,Parcellaire!K2:K63)</f>
        <v>24.630000000000003</v>
      </c>
      <c r="L64" s="8" t="str">
        <f t="shared" si="0"/>
        <v/>
      </c>
      <c r="M64" s="135">
        <f>SUMIF(Parcellaire!$B$2:$B$63,1,Parcellaire!M2:M63)</f>
        <v>1224.9507609149955</v>
      </c>
      <c r="N64" s="135">
        <f>SUMIF(Parcellaire!$B$2:$B$63,1,Parcellaire!N2:N63)</f>
        <v>96</v>
      </c>
      <c r="O64" s="135">
        <f>SUMIF(Parcellaire!$B$2:$B$63,1,Parcellaire!O2:O63)</f>
        <v>78</v>
      </c>
      <c r="P64" s="135">
        <f>SUMIF(Parcellaire!$B$2:$B$63,1,Parcellaire!P2:P63)</f>
        <v>0</v>
      </c>
      <c r="Q64" s="135">
        <f>SUMIF(Parcellaire!$B$2:$B$63,1,Parcellaire!Q2:Q63)</f>
        <v>37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5360.9104112872601</v>
      </c>
      <c r="U64" s="135">
        <f>SUMIF(Parcellaire!$B$2:$B$63,1,Parcellaire!U2:U63)</f>
        <v>2962.8962368881562</v>
      </c>
      <c r="V64" s="135">
        <f>SUMIF(Parcellaire!$B$2:$B$63,1,Parcellaire!V2:V63)</f>
        <v>6842.3585297313393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453</v>
      </c>
    </row>
    <row r="33" spans="1:25" x14ac:dyDescent="0.25">
      <c r="B33" s="284" t="s">
        <v>2</v>
      </c>
      <c r="C33" s="284"/>
      <c r="D33" s="284" t="s">
        <v>0</v>
      </c>
      <c r="E33" s="284"/>
      <c r="F33" s="284" t="s">
        <v>1</v>
      </c>
      <c r="G33" s="284"/>
      <c r="H33" s="284" t="s">
        <v>3</v>
      </c>
      <c r="I33" s="284"/>
      <c r="J33" s="284" t="s">
        <v>4</v>
      </c>
      <c r="K33" s="284"/>
      <c r="L33" s="284" t="s">
        <v>5</v>
      </c>
      <c r="M33" s="284"/>
      <c r="N33" s="284" t="s">
        <v>6</v>
      </c>
      <c r="O33" s="284"/>
      <c r="P33" s="284" t="s">
        <v>7</v>
      </c>
      <c r="Q33" s="284"/>
      <c r="R33" s="284" t="s">
        <v>8</v>
      </c>
      <c r="S33" s="284"/>
      <c r="T33" s="284" t="s">
        <v>9</v>
      </c>
      <c r="U33" s="284"/>
      <c r="V33" s="284" t="s">
        <v>10</v>
      </c>
      <c r="W33" s="284"/>
      <c r="X33" s="284" t="s">
        <v>11</v>
      </c>
      <c r="Y33" s="284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449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451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450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463</v>
      </c>
      <c r="B59">
        <v>45</v>
      </c>
      <c r="C59">
        <v>43</v>
      </c>
      <c r="AD59" t="s">
        <v>462</v>
      </c>
      <c r="AE59">
        <v>45</v>
      </c>
    </row>
    <row r="60" spans="1:54" x14ac:dyDescent="0.25">
      <c r="B60" s="284" t="s">
        <v>2</v>
      </c>
      <c r="C60" s="284"/>
      <c r="D60" s="284" t="s">
        <v>0</v>
      </c>
      <c r="E60" s="284"/>
      <c r="F60" s="284" t="s">
        <v>1</v>
      </c>
      <c r="G60" s="284"/>
      <c r="H60" s="284" t="s">
        <v>3</v>
      </c>
      <c r="I60" s="284"/>
      <c r="J60" s="284" t="s">
        <v>4</v>
      </c>
      <c r="K60" s="284"/>
      <c r="L60" s="284" t="s">
        <v>5</v>
      </c>
      <c r="M60" s="284"/>
      <c r="N60" s="284" t="s">
        <v>6</v>
      </c>
      <c r="O60" s="284"/>
      <c r="P60" s="284" t="s">
        <v>7</v>
      </c>
      <c r="Q60" s="284"/>
      <c r="R60" s="284" t="s">
        <v>8</v>
      </c>
      <c r="S60" s="284"/>
      <c r="T60" s="284" t="s">
        <v>9</v>
      </c>
      <c r="U60" s="284"/>
      <c r="V60" s="284" t="s">
        <v>10</v>
      </c>
      <c r="W60" s="284"/>
      <c r="X60" s="284" t="s">
        <v>11</v>
      </c>
      <c r="Y60" s="284"/>
      <c r="AE60" s="284" t="s">
        <v>2</v>
      </c>
      <c r="AF60" s="284"/>
      <c r="AG60" s="284" t="s">
        <v>0</v>
      </c>
      <c r="AH60" s="284"/>
      <c r="AI60" s="284" t="s">
        <v>1</v>
      </c>
      <c r="AJ60" s="284"/>
      <c r="AK60" s="284" t="s">
        <v>3</v>
      </c>
      <c r="AL60" s="284"/>
      <c r="AM60" s="284" t="s">
        <v>4</v>
      </c>
      <c r="AN60" s="284"/>
      <c r="AO60" s="284" t="s">
        <v>5</v>
      </c>
      <c r="AP60" s="284"/>
      <c r="AQ60" s="284" t="s">
        <v>6</v>
      </c>
      <c r="AR60" s="284"/>
      <c r="AS60" s="284" t="s">
        <v>7</v>
      </c>
      <c r="AT60" s="284"/>
      <c r="AU60" s="284" t="s">
        <v>8</v>
      </c>
      <c r="AV60" s="284"/>
      <c r="AW60" s="284" t="s">
        <v>9</v>
      </c>
      <c r="AX60" s="284"/>
      <c r="AY60" s="284" t="s">
        <v>10</v>
      </c>
      <c r="AZ60" s="284"/>
      <c r="BA60" s="284" t="s">
        <v>11</v>
      </c>
      <c r="BB60" s="284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454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454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455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455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456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457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457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458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458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459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459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460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460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461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461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451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450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465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466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467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464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451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6" zoomScale="80" zoomScaleNormal="80" workbookViewId="0">
      <selection activeCell="K63" sqref="K63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482</v>
      </c>
      <c r="K1" s="80" t="s">
        <v>1460</v>
      </c>
    </row>
    <row r="2" spans="10:22" x14ac:dyDescent="0.25">
      <c r="J2" s="14" t="s">
        <v>483</v>
      </c>
      <c r="K2" s="80" t="s">
        <v>484</v>
      </c>
      <c r="P2" s="14" t="s">
        <v>484</v>
      </c>
      <c r="R2">
        <v>0</v>
      </c>
      <c r="S2" t="s">
        <v>485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452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2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452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/>
      <c r="K15"/>
      <c r="P15" s="14" t="s">
        <v>521</v>
      </c>
      <c r="Q15" t="s">
        <v>522</v>
      </c>
    </row>
    <row r="16" spans="10:22" x14ac:dyDescent="0.25">
      <c r="J16" s="32" t="s">
        <v>523</v>
      </c>
      <c r="K16" s="80">
        <v>0</v>
      </c>
      <c r="P16" s="14" t="s">
        <v>524</v>
      </c>
      <c r="Q16" t="s">
        <v>525</v>
      </c>
    </row>
    <row r="17" spans="10:29" x14ac:dyDescent="0.25">
      <c r="J17" s="14" t="s">
        <v>526</v>
      </c>
      <c r="K17" s="80">
        <v>0</v>
      </c>
      <c r="P17" s="14" t="s">
        <v>527</v>
      </c>
      <c r="Q17" t="s">
        <v>528</v>
      </c>
    </row>
    <row r="18" spans="10:29" x14ac:dyDescent="0.25">
      <c r="J18" s="14" t="s">
        <v>529</v>
      </c>
      <c r="K18" s="80">
        <v>20</v>
      </c>
      <c r="P18" s="14">
        <v>0</v>
      </c>
      <c r="Q18" t="s">
        <v>530</v>
      </c>
    </row>
    <row r="19" spans="10:29" x14ac:dyDescent="0.25">
      <c r="J19" s="14" t="s">
        <v>531</v>
      </c>
      <c r="K19" s="80"/>
    </row>
    <row r="20" spans="10:29" x14ac:dyDescent="0.25">
      <c r="J20" s="14" t="s">
        <v>532</v>
      </c>
      <c r="K20" s="80"/>
    </row>
    <row r="21" spans="10:29" x14ac:dyDescent="0.25">
      <c r="J21" s="14" t="s">
        <v>533</v>
      </c>
      <c r="K21" s="80"/>
    </row>
    <row r="22" spans="10:29" x14ac:dyDescent="0.25">
      <c r="S22" s="2" t="s">
        <v>534</v>
      </c>
      <c r="T22" s="2"/>
      <c r="U22" s="2"/>
    </row>
    <row r="23" spans="10:29" x14ac:dyDescent="0.25">
      <c r="T23" s="167" t="s">
        <v>535</v>
      </c>
      <c r="U23" s="167" t="s">
        <v>51</v>
      </c>
      <c r="V23" s="167" t="s">
        <v>536</v>
      </c>
      <c r="W23" s="167" t="s">
        <v>537</v>
      </c>
      <c r="X23" s="167" t="s">
        <v>538</v>
      </c>
      <c r="Y23" s="167" t="s">
        <v>539</v>
      </c>
      <c r="Z23" s="167" t="s">
        <v>540</v>
      </c>
      <c r="AA23" s="167" t="s">
        <v>541</v>
      </c>
      <c r="AB23" s="167" t="s">
        <v>542</v>
      </c>
      <c r="AC23" s="167" t="s">
        <v>543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2.2000000000000002</v>
      </c>
      <c r="V24" s="169" t="str">
        <f>IF(T24=0,0,VLOOKUP(T24,[1]Cult!$A$7:$H$76,8))</f>
        <v>FL</v>
      </c>
      <c r="W24" s="169">
        <f>IF(V24="ME",U24,0)</f>
        <v>0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2.2000000000000002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544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545</v>
      </c>
      <c r="K28" s="80">
        <v>22.4</v>
      </c>
      <c r="L28" t="s">
        <v>51</v>
      </c>
      <c r="M28" s="30">
        <f>U228</f>
        <v>22.4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546</v>
      </c>
      <c r="K29" s="80">
        <v>18.100000000000001</v>
      </c>
      <c r="L29" t="s">
        <v>51</v>
      </c>
      <c r="M29" s="30">
        <f>V228</f>
        <v>18.100000000000001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547</v>
      </c>
      <c r="K30" s="80">
        <v>3.6</v>
      </c>
      <c r="L30" t="s">
        <v>51</v>
      </c>
      <c r="M30" s="30">
        <f>W228</f>
        <v>3.6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548</v>
      </c>
      <c r="K31" s="80">
        <v>30</v>
      </c>
      <c r="L31" t="s">
        <v>440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549</v>
      </c>
      <c r="K32" s="169">
        <f>$AB$34</f>
        <v>2.2000000000000002</v>
      </c>
      <c r="M32" t="s">
        <v>550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551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0</v>
      </c>
      <c r="S34" s="62" t="s">
        <v>13</v>
      </c>
      <c r="T34" s="46"/>
      <c r="U34" s="62">
        <f>SUM(U24:U33)</f>
        <v>2.2000000000000002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2.2000000000000002</v>
      </c>
      <c r="AC34" s="62">
        <f>SUM(AC24:AC33)</f>
        <v>0</v>
      </c>
    </row>
    <row r="35" spans="10:132" x14ac:dyDescent="0.25">
      <c r="J35" s="14" t="s">
        <v>552</v>
      </c>
      <c r="K35" s="169">
        <f>$X$34</f>
        <v>0</v>
      </c>
    </row>
    <row r="36" spans="10:132" x14ac:dyDescent="0.25">
      <c r="J36" s="14" t="s">
        <v>553</v>
      </c>
      <c r="K36" s="169">
        <f>$Y$34</f>
        <v>0</v>
      </c>
    </row>
    <row r="37" spans="10:132" x14ac:dyDescent="0.25">
      <c r="J37" s="14" t="s">
        <v>554</v>
      </c>
      <c r="K37" s="169">
        <f>$Z$34</f>
        <v>0</v>
      </c>
    </row>
    <row r="38" spans="10:132" x14ac:dyDescent="0.25">
      <c r="J38" s="14" t="s">
        <v>555</v>
      </c>
      <c r="K38" s="169">
        <f>$AA$34</f>
        <v>0</v>
      </c>
    </row>
    <row r="39" spans="10:132" x14ac:dyDescent="0.25">
      <c r="J39" s="14" t="s">
        <v>556</v>
      </c>
      <c r="K39" s="169">
        <f>$AC$34</f>
        <v>0</v>
      </c>
    </row>
    <row r="40" spans="10:132" x14ac:dyDescent="0.25">
      <c r="J40" s="14" t="s">
        <v>557</v>
      </c>
      <c r="K40" s="169">
        <f>AC228</f>
        <v>0</v>
      </c>
    </row>
    <row r="41" spans="10:132" x14ac:dyDescent="0.25">
      <c r="J41" s="14" t="s">
        <v>558</v>
      </c>
      <c r="K41" s="169">
        <f>AD228</f>
        <v>24.1</v>
      </c>
    </row>
    <row r="42" spans="10:132" x14ac:dyDescent="0.25">
      <c r="J42" s="14" t="s">
        <v>559</v>
      </c>
      <c r="K42" s="169">
        <f>AA228</f>
        <v>0</v>
      </c>
    </row>
    <row r="43" spans="10:132" x14ac:dyDescent="0.25">
      <c r="J43" s="14" t="s">
        <v>560</v>
      </c>
      <c r="K43" s="169">
        <f>M28*K31/100</f>
        <v>6.72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69">
        <f>+K33+K40+K41</f>
        <v>24.1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1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1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1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2</v>
      </c>
      <c r="BM52">
        <f>IF(CdTrp1!S80=1,1,IF(CdTrp1!S80=2,2,IF(CdTrp1!S80=3,2,0)))</f>
        <v>2</v>
      </c>
      <c r="BN52">
        <f>IF(CdTrp1!T80=1,1,IF(CdTrp1!T80=2,2,IF(CdTrp1!T80=3,2,0)))</f>
        <v>2</v>
      </c>
      <c r="BO52">
        <f>IF(CdTrp1!U80=1,1,IF(CdTrp1!U80=2,2,IF(CdTrp1!U80=3,2,0)))</f>
        <v>1</v>
      </c>
      <c r="BP52">
        <f>IF(CdTrp1!V80=1,1,IF(CdTrp1!V80=2,2,IF(CdTrp1!V80=3,2,0)))</f>
        <v>1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69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>
        <v>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>
        <v>33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0">
        <v>1</v>
      </c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 t="s">
        <v>571</v>
      </c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>
        <v>1</v>
      </c>
      <c r="P58" t="s">
        <v>576</v>
      </c>
    </row>
    <row r="59" spans="10:132" x14ac:dyDescent="0.25">
      <c r="J59" s="14" t="s">
        <v>577</v>
      </c>
      <c r="K59" s="1">
        <v>0</v>
      </c>
      <c r="P59" t="s">
        <v>578</v>
      </c>
    </row>
    <row r="60" spans="10:132" x14ac:dyDescent="0.25">
      <c r="J60" s="40" t="s">
        <v>579</v>
      </c>
      <c r="K60" s="169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0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69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69">
        <f>IF(K53="OL",0,K54*K55)</f>
        <v>165</v>
      </c>
    </row>
    <row r="71" spans="10:22" x14ac:dyDescent="0.25">
      <c r="J71" s="14" t="s">
        <v>592</v>
      </c>
      <c r="K71" s="169">
        <f>IF(K60="OL",0,K61*K62)</f>
        <v>0</v>
      </c>
    </row>
    <row r="72" spans="10:22" x14ac:dyDescent="0.25">
      <c r="J72" s="14" t="s">
        <v>593</v>
      </c>
      <c r="K72" s="169">
        <f>IF(K65="OL",0,K66*K67)</f>
        <v>0</v>
      </c>
    </row>
    <row r="73" spans="10:22" x14ac:dyDescent="0.25">
      <c r="J73" s="14" t="s">
        <v>594</v>
      </c>
      <c r="K73" s="169">
        <f>SUM(K70:K72)</f>
        <v>165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69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69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69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1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0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226</v>
      </c>
      <c r="K96" s="80" t="s">
        <v>635</v>
      </c>
      <c r="L96" s="30" t="str">
        <f>CdTrp1!A15</f>
        <v>Vaches suitées au pâturage</v>
      </c>
      <c r="Q96" t="s">
        <v>635</v>
      </c>
    </row>
    <row r="97" spans="9:17" x14ac:dyDescent="0.25">
      <c r="J97" s="14" t="s">
        <v>155</v>
      </c>
      <c r="K97" s="80" t="s">
        <v>635</v>
      </c>
      <c r="L97" s="30" t="str">
        <f>CdTrp1!A16</f>
        <v xml:space="preserve">Vaches lot principal </v>
      </c>
      <c r="Q97" t="s">
        <v>636</v>
      </c>
    </row>
    <row r="98" spans="9:17" x14ac:dyDescent="0.25">
      <c r="J98" s="14" t="s">
        <v>156</v>
      </c>
      <c r="K98" s="80" t="s">
        <v>636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636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636</v>
      </c>
      <c r="L100" s="30" t="str">
        <f>CdTrp1!A19</f>
        <v>tardive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  <c r="AL163" s="5"/>
    </row>
    <row r="164" spans="17:41" x14ac:dyDescent="0.25">
      <c r="Q164">
        <v>1</v>
      </c>
      <c r="R164" s="169">
        <f>'Alim -Surf'!Q7</f>
        <v>281</v>
      </c>
      <c r="S164" s="169">
        <f>'Alim -Surf'!R7</f>
        <v>4</v>
      </c>
      <c r="T164" s="169">
        <f>VLOOKUP($R164,[1]MEP!$A$4:$M$300,13)</f>
        <v>2</v>
      </c>
      <c r="U164" s="169">
        <f>IF($T164&gt;0,$S164,0)</f>
        <v>4</v>
      </c>
      <c r="V164" s="169">
        <f>IF($T164&gt;1,$S164,0)</f>
        <v>4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4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4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282</v>
      </c>
      <c r="S165" s="169">
        <f>'Alim -Surf'!R8</f>
        <v>1.7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1.7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1.7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663</v>
      </c>
      <c r="AO165" s="169">
        <f>SUM(AD164:AD183)</f>
        <v>15.6</v>
      </c>
    </row>
    <row r="166" spans="17:41" x14ac:dyDescent="0.25">
      <c r="Q166">
        <v>3</v>
      </c>
      <c r="R166" s="169">
        <f>'Alim -Surf'!Q9</f>
        <v>292</v>
      </c>
      <c r="S166" s="169">
        <f>'Alim -Surf'!R9</f>
        <v>5</v>
      </c>
      <c r="T166" s="169">
        <f>VLOOKUP(R166,[1]MEP!$A$4:$M$300,13)</f>
        <v>2</v>
      </c>
      <c r="U166" s="169">
        <f t="shared" si="10"/>
        <v>5</v>
      </c>
      <c r="V166" s="169">
        <f t="shared" si="11"/>
        <v>5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5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5</v>
      </c>
      <c r="AL166" s="5"/>
      <c r="AN166" s="32" t="s">
        <v>664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277</v>
      </c>
      <c r="S167" s="169">
        <f>'Alim -Surf'!R10</f>
        <v>3.6</v>
      </c>
      <c r="T167" s="169">
        <f>VLOOKUP(R167,[1]MEP!$A$4:$M$300,13)</f>
        <v>3</v>
      </c>
      <c r="U167" s="169">
        <f t="shared" si="10"/>
        <v>3.6</v>
      </c>
      <c r="V167" s="169">
        <f t="shared" si="11"/>
        <v>3.6</v>
      </c>
      <c r="W167" s="169">
        <f t="shared" si="12"/>
        <v>3.6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3.6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3.6</v>
      </c>
      <c r="AL167" s="5"/>
      <c r="AN167" s="32" t="s">
        <v>665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279</v>
      </c>
      <c r="S168" s="169">
        <f>'Alim -Surf'!R11</f>
        <v>1.3</v>
      </c>
      <c r="T168" s="169">
        <f>VLOOKUP(R168,[1]MEP!$A$4:$M$300,13)</f>
        <v>1</v>
      </c>
      <c r="U168" s="169">
        <f t="shared" si="10"/>
        <v>1.3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1.3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1.3</v>
      </c>
      <c r="AJ168" s="169">
        <f t="shared" si="20"/>
        <v>0</v>
      </c>
      <c r="AL168" s="5"/>
      <c r="AN168" s="32" t="s">
        <v>666</v>
      </c>
      <c r="AO168" s="169">
        <f>SUM(AD186:AD205)</f>
        <v>8.5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667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668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669</v>
      </c>
      <c r="AO171" s="169">
        <f>'Alim -Surf'!O51</f>
        <v>2.2000000000000002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284</v>
      </c>
      <c r="S186" s="169">
        <f>'Alim -Surf'!R29</f>
        <v>5.5</v>
      </c>
      <c r="T186" s="169">
        <f>VLOOKUP(R186,[1]MEP!$A$4:$M$300,13)</f>
        <v>2</v>
      </c>
      <c r="U186" s="169">
        <f t="shared" si="10"/>
        <v>5.5</v>
      </c>
      <c r="V186" s="169">
        <f t="shared" si="11"/>
        <v>5.5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5.5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5.5</v>
      </c>
      <c r="AL186" s="5"/>
    </row>
    <row r="187" spans="17:38" x14ac:dyDescent="0.25">
      <c r="Q187">
        <v>2</v>
      </c>
      <c r="R187" s="169">
        <f>'Alim -Surf'!Q30</f>
        <v>279</v>
      </c>
      <c r="S187" s="169">
        <f>'Alim -Surf'!R30</f>
        <v>3</v>
      </c>
      <c r="T187" s="169">
        <f>VLOOKUP(R187,[1]MEP!$A$4:$M$300,13)</f>
        <v>1</v>
      </c>
      <c r="U187" s="169">
        <f t="shared" si="10"/>
        <v>3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3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3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24.1</v>
      </c>
      <c r="U228" s="62">
        <f>SUM(U164:U227)</f>
        <v>22.4</v>
      </c>
      <c r="V228" s="62">
        <f t="shared" ref="V228:W228" si="22">SUM(V164:V227)</f>
        <v>18.100000000000001</v>
      </c>
      <c r="W228" s="62">
        <f t="shared" si="22"/>
        <v>3.6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24.1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1.7</v>
      </c>
      <c r="AI228" s="62">
        <f t="shared" si="24"/>
        <v>4.3</v>
      </c>
      <c r="AJ228" s="62">
        <f t="shared" si="24"/>
        <v>18.100000000000001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11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2</v>
      </c>
      <c r="I2" s="173">
        <f t="shared" si="0"/>
        <v>3</v>
      </c>
      <c r="J2" s="173">
        <f t="shared" si="0"/>
        <v>3</v>
      </c>
      <c r="K2" s="173">
        <f t="shared" si="0"/>
        <v>1</v>
      </c>
      <c r="L2" s="173">
        <f t="shared" si="0"/>
        <v>2</v>
      </c>
      <c r="M2" s="173">
        <f t="shared" si="0"/>
        <v>1</v>
      </c>
      <c r="N2" s="173">
        <f t="shared" si="0"/>
        <v>1</v>
      </c>
      <c r="O2" s="173">
        <f t="shared" si="0"/>
        <v>1</v>
      </c>
      <c r="P2" s="173">
        <f t="shared" si="0"/>
        <v>1</v>
      </c>
      <c r="Q2" s="173">
        <f t="shared" si="0"/>
        <v>1</v>
      </c>
      <c r="R2" s="173">
        <f t="shared" si="0"/>
        <v>1</v>
      </c>
      <c r="S2" s="173">
        <f t="shared" si="0"/>
        <v>2</v>
      </c>
      <c r="T2" s="173">
        <f t="shared" si="0"/>
        <v>2</v>
      </c>
      <c r="U2" s="173">
        <f t="shared" si="0"/>
        <v>4</v>
      </c>
      <c r="V2" s="173">
        <f t="shared" si="0"/>
        <v>1</v>
      </c>
      <c r="W2" s="173">
        <f t="shared" si="0"/>
        <v>1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675</v>
      </c>
      <c r="AQ2" t="s">
        <v>676</v>
      </c>
      <c r="AV2" t="s">
        <v>677</v>
      </c>
      <c r="AW2" t="s">
        <v>34</v>
      </c>
      <c r="AX2" t="s">
        <v>445</v>
      </c>
      <c r="AY2" t="s">
        <v>75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684</v>
      </c>
      <c r="B3" t="s">
        <v>565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1</v>
      </c>
      <c r="I3" s="173">
        <f t="shared" si="1"/>
        <v>1</v>
      </c>
      <c r="J3" s="173">
        <f t="shared" si="1"/>
        <v>1</v>
      </c>
      <c r="K3" s="173">
        <f t="shared" si="1"/>
        <v>1</v>
      </c>
      <c r="L3" s="173">
        <f t="shared" si="1"/>
        <v>2</v>
      </c>
      <c r="M3" s="173">
        <f t="shared" si="1"/>
        <v>1</v>
      </c>
      <c r="N3" s="173">
        <f t="shared" si="1"/>
        <v>1</v>
      </c>
      <c r="O3" s="173">
        <f t="shared" si="1"/>
        <v>1</v>
      </c>
      <c r="P3" s="173">
        <f t="shared" si="1"/>
        <v>1</v>
      </c>
      <c r="Q3" s="173">
        <f t="shared" si="1"/>
        <v>1</v>
      </c>
      <c r="R3" s="173">
        <f t="shared" si="1"/>
        <v>1</v>
      </c>
      <c r="S3" s="173">
        <f t="shared" si="1"/>
        <v>1</v>
      </c>
      <c r="T3" s="173">
        <f t="shared" si="1"/>
        <v>1</v>
      </c>
      <c r="U3" s="173">
        <f t="shared" si="1"/>
        <v>3</v>
      </c>
      <c r="V3" s="173">
        <f t="shared" si="1"/>
        <v>1</v>
      </c>
      <c r="W3" s="173">
        <f t="shared" si="1"/>
        <v>1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685</v>
      </c>
      <c r="AP3" s="30">
        <f>BG31</f>
        <v>361</v>
      </c>
      <c r="AQ3">
        <f>BJ31</f>
        <v>2.2000000000000002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281</v>
      </c>
      <c r="AZ3" s="30">
        <f>Parcellaire!G2</f>
        <v>0.7</v>
      </c>
      <c r="BA3" s="30">
        <f>ROUND(Parcellaire!S2,0)</f>
        <v>0</v>
      </c>
      <c r="BB3" s="30">
        <f>ROUND(Parcellaire!T2,0)</f>
        <v>237</v>
      </c>
      <c r="BC3" s="30">
        <f>ROUND(Parcellaire!U2,0)</f>
        <v>237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237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0.7</v>
      </c>
      <c r="BL3" s="169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1</v>
      </c>
      <c r="I4" s="173">
        <f t="shared" si="2"/>
        <v>2</v>
      </c>
      <c r="J4" s="173">
        <f t="shared" si="2"/>
        <v>2</v>
      </c>
      <c r="K4" s="173">
        <f t="shared" si="2"/>
        <v>0</v>
      </c>
      <c r="L4" s="173">
        <f t="shared" si="2"/>
        <v>0</v>
      </c>
      <c r="M4" s="173">
        <f t="shared" si="2"/>
        <v>0</v>
      </c>
      <c r="N4" s="173">
        <f t="shared" si="2"/>
        <v>0</v>
      </c>
      <c r="O4" s="173">
        <f t="shared" si="2"/>
        <v>0</v>
      </c>
      <c r="P4" s="173">
        <f t="shared" si="2"/>
        <v>0</v>
      </c>
      <c r="Q4" s="173">
        <f t="shared" si="2"/>
        <v>0</v>
      </c>
      <c r="R4" s="173">
        <f t="shared" si="2"/>
        <v>0</v>
      </c>
      <c r="S4" s="173">
        <f t="shared" si="2"/>
        <v>1</v>
      </c>
      <c r="T4" s="173">
        <f t="shared" si="2"/>
        <v>1</v>
      </c>
      <c r="U4" s="173">
        <f t="shared" si="2"/>
        <v>1</v>
      </c>
      <c r="V4" s="173">
        <f t="shared" si="2"/>
        <v>0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687</v>
      </c>
      <c r="AP4" s="30">
        <f>SUM(BG31:BI31)</f>
        <v>5360</v>
      </c>
      <c r="AQ4">
        <f>SUM(BJ31:BL31)</f>
        <v>22.7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292</v>
      </c>
      <c r="AZ4" s="30">
        <f>Parcellaire!G3</f>
        <v>3.5</v>
      </c>
      <c r="BA4" s="30">
        <f>ROUND(Parcellaire!S3,0)</f>
        <v>0</v>
      </c>
      <c r="BB4" s="30">
        <f>ROUND(Parcellaire!T3,0)</f>
        <v>694</v>
      </c>
      <c r="BC4" s="30">
        <f>ROUND(Parcellaire!U3,0)</f>
        <v>277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694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3.5</v>
      </c>
      <c r="BL4" s="169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0</v>
      </c>
      <c r="I5" s="173">
        <f t="shared" si="10"/>
        <v>0</v>
      </c>
      <c r="J5" s="173">
        <f t="shared" si="10"/>
        <v>0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0</v>
      </c>
      <c r="T5" s="173">
        <f t="shared" si="10"/>
        <v>0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1425</v>
      </c>
      <c r="AJ5" s="30">
        <f>MAX(C203:Z203)</f>
        <v>0</v>
      </c>
      <c r="AO5" s="14" t="s">
        <v>689</v>
      </c>
      <c r="AP5" s="30">
        <f>BI31</f>
        <v>1886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281</v>
      </c>
      <c r="AZ5" s="30">
        <f>Parcellaire!G4</f>
        <v>0.9</v>
      </c>
      <c r="BA5" s="30">
        <f>ROUND(Parcellaire!S4,0)</f>
        <v>0</v>
      </c>
      <c r="BB5" s="30">
        <f>ROUND(Parcellaire!T4,0)</f>
        <v>246</v>
      </c>
      <c r="BC5" s="30">
        <f>ROUND(Parcellaire!U4,0)</f>
        <v>352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246</v>
      </c>
      <c r="BI5" s="169">
        <f t="shared" si="6"/>
        <v>0</v>
      </c>
      <c r="BJ5" s="169">
        <f t="shared" si="7"/>
        <v>0</v>
      </c>
      <c r="BK5" s="169">
        <f t="shared" si="8"/>
        <v>0.9</v>
      </c>
      <c r="BL5" s="169">
        <f t="shared" si="9"/>
        <v>0</v>
      </c>
    </row>
    <row r="6" spans="1:64" x14ac:dyDescent="0.25">
      <c r="A6" s="14" t="s">
        <v>690</v>
      </c>
      <c r="B6" t="s">
        <v>565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691</v>
      </c>
      <c r="AP6" s="30">
        <f>BH31</f>
        <v>3113</v>
      </c>
      <c r="AQ6">
        <f>BK31</f>
        <v>11.999999999999998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281</v>
      </c>
      <c r="AZ6" s="30">
        <f>Parcellaire!G5</f>
        <v>0.3</v>
      </c>
      <c r="BA6" s="30">
        <f>ROUND(Parcellaire!S5,0)</f>
        <v>0</v>
      </c>
      <c r="BB6" s="30">
        <f>ROUND(Parcellaire!T5,0)</f>
        <v>136</v>
      </c>
      <c r="BC6" s="30">
        <f>ROUND(Parcellaire!U5,0)</f>
        <v>194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136</v>
      </c>
      <c r="BI6" s="169">
        <f t="shared" si="6"/>
        <v>0</v>
      </c>
      <c r="BJ6" s="169">
        <f t="shared" si="7"/>
        <v>0</v>
      </c>
      <c r="BK6" s="169">
        <f t="shared" si="8"/>
        <v>0.3</v>
      </c>
      <c r="BL6" s="169">
        <f t="shared" si="9"/>
        <v>0</v>
      </c>
    </row>
    <row r="7" spans="1:64" x14ac:dyDescent="0.25">
      <c r="A7" s="14" t="s">
        <v>692</v>
      </c>
      <c r="B7" t="s">
        <v>565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1</v>
      </c>
      <c r="L7" s="173">
        <f t="shared" si="12"/>
        <v>1</v>
      </c>
      <c r="M7" s="173">
        <f t="shared" si="12"/>
        <v>1</v>
      </c>
      <c r="N7" s="173">
        <f t="shared" si="12"/>
        <v>1</v>
      </c>
      <c r="O7" s="173">
        <f t="shared" si="12"/>
        <v>1</v>
      </c>
      <c r="P7" s="173">
        <f t="shared" si="12"/>
        <v>1</v>
      </c>
      <c r="Q7" s="173">
        <f t="shared" si="12"/>
        <v>1</v>
      </c>
      <c r="R7" s="173">
        <f t="shared" si="12"/>
        <v>1</v>
      </c>
      <c r="S7" s="173">
        <f t="shared" si="12"/>
        <v>1</v>
      </c>
      <c r="T7" s="173">
        <f t="shared" si="12"/>
        <v>1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693</v>
      </c>
      <c r="AP7" s="30">
        <f>Scénario!K73*[1]Protect!$F$60</f>
        <v>13035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281</v>
      </c>
      <c r="AZ7" s="30">
        <f>Parcellaire!G6</f>
        <v>1</v>
      </c>
      <c r="BA7" s="30">
        <f>ROUND(Parcellaire!S6,0)</f>
        <v>0</v>
      </c>
      <c r="BB7" s="30">
        <f>ROUND(Parcellaire!T6,0)</f>
        <v>318</v>
      </c>
      <c r="BC7" s="30">
        <f>ROUND(Parcellaire!U6,0)</f>
        <v>212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9">
        <f t="shared" si="4"/>
        <v>0</v>
      </c>
      <c r="BH7" s="169">
        <f t="shared" si="5"/>
        <v>318</v>
      </c>
      <c r="BI7" s="169">
        <f t="shared" si="6"/>
        <v>0</v>
      </c>
      <c r="BJ7" s="169">
        <f t="shared" si="7"/>
        <v>0</v>
      </c>
      <c r="BK7" s="169">
        <f t="shared" si="8"/>
        <v>1</v>
      </c>
      <c r="BL7" s="169">
        <f t="shared" si="9"/>
        <v>0</v>
      </c>
    </row>
    <row r="8" spans="1:64" x14ac:dyDescent="0.25">
      <c r="A8" s="14" t="s">
        <v>694</v>
      </c>
      <c r="B8" t="s">
        <v>565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4</v>
      </c>
      <c r="I8" s="173">
        <f>(I3+I4)*[1]Protect!$B$12</f>
        <v>6</v>
      </c>
      <c r="J8" s="173">
        <f>(J3+J4)*[1]Protect!$B$12</f>
        <v>6</v>
      </c>
      <c r="K8" s="173">
        <f>(K3+K4)*[1]Protect!$B$12</f>
        <v>2</v>
      </c>
      <c r="L8" s="173">
        <f>(L3+L4)*[1]Protect!$B$12</f>
        <v>4</v>
      </c>
      <c r="M8" s="173">
        <f>(M3+M4)*[1]Protect!$B$12</f>
        <v>2</v>
      </c>
      <c r="N8" s="173">
        <f>(N3+N4)*[1]Protect!$B$12</f>
        <v>2</v>
      </c>
      <c r="O8" s="173">
        <f>(O3+O4)*[1]Protect!$B$12</f>
        <v>2</v>
      </c>
      <c r="P8" s="173">
        <f>(P3+P4)*[1]Protect!$B$12</f>
        <v>2</v>
      </c>
      <c r="Q8" s="173">
        <f>(Q3+Q4)*[1]Protect!$B$12</f>
        <v>2</v>
      </c>
      <c r="R8" s="173">
        <f>(R3+R4)*[1]Protect!$B$12</f>
        <v>2</v>
      </c>
      <c r="S8" s="173">
        <f>(S3+S4)*[1]Protect!$B$12</f>
        <v>4</v>
      </c>
      <c r="T8" s="173">
        <f>(T3+T4)*[1]Protect!$B$12</f>
        <v>4</v>
      </c>
      <c r="U8" s="173">
        <f>(U3+U4)*[1]Protect!$B$12</f>
        <v>8</v>
      </c>
      <c r="V8" s="173">
        <f>(V3+V4)*[1]Protect!$B$12</f>
        <v>2</v>
      </c>
      <c r="W8" s="173">
        <f>(W3+W4)*[1]Protect!$B$12</f>
        <v>2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695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47</v>
      </c>
      <c r="AZ8" s="30">
        <f>Parcellaire!G7</f>
        <v>2.2000000000000002</v>
      </c>
      <c r="BA8" s="30">
        <f>ROUND(Parcellaire!S7,0)</f>
        <v>0</v>
      </c>
      <c r="BB8" s="30">
        <f>ROUND(Parcellaire!T7,0)</f>
        <v>361</v>
      </c>
      <c r="BC8" s="30">
        <f>ROUND(Parcellaire!U7,0)</f>
        <v>723</v>
      </c>
      <c r="BD8" s="30" t="str">
        <f>IF(AW8=2,"",VLOOKUP(AY8,[1]MEP!$X$5:$AA$250,4))</f>
        <v>lande</v>
      </c>
      <c r="BE8" s="30" t="str">
        <f>IF(AW8=2,"",VLOOKUP(BD8,[1]MEP!$AC$5:$AD$10,2))</f>
        <v>LP</v>
      </c>
      <c r="BF8" s="30" t="str">
        <f t="shared" si="3"/>
        <v>LP</v>
      </c>
      <c r="BG8" s="169">
        <f t="shared" si="4"/>
        <v>361</v>
      </c>
      <c r="BH8" s="169">
        <f t="shared" si="5"/>
        <v>0</v>
      </c>
      <c r="BI8" s="169">
        <f t="shared" si="6"/>
        <v>0</v>
      </c>
      <c r="BJ8" s="169">
        <f t="shared" si="7"/>
        <v>2.2000000000000002</v>
      </c>
      <c r="BK8" s="169">
        <f t="shared" si="8"/>
        <v>0</v>
      </c>
      <c r="BL8" s="169">
        <f t="shared" si="9"/>
        <v>0</v>
      </c>
    </row>
    <row r="9" spans="1:64" x14ac:dyDescent="0.25">
      <c r="A9" s="14" t="s">
        <v>696</v>
      </c>
      <c r="B9" t="s">
        <v>565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284</v>
      </c>
      <c r="AZ9" s="30">
        <f>Parcellaire!G8</f>
        <v>6.5</v>
      </c>
      <c r="BA9" s="30">
        <f>ROUND(Parcellaire!S8,0)</f>
        <v>0</v>
      </c>
      <c r="BB9" s="30">
        <f>ROUND(Parcellaire!T8,0)</f>
        <v>1091</v>
      </c>
      <c r="BC9" s="30">
        <f>ROUND(Parcellaire!U8,0)</f>
        <v>198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9">
        <f t="shared" si="4"/>
        <v>0</v>
      </c>
      <c r="BH9" s="169">
        <f t="shared" si="5"/>
        <v>0</v>
      </c>
      <c r="BI9" s="169">
        <f t="shared" si="6"/>
        <v>1091</v>
      </c>
      <c r="BJ9" s="169">
        <f t="shared" si="7"/>
        <v>0</v>
      </c>
      <c r="BK9" s="169">
        <f t="shared" si="8"/>
        <v>0</v>
      </c>
      <c r="BL9" s="169">
        <f t="shared" si="9"/>
        <v>6.5</v>
      </c>
    </row>
    <row r="10" spans="1:64" x14ac:dyDescent="0.25">
      <c r="A10" s="14" t="s">
        <v>697</v>
      </c>
      <c r="B10" t="s">
        <v>565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284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0</v>
      </c>
    </row>
    <row r="11" spans="1:64" x14ac:dyDescent="0.25">
      <c r="A11" s="14" t="s">
        <v>698</v>
      </c>
      <c r="B11" t="s">
        <v>565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4</v>
      </c>
      <c r="I11" s="173">
        <f t="shared" si="13"/>
        <v>6</v>
      </c>
      <c r="J11" s="173">
        <f t="shared" si="13"/>
        <v>6</v>
      </c>
      <c r="K11" s="173">
        <f t="shared" si="13"/>
        <v>2</v>
      </c>
      <c r="L11" s="173">
        <f t="shared" si="13"/>
        <v>4</v>
      </c>
      <c r="M11" s="173">
        <f t="shared" si="13"/>
        <v>2</v>
      </c>
      <c r="N11" s="173">
        <f t="shared" si="13"/>
        <v>2</v>
      </c>
      <c r="O11" s="173">
        <f t="shared" si="13"/>
        <v>2</v>
      </c>
      <c r="P11" s="173">
        <f t="shared" si="13"/>
        <v>2</v>
      </c>
      <c r="Q11" s="173">
        <f t="shared" si="13"/>
        <v>2</v>
      </c>
      <c r="R11" s="173">
        <f t="shared" si="13"/>
        <v>2</v>
      </c>
      <c r="S11" s="173">
        <f t="shared" si="13"/>
        <v>4</v>
      </c>
      <c r="T11" s="173">
        <f t="shared" si="13"/>
        <v>4</v>
      </c>
      <c r="U11" s="173">
        <f t="shared" si="13"/>
        <v>8</v>
      </c>
      <c r="V11" s="173">
        <f t="shared" si="13"/>
        <v>2</v>
      </c>
      <c r="W11" s="173">
        <f t="shared" si="13"/>
        <v>2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699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279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0</v>
      </c>
    </row>
    <row r="12" spans="1:64" x14ac:dyDescent="0.25">
      <c r="A12" s="14" t="s">
        <v>700</v>
      </c>
      <c r="B12" t="s">
        <v>565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4</v>
      </c>
      <c r="L12" s="173">
        <f>L7*[1]Protect!$B$15</f>
        <v>4</v>
      </c>
      <c r="M12" s="173">
        <f>M7*[1]Protect!$B$15</f>
        <v>4</v>
      </c>
      <c r="N12" s="173">
        <f>N7*[1]Protect!$B$15</f>
        <v>4</v>
      </c>
      <c r="O12" s="173">
        <f>O7*[1]Protect!$B$15</f>
        <v>4</v>
      </c>
      <c r="P12" s="173">
        <f>P7*[1]Protect!$B$15</f>
        <v>4</v>
      </c>
      <c r="Q12" s="173">
        <f>Q7*[1]Protect!$B$15</f>
        <v>4</v>
      </c>
      <c r="R12" s="173">
        <f>R7*[1]Protect!$B$15</f>
        <v>4</v>
      </c>
      <c r="S12" s="173">
        <f>S7*[1]Protect!$B$15</f>
        <v>4</v>
      </c>
      <c r="T12" s="173">
        <f>T7*[1]Protect!$B$15</f>
        <v>4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701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702</v>
      </c>
      <c r="B13" t="s">
        <v>565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4</v>
      </c>
      <c r="I13" s="173">
        <f t="shared" si="14"/>
        <v>6</v>
      </c>
      <c r="J13" s="173">
        <f t="shared" si="14"/>
        <v>6</v>
      </c>
      <c r="K13" s="173">
        <f t="shared" si="14"/>
        <v>6</v>
      </c>
      <c r="L13" s="173">
        <f t="shared" si="14"/>
        <v>8</v>
      </c>
      <c r="M13" s="173">
        <f t="shared" si="14"/>
        <v>6</v>
      </c>
      <c r="N13" s="173">
        <f t="shared" si="14"/>
        <v>6</v>
      </c>
      <c r="O13" s="173">
        <f t="shared" si="14"/>
        <v>6</v>
      </c>
      <c r="P13" s="173">
        <f t="shared" si="14"/>
        <v>6</v>
      </c>
      <c r="Q13" s="173">
        <f t="shared" si="14"/>
        <v>6</v>
      </c>
      <c r="R13" s="173">
        <f t="shared" si="14"/>
        <v>6</v>
      </c>
      <c r="S13" s="173">
        <f t="shared" si="14"/>
        <v>8</v>
      </c>
      <c r="T13" s="173">
        <f t="shared" si="14"/>
        <v>8</v>
      </c>
      <c r="U13" s="173">
        <f t="shared" si="14"/>
        <v>8</v>
      </c>
      <c r="V13" s="173">
        <f t="shared" si="14"/>
        <v>2</v>
      </c>
      <c r="W13" s="173">
        <f t="shared" si="14"/>
        <v>2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703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279</v>
      </c>
      <c r="AZ13" s="30">
        <f>Parcellaire!G12</f>
        <v>1.3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1.3</v>
      </c>
      <c r="BL13" s="169">
        <f t="shared" si="9"/>
        <v>0</v>
      </c>
    </row>
    <row r="14" spans="1:64" x14ac:dyDescent="0.25">
      <c r="A14" s="43" t="s">
        <v>704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705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proche</v>
      </c>
      <c r="AY14" s="30">
        <f>Parcellaire!F13</f>
        <v>277</v>
      </c>
      <c r="AZ14" s="30">
        <f>Parcellaire!G13</f>
        <v>3.6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69">
        <f t="shared" si="4"/>
        <v>0</v>
      </c>
      <c r="BH14" s="169">
        <f t="shared" si="5"/>
        <v>0</v>
      </c>
      <c r="BI14" s="169">
        <f t="shared" si="6"/>
        <v>0</v>
      </c>
      <c r="BJ14" s="169">
        <f t="shared" si="7"/>
        <v>0</v>
      </c>
      <c r="BK14" s="169">
        <f t="shared" si="8"/>
        <v>0</v>
      </c>
      <c r="BL14" s="169">
        <f t="shared" si="9"/>
        <v>0</v>
      </c>
    </row>
    <row r="15" spans="1:64" x14ac:dyDescent="0.25">
      <c r="A15" s="174" t="s">
        <v>706</v>
      </c>
      <c r="B15" t="s">
        <v>565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2</v>
      </c>
      <c r="I15" s="169">
        <f t="shared" si="15"/>
        <v>2</v>
      </c>
      <c r="J15" s="169">
        <f t="shared" si="15"/>
        <v>2</v>
      </c>
      <c r="K15" s="169">
        <f t="shared" si="15"/>
        <v>0</v>
      </c>
      <c r="L15" s="169">
        <f t="shared" si="15"/>
        <v>0</v>
      </c>
      <c r="M15" s="169">
        <f t="shared" si="15"/>
        <v>0</v>
      </c>
      <c r="N15" s="169">
        <f t="shared" si="15"/>
        <v>0</v>
      </c>
      <c r="O15" s="169">
        <f t="shared" si="15"/>
        <v>0</v>
      </c>
      <c r="P15" s="169">
        <f t="shared" si="15"/>
        <v>0</v>
      </c>
      <c r="Q15" s="169">
        <f t="shared" si="15"/>
        <v>0</v>
      </c>
      <c r="R15" s="169">
        <f t="shared" si="15"/>
        <v>0</v>
      </c>
      <c r="S15" s="169">
        <f t="shared" si="15"/>
        <v>1</v>
      </c>
      <c r="T15" s="169">
        <f t="shared" si="15"/>
        <v>1</v>
      </c>
      <c r="U15" s="169">
        <f t="shared" si="15"/>
        <v>3</v>
      </c>
      <c r="V15" s="169">
        <f t="shared" si="15"/>
        <v>1</v>
      </c>
      <c r="W15" s="169">
        <f t="shared" si="15"/>
        <v>1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279</v>
      </c>
      <c r="AZ15" s="30">
        <f>Parcellaire!G14</f>
        <v>1</v>
      </c>
      <c r="BA15" s="30">
        <f>ROUND(Parcellaire!S14,0)</f>
        <v>0</v>
      </c>
      <c r="BB15" s="30">
        <f>ROUND(Parcellaire!T14,0)</f>
        <v>371</v>
      </c>
      <c r="BC15" s="30">
        <f>ROUND(Parcellaire!U14,0)</f>
        <v>148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69">
        <f t="shared" si="4"/>
        <v>0</v>
      </c>
      <c r="BH15" s="169">
        <f t="shared" si="5"/>
        <v>0</v>
      </c>
      <c r="BI15" s="169">
        <f t="shared" si="6"/>
        <v>371</v>
      </c>
      <c r="BJ15" s="169">
        <f t="shared" si="7"/>
        <v>0</v>
      </c>
      <c r="BK15" s="169">
        <f t="shared" si="8"/>
        <v>0</v>
      </c>
      <c r="BL15" s="169">
        <f t="shared" si="9"/>
        <v>1</v>
      </c>
    </row>
    <row r="16" spans="1:64" x14ac:dyDescent="0.25">
      <c r="A16" s="174" t="s">
        <v>707</v>
      </c>
      <c r="B16" t="s">
        <v>565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1</v>
      </c>
      <c r="I16" s="169">
        <f t="shared" si="16"/>
        <v>1</v>
      </c>
      <c r="J16" s="169">
        <f t="shared" si="16"/>
        <v>1</v>
      </c>
      <c r="K16" s="169">
        <f t="shared" si="16"/>
        <v>1</v>
      </c>
      <c r="L16" s="169">
        <f t="shared" si="16"/>
        <v>0</v>
      </c>
      <c r="M16" s="169">
        <f t="shared" si="16"/>
        <v>0</v>
      </c>
      <c r="N16" s="169">
        <f t="shared" si="16"/>
        <v>0</v>
      </c>
      <c r="O16" s="169">
        <f t="shared" si="16"/>
        <v>0</v>
      </c>
      <c r="P16" s="169">
        <f t="shared" si="16"/>
        <v>0</v>
      </c>
      <c r="Q16" s="169">
        <f t="shared" si="16"/>
        <v>0</v>
      </c>
      <c r="R16" s="169">
        <f t="shared" si="16"/>
        <v>0</v>
      </c>
      <c r="S16" s="169">
        <f t="shared" si="16"/>
        <v>0</v>
      </c>
      <c r="T16" s="169">
        <f t="shared" si="16"/>
        <v>0</v>
      </c>
      <c r="U16" s="169">
        <f t="shared" si="16"/>
        <v>0</v>
      </c>
      <c r="V16" s="169">
        <f t="shared" si="16"/>
        <v>3</v>
      </c>
      <c r="W16" s="169">
        <f t="shared" si="16"/>
        <v>3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ROUND(Parcellaire!S15,0)</f>
        <v>0</v>
      </c>
      <c r="BB16" s="30" t="e">
        <f>ROUND(Parcellaire!T15,0)</f>
        <v>#VALUE!</v>
      </c>
      <c r="BC16" s="30">
        <f>ROUND(Parcellaire!U15,0)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3"/>
        <v>#N/A</v>
      </c>
      <c r="BG16" s="169">
        <f t="shared" si="4"/>
        <v>0</v>
      </c>
      <c r="BH16" s="169">
        <f t="shared" si="5"/>
        <v>0</v>
      </c>
      <c r="BI16" s="169">
        <f t="shared" si="6"/>
        <v>0</v>
      </c>
      <c r="BJ16" s="169">
        <f t="shared" si="7"/>
        <v>0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708</v>
      </c>
      <c r="B17" t="s">
        <v>565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1</v>
      </c>
      <c r="J17" s="169">
        <f t="shared" si="17"/>
        <v>1</v>
      </c>
      <c r="K17" s="169">
        <f t="shared" si="17"/>
        <v>1</v>
      </c>
      <c r="L17" s="169">
        <f t="shared" si="17"/>
        <v>2</v>
      </c>
      <c r="M17" s="169">
        <f t="shared" si="17"/>
        <v>1</v>
      </c>
      <c r="N17" s="169">
        <f t="shared" si="17"/>
        <v>1</v>
      </c>
      <c r="O17" s="169">
        <f t="shared" si="17"/>
        <v>1</v>
      </c>
      <c r="P17" s="169">
        <f t="shared" si="17"/>
        <v>1</v>
      </c>
      <c r="Q17" s="169">
        <f t="shared" si="17"/>
        <v>1</v>
      </c>
      <c r="R17" s="169">
        <f t="shared" si="17"/>
        <v>1</v>
      </c>
      <c r="S17" s="169">
        <f t="shared" si="17"/>
        <v>1</v>
      </c>
      <c r="T17" s="169">
        <f t="shared" si="17"/>
        <v>1</v>
      </c>
      <c r="U17" s="169">
        <f t="shared" si="17"/>
        <v>1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709</v>
      </c>
      <c r="AD17" s="102" t="s">
        <v>710</v>
      </c>
      <c r="AE17" s="81"/>
      <c r="AF17" s="81"/>
      <c r="AH17" s="2" t="s">
        <v>711</v>
      </c>
      <c r="AK17" t="s">
        <v>712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9">
        <f t="shared" si="4"/>
        <v>0</v>
      </c>
      <c r="BH17" s="169">
        <f t="shared" si="5"/>
        <v>0</v>
      </c>
      <c r="BI17" s="169">
        <f t="shared" si="6"/>
        <v>0</v>
      </c>
      <c r="BJ17" s="169">
        <f t="shared" si="7"/>
        <v>0</v>
      </c>
      <c r="BK17" s="169">
        <f t="shared" si="8"/>
        <v>0</v>
      </c>
      <c r="BL17" s="169">
        <f t="shared" si="9"/>
        <v>0</v>
      </c>
    </row>
    <row r="18" spans="1:64" x14ac:dyDescent="0.25">
      <c r="A18" s="174" t="s">
        <v>713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2</v>
      </c>
      <c r="T18" s="62">
        <f t="shared" si="18"/>
        <v>2</v>
      </c>
      <c r="U18" s="62">
        <f t="shared" si="18"/>
        <v>4</v>
      </c>
      <c r="V18" s="62">
        <f t="shared" si="18"/>
        <v>2</v>
      </c>
      <c r="W18" s="62">
        <f t="shared" si="18"/>
        <v>2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714</v>
      </c>
      <c r="AD18" s="120" t="s">
        <v>502</v>
      </c>
      <c r="AE18" s="81" t="s">
        <v>715</v>
      </c>
      <c r="AF18" s="120" t="s">
        <v>716</v>
      </c>
      <c r="AK18" t="s">
        <v>717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292</v>
      </c>
      <c r="AZ18" s="30">
        <f>Parcellaire!G17</f>
        <v>1.5</v>
      </c>
      <c r="BA18" s="30">
        <f>ROUND(Parcellaire!S17,0)</f>
        <v>0</v>
      </c>
      <c r="BB18" s="30">
        <f>ROUND(Parcellaire!T17,0)</f>
        <v>363</v>
      </c>
      <c r="BC18" s="30">
        <f>ROUND(Parcellaire!U17,0)</f>
        <v>363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363</v>
      </c>
      <c r="BI18" s="169">
        <f t="shared" si="6"/>
        <v>0</v>
      </c>
      <c r="BJ18" s="169">
        <f t="shared" si="7"/>
        <v>0</v>
      </c>
      <c r="BK18" s="169">
        <f t="shared" si="8"/>
        <v>1.5</v>
      </c>
      <c r="BL18" s="169">
        <f t="shared" si="9"/>
        <v>0</v>
      </c>
    </row>
    <row r="19" spans="1:64" x14ac:dyDescent="0.25">
      <c r="A19" s="174" t="s">
        <v>718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710</v>
      </c>
      <c r="AK19" s="167" t="s">
        <v>720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282</v>
      </c>
      <c r="AZ19" s="30">
        <f>Parcellaire!G18</f>
        <v>1.7</v>
      </c>
      <c r="BA19" s="30">
        <f>ROUND(Parcellaire!S18,0)</f>
        <v>0</v>
      </c>
      <c r="BB19" s="30">
        <f>ROUND(Parcellaire!T18,0)</f>
        <v>608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608</v>
      </c>
      <c r="BI19" s="169">
        <f t="shared" si="6"/>
        <v>0</v>
      </c>
      <c r="BJ19" s="169">
        <f t="shared" si="7"/>
        <v>0</v>
      </c>
      <c r="BK19" s="169">
        <f t="shared" si="8"/>
        <v>1.7</v>
      </c>
      <c r="BL19" s="169">
        <f t="shared" si="9"/>
        <v>0</v>
      </c>
    </row>
    <row r="20" spans="1:64" x14ac:dyDescent="0.25">
      <c r="A20" s="174" t="s">
        <v>721</v>
      </c>
      <c r="B20" t="s">
        <v>565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2</v>
      </c>
      <c r="L20" s="169">
        <f t="shared" si="20"/>
        <v>2</v>
      </c>
      <c r="M20" s="169">
        <f t="shared" si="20"/>
        <v>2</v>
      </c>
      <c r="N20" s="169">
        <f t="shared" si="20"/>
        <v>2</v>
      </c>
      <c r="O20" s="169">
        <f t="shared" si="20"/>
        <v>2</v>
      </c>
      <c r="P20" s="169">
        <f t="shared" si="20"/>
        <v>2</v>
      </c>
      <c r="Q20" s="169">
        <f t="shared" si="20"/>
        <v>2</v>
      </c>
      <c r="R20" s="169">
        <f t="shared" si="20"/>
        <v>2</v>
      </c>
      <c r="S20" s="169">
        <f t="shared" si="20"/>
        <v>2</v>
      </c>
      <c r="T20" s="169">
        <f t="shared" si="20"/>
        <v>2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279</v>
      </c>
      <c r="AZ20" s="30">
        <f>Parcellaire!G19</f>
        <v>1</v>
      </c>
      <c r="BA20" s="30">
        <f>ROUND(Parcellaire!S19,0)</f>
        <v>0</v>
      </c>
      <c r="BB20" s="30">
        <f>ROUND(Parcellaire!T19,0)</f>
        <v>424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424</v>
      </c>
      <c r="BJ20" s="169">
        <f t="shared" si="7"/>
        <v>0</v>
      </c>
      <c r="BK20" s="169">
        <f t="shared" si="8"/>
        <v>0</v>
      </c>
      <c r="BL20" s="169">
        <f t="shared" si="9"/>
        <v>1</v>
      </c>
    </row>
    <row r="21" spans="1:64" x14ac:dyDescent="0.25">
      <c r="A21" s="174" t="s">
        <v>724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1</v>
      </c>
      <c r="L21" s="62">
        <f>IF(Protection!L20&gt;0,Scénario!$K$58,0)</f>
        <v>1</v>
      </c>
      <c r="M21" s="62">
        <f>IF(Protection!M20&gt;0,Scénario!$K$58,0)</f>
        <v>1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725</v>
      </c>
      <c r="AC21" s="14"/>
      <c r="AD21" s="64"/>
      <c r="AE21" s="64"/>
      <c r="AF21" s="64"/>
      <c r="AJ21" s="14" t="s">
        <v>726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281</v>
      </c>
      <c r="AZ21" s="30">
        <f>Parcellaire!G20</f>
        <v>0.4</v>
      </c>
      <c r="BA21" s="30">
        <f>ROUND(Parcellaire!S20,0)</f>
        <v>0</v>
      </c>
      <c r="BB21" s="30">
        <f>ROUND(Parcellaire!T20,0)</f>
        <v>201</v>
      </c>
      <c r="BC21" s="30">
        <f>ROUND(Parcellaire!U20,0)</f>
        <v>134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9">
        <f t="shared" si="4"/>
        <v>0</v>
      </c>
      <c r="BH21" s="169">
        <f t="shared" si="5"/>
        <v>201</v>
      </c>
      <c r="BI21" s="169">
        <f t="shared" si="6"/>
        <v>0</v>
      </c>
      <c r="BJ21" s="169">
        <f t="shared" si="7"/>
        <v>0</v>
      </c>
      <c r="BK21" s="169">
        <f t="shared" si="8"/>
        <v>0.4</v>
      </c>
      <c r="BL21" s="169">
        <f t="shared" si="9"/>
        <v>0</v>
      </c>
    </row>
    <row r="22" spans="1:64" x14ac:dyDescent="0.25">
      <c r="A22" s="174" t="s">
        <v>727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2</v>
      </c>
      <c r="L22" s="62">
        <f t="shared" si="21"/>
        <v>2</v>
      </c>
      <c r="M22" s="62">
        <f t="shared" si="21"/>
        <v>2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3</v>
      </c>
      <c r="T22" s="62">
        <f t="shared" si="21"/>
        <v>3</v>
      </c>
      <c r="U22" s="62">
        <f t="shared" si="21"/>
        <v>4</v>
      </c>
      <c r="V22" s="62">
        <f t="shared" si="21"/>
        <v>2</v>
      </c>
      <c r="W22" s="62">
        <f t="shared" si="21"/>
        <v>2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711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281</v>
      </c>
      <c r="AZ22" s="30">
        <f>Parcellaire!G21</f>
        <v>0.7</v>
      </c>
      <c r="BA22" s="30">
        <f>ROUND(Parcellaire!S21,0)</f>
        <v>0</v>
      </c>
      <c r="BB22" s="30">
        <f>ROUND(Parcellaire!T21,0)</f>
        <v>310</v>
      </c>
      <c r="BC22" s="30">
        <f>ROUND(Parcellaire!U21,0)</f>
        <v>124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9">
        <f t="shared" si="4"/>
        <v>0</v>
      </c>
      <c r="BH22" s="169">
        <f t="shared" si="5"/>
        <v>310</v>
      </c>
      <c r="BI22" s="169">
        <f t="shared" si="6"/>
        <v>0</v>
      </c>
      <c r="BJ22" s="169">
        <f t="shared" si="7"/>
        <v>0</v>
      </c>
      <c r="BK22" s="169">
        <f t="shared" si="8"/>
        <v>0.7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728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729</v>
      </c>
      <c r="B25" t="s">
        <v>579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688</v>
      </c>
      <c r="B26" t="s">
        <v>579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731</v>
      </c>
      <c r="AC26" s="14"/>
      <c r="AD26" s="167" t="s">
        <v>502</v>
      </c>
      <c r="AE26" t="s">
        <v>732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690</v>
      </c>
      <c r="B27" t="s">
        <v>579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692</v>
      </c>
      <c r="B28" t="s">
        <v>579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734</v>
      </c>
      <c r="AD28" s="169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694</v>
      </c>
      <c r="B29" t="s">
        <v>579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735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696</v>
      </c>
      <c r="B30" t="s">
        <v>579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736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697</v>
      </c>
      <c r="B31" t="s">
        <v>579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737</v>
      </c>
      <c r="AD31" s="169">
        <f>IF(AD30=0,0,1)</f>
        <v>0</v>
      </c>
      <c r="BG31" s="62">
        <f>SUM(BG3:BG30)</f>
        <v>361</v>
      </c>
      <c r="BH31" s="62">
        <f t="shared" ref="BH31:BK31" si="26">SUM(BH3:BH30)</f>
        <v>3113</v>
      </c>
      <c r="BI31" s="62">
        <f t="shared" si="26"/>
        <v>1886</v>
      </c>
      <c r="BJ31" s="62">
        <f t="shared" si="26"/>
        <v>2.2000000000000002</v>
      </c>
      <c r="BK31" s="62">
        <f t="shared" si="26"/>
        <v>11.999999999999998</v>
      </c>
      <c r="BL31" s="62">
        <f>SUM(BL3:BL30)</f>
        <v>8.5</v>
      </c>
    </row>
    <row r="32" spans="1:64" x14ac:dyDescent="0.25">
      <c r="A32" s="14" t="s">
        <v>698</v>
      </c>
      <c r="B32" t="s">
        <v>579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738</v>
      </c>
    </row>
    <row r="33" spans="1:132" x14ac:dyDescent="0.25">
      <c r="A33" s="14" t="s">
        <v>700</v>
      </c>
      <c r="B33" t="s">
        <v>579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739</v>
      </c>
      <c r="AE33" s="169">
        <f>IF(OR(Scénario!K12="OL/BV",Scénario!K12="OL/EQ",Scénario!K12="BV",Scénario!K12="OL/BV/EQ"),Protection!AP7,0)</f>
        <v>13035</v>
      </c>
    </row>
    <row r="34" spans="1:132" x14ac:dyDescent="0.25">
      <c r="A34" s="14" t="s">
        <v>702</v>
      </c>
      <c r="B34" t="s">
        <v>579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706</v>
      </c>
      <c r="B36" t="s">
        <v>579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707</v>
      </c>
      <c r="B37" t="s">
        <v>579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708</v>
      </c>
      <c r="B38" t="s">
        <v>579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713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718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721</v>
      </c>
      <c r="B41" t="s">
        <v>579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724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727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729</v>
      </c>
      <c r="B46" t="s">
        <v>586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688</v>
      </c>
      <c r="B47" t="s">
        <v>586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690</v>
      </c>
      <c r="B48" t="s">
        <v>586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692</v>
      </c>
      <c r="B49" t="s">
        <v>586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2</v>
      </c>
      <c r="BD49" s="178">
        <f>IF(CdTrp1!J77=1,1,IF(CdTrp1!J77=2,2,IF(CdTrp1!J77=3,2,0)))</f>
        <v>0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1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694</v>
      </c>
      <c r="B50" t="s">
        <v>586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1</v>
      </c>
      <c r="BF50" s="178">
        <f>IF(CdTrp1!L78=1,1,IF(CdTrp1!L78=2,2,IF(CdTrp1!L78=3,2,0)))</f>
        <v>1</v>
      </c>
      <c r="BG50" s="178">
        <f>IF(CdTrp1!M78=1,1,IF(CdTrp1!M78=2,2,IF(CdTrp1!M78=3,2,0)))</f>
        <v>1</v>
      </c>
      <c r="BH50" s="178">
        <f>IF(CdTrp1!N78=1,1,IF(CdTrp1!N78=2,2,IF(CdTrp1!N78=3,2,0)))</f>
        <v>1</v>
      </c>
      <c r="BI50" s="178">
        <f>IF(CdTrp1!O78=1,1,IF(CdTrp1!O78=2,2,IF(CdTrp1!O78=3,2,0)))</f>
        <v>1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696</v>
      </c>
      <c r="B51" t="s">
        <v>586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1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0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1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697</v>
      </c>
      <c r="B52" t="s">
        <v>586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2</v>
      </c>
      <c r="BM52" s="178">
        <f>IF(CdTrp1!S80=1,1,IF(CdTrp1!S80=2,2,IF(CdTrp1!S80=3,2,0)))</f>
        <v>2</v>
      </c>
      <c r="BN52" s="178">
        <f>IF(CdTrp1!T80=1,1,IF(CdTrp1!T80=2,2,IF(CdTrp1!T80=3,2,0)))</f>
        <v>2</v>
      </c>
      <c r="BO52" s="178">
        <f>IF(CdTrp1!U80=1,1,IF(CdTrp1!U80=2,2,IF(CdTrp1!U80=3,2,0)))</f>
        <v>1</v>
      </c>
      <c r="BP52" s="178">
        <f>IF(CdTrp1!V80=1,1,IF(CdTrp1!V80=2,2,IF(CdTrp1!V80=3,2,0)))</f>
        <v>1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698</v>
      </c>
      <c r="B53" t="s">
        <v>586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700</v>
      </c>
      <c r="B54" t="s">
        <v>586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702</v>
      </c>
      <c r="B55" t="s">
        <v>586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706</v>
      </c>
      <c r="B57" t="s">
        <v>586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707</v>
      </c>
      <c r="B58" t="s">
        <v>586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708</v>
      </c>
      <c r="B59" t="s">
        <v>586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713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718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721</v>
      </c>
      <c r="B62" t="s">
        <v>586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724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727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743</v>
      </c>
      <c r="AV67" s="168"/>
      <c r="AW67" s="168"/>
    </row>
    <row r="68" spans="1:49" x14ac:dyDescent="0.25">
      <c r="A68" s="40" t="s">
        <v>744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1.8720930232558137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5</v>
      </c>
      <c r="L69" s="169">
        <f>IF($AA69=0,99,IF(L82&gt;3,CdTrp1!K77,CdTrp1!K53))</f>
        <v>5</v>
      </c>
      <c r="M69" s="169">
        <f>IF($AA69=0,99,IF(M82&gt;3,CdTrp1!L77,CdTrp1!L53))</f>
        <v>5</v>
      </c>
      <c r="N69" s="169">
        <f>IF($AA69=0,99,IF(N82&gt;3,CdTrp1!M77,CdTrp1!M53))</f>
        <v>5</v>
      </c>
      <c r="O69" s="169">
        <f>IF($AA69=0,99,IF(O82&gt;3,CdTrp1!N77,CdTrp1!N53))</f>
        <v>5</v>
      </c>
      <c r="P69" s="169">
        <f>IF($AA69=0,99,IF(P82&gt;3,CdTrp1!O77,CdTrp1!O53))</f>
        <v>5</v>
      </c>
      <c r="Q69" s="169">
        <f>IF($AA69=0,99,IF(Q82&gt;3,CdTrp1!P77,CdTrp1!P53))</f>
        <v>5</v>
      </c>
      <c r="R69" s="169">
        <f>IF($AA69=0,99,IF(R82&gt;3,CdTrp1!Q77,CdTrp1!Q53))</f>
        <v>5</v>
      </c>
      <c r="S69" s="169">
        <f>IF($AA69=0,99,IF(S82&gt;3,CdTrp1!R77,CdTrp1!R53))</f>
        <v>5</v>
      </c>
      <c r="T69" s="169">
        <f>IF($AA69=0,99,IF(T82&gt;3,CdTrp1!S77,CdTrp1!S53))</f>
        <v>5</v>
      </c>
      <c r="U69" s="169">
        <f>IF($AA69=0,99,IF(U82&gt;3,CdTrp1!T77,CdTrp1!T53))</f>
        <v>0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29.463178294573641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0.5</v>
      </c>
      <c r="O70" s="169">
        <f>IF($AA70=0,99,IF(O83&gt;3,CdTrp1!N78,CdTrp1!N54))</f>
        <v>0.5</v>
      </c>
      <c r="P70" s="169">
        <f>IF($AA70=0,99,IF(P83&gt;3,CdTrp1!O78,CdTrp1!O54))</f>
        <v>0.5</v>
      </c>
      <c r="Q70" s="169">
        <f>IF($AA70=0,99,IF(Q83&gt;3,CdTrp1!P78,CdTrp1!P54))</f>
        <v>0.5</v>
      </c>
      <c r="R70" s="169">
        <f>IF($AA70=0,99,IF(R83&gt;3,CdTrp1!Q78,CdTrp1!Q54))</f>
        <v>0.5</v>
      </c>
      <c r="S70" s="169">
        <f>IF($AA70=0,99,IF(S83&gt;3,CdTrp1!R78,CdTrp1!R54))</f>
        <v>0.5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18.49806201550388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5</v>
      </c>
      <c r="L71" s="169">
        <f>IF($AA71=0,99,IF(L84&gt;3,CdTrp1!K79,CdTrp1!K55))</f>
        <v>5</v>
      </c>
      <c r="M71" s="169">
        <f>IF($AA71=0,99,IF(M84&gt;3,CdTrp1!L79,CdTrp1!L55))</f>
        <v>5</v>
      </c>
      <c r="N71" s="169">
        <f>IF($AA71=0,99,IF(N84&gt;3,CdTrp1!M79,CdTrp1!M55))</f>
        <v>5</v>
      </c>
      <c r="O71" s="169">
        <f>IF($AA71=0,99,IF(O84&gt;3,CdTrp1!N79,CdTrp1!N55))</f>
        <v>5</v>
      </c>
      <c r="P71" s="169">
        <f>IF($AA71=0,99,IF(P84&gt;3,CdTrp1!O79,CdTrp1!O55))</f>
        <v>5</v>
      </c>
      <c r="Q71" s="169">
        <f>IF($AA71=0,99,IF(Q84&gt;3,CdTrp1!P79,CdTrp1!P55))</f>
        <v>5</v>
      </c>
      <c r="R71" s="169">
        <f>IF($AA71=0,99,IF(R84&gt;3,CdTrp1!Q79,CdTrp1!Q55))</f>
        <v>5</v>
      </c>
      <c r="S71" s="169">
        <f>IF($AA71=0,99,IF(S84&gt;3,CdTrp1!R79,CdTrp1!R55))</f>
        <v>5</v>
      </c>
      <c r="T71" s="169">
        <f>IF($AA71=0,99,IF(T84&gt;3,CdTrp1!S79,CdTrp1!S55))</f>
        <v>5</v>
      </c>
      <c r="U71" s="169">
        <f>IF($AA71=0,99,IF(U84&gt;3,CdTrp1!T79,CdTrp1!T55))</f>
        <v>0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10.697674418604656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0</v>
      </c>
      <c r="T72" s="169">
        <f>IF($AA72=0,99,IF(T85&gt;3,CdTrp1!S80,CdTrp1!S56))</f>
        <v>0</v>
      </c>
      <c r="U72" s="169">
        <f>IF($AA72=0,99,IF(U85&gt;3,CdTrp1!T80,CdTrp1!T56))</f>
        <v>0</v>
      </c>
      <c r="V72" s="169">
        <f>IF($AA72=0,99,IF(V85&gt;3,CdTrp1!U80,CdTrp1!U56))</f>
        <v>0</v>
      </c>
      <c r="W72" s="169">
        <f>IF($AA72=0,99,IF(W85&gt;3,CdTrp1!V80,CdTrp1!V56))</f>
        <v>0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3.8779069767441854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6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745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5</v>
      </c>
      <c r="L82" s="169">
        <f>CdTrp1!K77</f>
        <v>5</v>
      </c>
      <c r="M82" s="169">
        <f>CdTrp1!L77</f>
        <v>5</v>
      </c>
      <c r="N82" s="169">
        <f>CdTrp1!M77</f>
        <v>5</v>
      </c>
      <c r="O82" s="169">
        <f>CdTrp1!N77</f>
        <v>5</v>
      </c>
      <c r="P82" s="169">
        <f>CdTrp1!O77</f>
        <v>5</v>
      </c>
      <c r="Q82" s="169">
        <f>CdTrp1!P77</f>
        <v>5</v>
      </c>
      <c r="R82" s="169">
        <f>CdTrp1!Q77</f>
        <v>5</v>
      </c>
      <c r="S82" s="169">
        <f>CdTrp1!R77</f>
        <v>5</v>
      </c>
      <c r="T82" s="169">
        <f>CdTrp1!S77</f>
        <v>5</v>
      </c>
      <c r="U82" s="169">
        <f>CdTrp1!T77</f>
        <v>1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1</v>
      </c>
      <c r="M83" s="169">
        <f>CdTrp1!L78</f>
        <v>1</v>
      </c>
      <c r="N83" s="169">
        <f>CdTrp1!M78</f>
        <v>1</v>
      </c>
      <c r="O83" s="169">
        <f>CdTrp1!N78</f>
        <v>1</v>
      </c>
      <c r="P83" s="169">
        <f>CdTrp1!O78</f>
        <v>1</v>
      </c>
      <c r="Q83" s="169">
        <f>CdTrp1!P78</f>
        <v>1</v>
      </c>
      <c r="R83" s="169">
        <f>CdTrp1!Q78</f>
        <v>1</v>
      </c>
      <c r="S83" s="169">
        <f>CdTrp1!R78</f>
        <v>1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1</v>
      </c>
      <c r="I84" s="169">
        <f>CdTrp1!H79</f>
        <v>2</v>
      </c>
      <c r="J84" s="169">
        <f>CdTrp1!I79</f>
        <v>2</v>
      </c>
      <c r="K84" s="169">
        <f>CdTrp1!J79</f>
        <v>5</v>
      </c>
      <c r="L84" s="169">
        <f>CdTrp1!K79</f>
        <v>5</v>
      </c>
      <c r="M84" s="169">
        <f>CdTrp1!L79</f>
        <v>5</v>
      </c>
      <c r="N84" s="169">
        <f>CdTrp1!M79</f>
        <v>5</v>
      </c>
      <c r="O84" s="169">
        <f>CdTrp1!N79</f>
        <v>5</v>
      </c>
      <c r="P84" s="169">
        <f>CdTrp1!O79</f>
        <v>5</v>
      </c>
      <c r="Q84" s="169">
        <f>CdTrp1!P79</f>
        <v>5</v>
      </c>
      <c r="R84" s="169">
        <f>CdTrp1!Q79</f>
        <v>5</v>
      </c>
      <c r="S84" s="169">
        <f>CdTrp1!R79</f>
        <v>5</v>
      </c>
      <c r="T84" s="169">
        <f>CdTrp1!S79</f>
        <v>5</v>
      </c>
      <c r="U84" s="169">
        <f>CdTrp1!T79</f>
        <v>1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2</v>
      </c>
      <c r="T85" s="169">
        <f>CdTrp1!S80</f>
        <v>2</v>
      </c>
      <c r="U85" s="169">
        <f>CdTrp1!T80</f>
        <v>2</v>
      </c>
      <c r="V85" s="169">
        <f>CdTrp1!U80</f>
        <v>1</v>
      </c>
      <c r="W85" s="169">
        <f>CdTrp1!V80</f>
        <v>1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743</v>
      </c>
    </row>
    <row r="110" spans="1:27" x14ac:dyDescent="0.25">
      <c r="A110" s="40" t="s">
        <v>746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747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743</v>
      </c>
    </row>
    <row r="153" spans="1:27" x14ac:dyDescent="0.25">
      <c r="A153" s="40" t="s">
        <v>748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749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750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751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752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753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755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756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757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758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759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760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1424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761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762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763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764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765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766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767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768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769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3" activePane="bottomLeft" state="frozen"/>
      <selection activeCell="L93" sqref="L93"/>
      <selection pane="bottomLeft" activeCell="F31" sqref="F31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770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2" t="s">
        <v>771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771</v>
      </c>
      <c r="AS2" s="40" t="s">
        <v>565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579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772</v>
      </c>
      <c r="B3" s="2"/>
      <c r="C3" s="2"/>
      <c r="D3" s="23"/>
      <c r="E3" s="23"/>
      <c r="AR3" s="182" t="s">
        <v>771</v>
      </c>
      <c r="AT3" s="2" t="s">
        <v>773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773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773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774</v>
      </c>
      <c r="B4" s="2"/>
      <c r="C4" s="2"/>
      <c r="D4" s="23"/>
      <c r="E4" s="23"/>
      <c r="F4" s="33"/>
      <c r="AR4" s="182" t="s">
        <v>771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16.046511627906977</v>
      </c>
      <c r="BC4" s="169">
        <f>CdTrp1!I15</f>
        <v>13.906976744186046</v>
      </c>
      <c r="BD4" s="169">
        <f>CdTrp1!J15</f>
        <v>8.5581395348837201</v>
      </c>
      <c r="BE4" s="169">
        <f>CdTrp1!K15</f>
        <v>4.2790697674418601</v>
      </c>
      <c r="BF4" s="169">
        <f>CdTrp1!L15</f>
        <v>2.13953488372093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565</v>
      </c>
      <c r="F5" s="169">
        <f>SUM(G5:AD5)</f>
        <v>206.5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8.75</v>
      </c>
      <c r="M5" s="169">
        <f t="shared" si="0"/>
        <v>21</v>
      </c>
      <c r="N5" s="169">
        <f t="shared" si="0"/>
        <v>21</v>
      </c>
      <c r="O5" s="169">
        <f t="shared" si="0"/>
        <v>10.5</v>
      </c>
      <c r="P5" s="169">
        <f t="shared" si="0"/>
        <v>21</v>
      </c>
      <c r="Q5" s="169">
        <f t="shared" si="0"/>
        <v>10.5</v>
      </c>
      <c r="R5" s="169">
        <f t="shared" si="0"/>
        <v>10.5</v>
      </c>
      <c r="S5" s="169">
        <f t="shared" si="0"/>
        <v>10.5</v>
      </c>
      <c r="T5" s="169">
        <f t="shared" si="0"/>
        <v>10.5</v>
      </c>
      <c r="U5" s="169">
        <f t="shared" si="0"/>
        <v>10.5</v>
      </c>
      <c r="V5" s="169">
        <f t="shared" si="0"/>
        <v>10.5</v>
      </c>
      <c r="W5" s="169">
        <f t="shared" si="0"/>
        <v>15.75</v>
      </c>
      <c r="X5" s="169">
        <f t="shared" si="0"/>
        <v>15.75</v>
      </c>
      <c r="Y5" s="169">
        <f t="shared" si="0"/>
        <v>22.75</v>
      </c>
      <c r="Z5" s="169">
        <f t="shared" si="0"/>
        <v>3.5</v>
      </c>
      <c r="AA5" s="169">
        <f t="shared" si="0"/>
        <v>3.5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771</v>
      </c>
      <c r="AT5" s="183" t="str">
        <f t="shared" ref="AT5:AT13" si="1">AT27</f>
        <v xml:space="preserve">Vaches lot principal </v>
      </c>
      <c r="AU5" s="168"/>
      <c r="AV5" s="169">
        <f>CdTrp1!B16</f>
        <v>32.093023255813954</v>
      </c>
      <c r="AW5" s="169">
        <f>CdTrp1!C16</f>
        <v>35.302325581395351</v>
      </c>
      <c r="AX5" s="169">
        <f>CdTrp1!D16</f>
        <v>35.302325581395351</v>
      </c>
      <c r="AY5" s="169">
        <f>CdTrp1!E16</f>
        <v>35.302325581395351</v>
      </c>
      <c r="AZ5" s="169">
        <f>CdTrp1!F16</f>
        <v>35.302325581395351</v>
      </c>
      <c r="BA5" s="169">
        <f>CdTrp1!G16</f>
        <v>35.302325581395351</v>
      </c>
      <c r="BB5" s="169">
        <f>CdTrp1!H16</f>
        <v>19.255813953488371</v>
      </c>
      <c r="BC5" s="169">
        <f>CdTrp1!I16</f>
        <v>21.395348837209301</v>
      </c>
      <c r="BD5" s="169">
        <f>CdTrp1!J16</f>
        <v>26.744186046511629</v>
      </c>
      <c r="BE5" s="169">
        <f>CdTrp1!K16</f>
        <v>31.023255813953487</v>
      </c>
      <c r="BF5" s="169">
        <f>CdTrp1!L16</f>
        <v>33.162790697674417</v>
      </c>
      <c r="BG5" s="169">
        <f>CdTrp1!M16</f>
        <v>35.302325581395351</v>
      </c>
      <c r="BH5" s="169">
        <f>CdTrp1!N16</f>
        <v>35.302325581395351</v>
      </c>
      <c r="BI5" s="169">
        <f>CdTrp1!O16</f>
        <v>35.302325581395351</v>
      </c>
      <c r="BJ5" s="169">
        <f>CdTrp1!P16</f>
        <v>35.302325581395351</v>
      </c>
      <c r="BK5" s="169">
        <f>CdTrp1!Q16</f>
        <v>34.232558139534881</v>
      </c>
      <c r="BL5" s="169">
        <f>CdTrp1!R16</f>
        <v>22.465116279069768</v>
      </c>
      <c r="BM5" s="169">
        <f>CdTrp1!S16</f>
        <v>22.465116279069768</v>
      </c>
      <c r="BN5" s="169">
        <f>CdTrp1!T16</f>
        <v>22.465116279069768</v>
      </c>
      <c r="BO5" s="169">
        <f>CdTrp1!U16</f>
        <v>23.534883720930232</v>
      </c>
      <c r="BP5" s="169">
        <f>CdTrp1!V16</f>
        <v>23.534883720930232</v>
      </c>
      <c r="BQ5" s="169">
        <f>CdTrp1!W16</f>
        <v>24.604651162790699</v>
      </c>
      <c r="BR5" s="169">
        <f>CdTrp1!X16</f>
        <v>24.604651162790699</v>
      </c>
      <c r="BS5" s="169">
        <f>CdTrp1!Y16</f>
        <v>27.813953488372093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579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771</v>
      </c>
      <c r="AT6" s="183" t="str">
        <f t="shared" si="1"/>
        <v>Génisses renouvellement</v>
      </c>
      <c r="AU6" s="168"/>
      <c r="AV6" s="169">
        <f>CdTrp1!B17</f>
        <v>11.767441860465116</v>
      </c>
      <c r="AW6" s="169">
        <f>CdTrp1!C17</f>
        <v>13.906976744186046</v>
      </c>
      <c r="AX6" s="169">
        <f>CdTrp1!D17</f>
        <v>18.186046511627907</v>
      </c>
      <c r="AY6" s="169">
        <f>CdTrp1!E17</f>
        <v>21.395348837209301</v>
      </c>
      <c r="AZ6" s="169">
        <f>CdTrp1!F17</f>
        <v>21.395348837209301</v>
      </c>
      <c r="BA6" s="169">
        <f>CdTrp1!G17</f>
        <v>21.395348837209301</v>
      </c>
      <c r="BB6" s="169">
        <f>CdTrp1!H17</f>
        <v>21.395348837209301</v>
      </c>
      <c r="BC6" s="169">
        <f>CdTrp1!I17</f>
        <v>21.395348837209301</v>
      </c>
      <c r="BD6" s="169">
        <f>CdTrp1!J17</f>
        <v>21.395348837209301</v>
      </c>
      <c r="BE6" s="169">
        <f>CdTrp1!K17</f>
        <v>21.395348837209301</v>
      </c>
      <c r="BF6" s="169">
        <f>CdTrp1!L17</f>
        <v>21.395348837209301</v>
      </c>
      <c r="BG6" s="169">
        <f>CdTrp1!M17</f>
        <v>21.395348837209301</v>
      </c>
      <c r="BH6" s="169">
        <f>CdTrp1!N17</f>
        <v>21.395348837209301</v>
      </c>
      <c r="BI6" s="169">
        <f>CdTrp1!O17</f>
        <v>21.395348837209301</v>
      </c>
      <c r="BJ6" s="169">
        <f>CdTrp1!P17</f>
        <v>21.395348837209301</v>
      </c>
      <c r="BK6" s="169">
        <f>CdTrp1!Q17</f>
        <v>21.395348837209301</v>
      </c>
      <c r="BL6" s="169">
        <f>CdTrp1!R17</f>
        <v>20.325581395348838</v>
      </c>
      <c r="BM6" s="169">
        <f>CdTrp1!S17</f>
        <v>20.325581395348838</v>
      </c>
      <c r="BN6" s="169">
        <f>CdTrp1!T17</f>
        <v>18.186046511627907</v>
      </c>
      <c r="BO6" s="169">
        <f>CdTrp1!U17</f>
        <v>16.046511627906977</v>
      </c>
      <c r="BP6" s="169">
        <f>CdTrp1!V17</f>
        <v>13.906976744186046</v>
      </c>
      <c r="BQ6" s="169">
        <f>CdTrp1!W17</f>
        <v>11.767441860465116</v>
      </c>
      <c r="BR6" s="169">
        <f>CdTrp1!X17</f>
        <v>10.697674418604651</v>
      </c>
      <c r="BS6" s="169">
        <f>CdTrp1!Y17</f>
        <v>10.697674418604651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771</v>
      </c>
      <c r="AT7" s="183" t="str">
        <f t="shared" si="1"/>
        <v>génisses 2/3 ans</v>
      </c>
      <c r="AU7" s="168"/>
      <c r="AV7" s="169">
        <f>CdTrp1!B18</f>
        <v>10.697674418604651</v>
      </c>
      <c r="AW7" s="169">
        <f>CdTrp1!C18</f>
        <v>10.697674418604651</v>
      </c>
      <c r="AX7" s="169">
        <f>CdTrp1!D18</f>
        <v>10.697674418604651</v>
      </c>
      <c r="AY7" s="169">
        <f>CdTrp1!E18</f>
        <v>10.697674418604651</v>
      </c>
      <c r="AZ7" s="169">
        <f>CdTrp1!F18</f>
        <v>10.697674418604651</v>
      </c>
      <c r="BA7" s="169">
        <f>CdTrp1!G18</f>
        <v>10.697674418604651</v>
      </c>
      <c r="BB7" s="169">
        <f>CdTrp1!H18</f>
        <v>10.697674418604651</v>
      </c>
      <c r="BC7" s="169">
        <f>CdTrp1!I18</f>
        <v>10.697674418604651</v>
      </c>
      <c r="BD7" s="169">
        <f>CdTrp1!J18</f>
        <v>10.697674418604651</v>
      </c>
      <c r="BE7" s="169">
        <f>CdTrp1!K18</f>
        <v>10.697674418604651</v>
      </c>
      <c r="BF7" s="169">
        <f>CdTrp1!L18</f>
        <v>10.697674418604651</v>
      </c>
      <c r="BG7" s="169">
        <f>CdTrp1!M18</f>
        <v>10.697674418604651</v>
      </c>
      <c r="BH7" s="169">
        <f>CdTrp1!N18</f>
        <v>10.697674418604651</v>
      </c>
      <c r="BI7" s="169">
        <f>CdTrp1!O18</f>
        <v>10.697674418604651</v>
      </c>
      <c r="BJ7" s="169">
        <f>CdTrp1!P18</f>
        <v>10.697674418604651</v>
      </c>
      <c r="BK7" s="169">
        <f>CdTrp1!Q18</f>
        <v>10.697674418604651</v>
      </c>
      <c r="BL7" s="169">
        <f>CdTrp1!R18</f>
        <v>10.697674418604651</v>
      </c>
      <c r="BM7" s="169">
        <f>CdTrp1!S18</f>
        <v>10.697674418604651</v>
      </c>
      <c r="BN7" s="169">
        <f>CdTrp1!T18</f>
        <v>10.697674418604651</v>
      </c>
      <c r="BO7" s="169">
        <f>CdTrp1!U18</f>
        <v>10.697674418604651</v>
      </c>
      <c r="BP7" s="169">
        <f>CdTrp1!V18</f>
        <v>10.697674418604651</v>
      </c>
      <c r="BQ7" s="169">
        <f>CdTrp1!W18</f>
        <v>10.697674418604651</v>
      </c>
      <c r="BR7" s="169">
        <f>CdTrp1!X18</f>
        <v>10.697674418604651</v>
      </c>
      <c r="BS7" s="169">
        <f>CdTrp1!Y18</f>
        <v>10.697674418604651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775</v>
      </c>
      <c r="B8" s="2"/>
      <c r="C8" s="2"/>
      <c r="D8" s="23"/>
      <c r="E8" s="23"/>
      <c r="AR8" s="182" t="s">
        <v>771</v>
      </c>
      <c r="AT8" s="183" t="str">
        <f t="shared" si="1"/>
        <v>tardive</v>
      </c>
      <c r="AU8" s="168"/>
      <c r="AV8" s="169">
        <f>CdTrp1!B19</f>
        <v>3.2093023255813953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11.767441860465116</v>
      </c>
      <c r="BM8" s="169">
        <f>CdTrp1!S19</f>
        <v>11.767441860465116</v>
      </c>
      <c r="BN8" s="169">
        <f>CdTrp1!T19</f>
        <v>11.767441860465116</v>
      </c>
      <c r="BO8" s="169">
        <f>CdTrp1!U19</f>
        <v>11.767441860465116</v>
      </c>
      <c r="BP8" s="169">
        <f>CdTrp1!V19</f>
        <v>11.767441860465116</v>
      </c>
      <c r="BQ8" s="169">
        <f>CdTrp1!W19</f>
        <v>11.767441860465116</v>
      </c>
      <c r="BR8" s="169">
        <f>CdTrp1!X19</f>
        <v>11.767441860465116</v>
      </c>
      <c r="BS8" s="169">
        <f>CdTrp1!Y19</f>
        <v>7.4883720930232558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565</v>
      </c>
      <c r="F9" s="169">
        <f>SUM(G9:AD9)</f>
        <v>958.23455813953524</v>
      </c>
      <c r="G9" s="30">
        <f>AV102</f>
        <v>53.168027906976747</v>
      </c>
      <c r="H9" s="30">
        <f t="shared" ref="H9:AD9" si="4">AW102</f>
        <v>53.668251162790696</v>
      </c>
      <c r="I9" s="30">
        <f t="shared" si="4"/>
        <v>54.668697674418603</v>
      </c>
      <c r="J9" s="30">
        <f t="shared" si="4"/>
        <v>55.419032558139534</v>
      </c>
      <c r="K9" s="30">
        <f t="shared" si="4"/>
        <v>55.419032558139534</v>
      </c>
      <c r="L9" s="30">
        <f t="shared" si="4"/>
        <v>44.664232558139531</v>
      </c>
      <c r="M9" s="30">
        <f t="shared" si="4"/>
        <v>48.415906976744189</v>
      </c>
      <c r="N9" s="30">
        <f t="shared" si="4"/>
        <v>47.915683720930232</v>
      </c>
      <c r="O9" s="30">
        <f t="shared" si="4"/>
        <v>46.665125581395344</v>
      </c>
      <c r="P9" s="30">
        <f t="shared" si="4"/>
        <v>24.664679069767441</v>
      </c>
      <c r="Q9" s="30">
        <f t="shared" si="4"/>
        <v>23.664232558139535</v>
      </c>
      <c r="R9" s="30">
        <f t="shared" si="4"/>
        <v>23.664232558139535</v>
      </c>
      <c r="S9" s="30">
        <f t="shared" si="4"/>
        <v>23.664232558139535</v>
      </c>
      <c r="T9" s="30">
        <f t="shared" si="4"/>
        <v>23.664232558139535</v>
      </c>
      <c r="U9" s="30">
        <f t="shared" si="4"/>
        <v>23.664232558139535</v>
      </c>
      <c r="V9" s="30">
        <f t="shared" si="4"/>
        <v>23.664232558139535</v>
      </c>
      <c r="W9" s="30">
        <f t="shared" si="4"/>
        <v>23.41412093023256</v>
      </c>
      <c r="X9" s="30">
        <f t="shared" si="4"/>
        <v>23.41412093023256</v>
      </c>
      <c r="Y9" s="30">
        <f t="shared" si="4"/>
        <v>22.913897674418603</v>
      </c>
      <c r="Z9" s="30">
        <f t="shared" si="4"/>
        <v>51.417246511627908</v>
      </c>
      <c r="AA9" s="30">
        <f t="shared" si="4"/>
        <v>50.917023255813952</v>
      </c>
      <c r="AB9" s="30">
        <f t="shared" si="4"/>
        <v>53.418139534883721</v>
      </c>
      <c r="AC9" s="30">
        <f t="shared" si="4"/>
        <v>53.168027906976747</v>
      </c>
      <c r="AD9" s="30">
        <f t="shared" si="4"/>
        <v>52.917916279069772</v>
      </c>
      <c r="AR9" s="182" t="s">
        <v>771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579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771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771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771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776</v>
      </c>
      <c r="F13" s="169">
        <f t="shared" si="5"/>
        <v>1164.7345581395346</v>
      </c>
      <c r="G13" s="30">
        <f>SUM(G5:G11)</f>
        <v>53.168027906976747</v>
      </c>
      <c r="H13" s="30">
        <f t="shared" ref="H13:AD13" si="8">SUM(H5:H11)</f>
        <v>53.668251162790696</v>
      </c>
      <c r="I13" s="30">
        <f t="shared" si="8"/>
        <v>54.668697674418603</v>
      </c>
      <c r="J13" s="30">
        <f t="shared" si="8"/>
        <v>55.419032558139534</v>
      </c>
      <c r="K13" s="30">
        <f t="shared" si="8"/>
        <v>55.419032558139534</v>
      </c>
      <c r="L13" s="30">
        <f t="shared" si="8"/>
        <v>53.414232558139531</v>
      </c>
      <c r="M13" s="30">
        <f t="shared" si="8"/>
        <v>69.415906976744196</v>
      </c>
      <c r="N13" s="30">
        <f t="shared" si="8"/>
        <v>68.915683720930232</v>
      </c>
      <c r="O13" s="30">
        <f t="shared" si="8"/>
        <v>57.165125581395344</v>
      </c>
      <c r="P13" s="30">
        <f t="shared" si="8"/>
        <v>45.664679069767445</v>
      </c>
      <c r="Q13" s="30">
        <f t="shared" si="8"/>
        <v>34.164232558139531</v>
      </c>
      <c r="R13" s="30">
        <f t="shared" si="8"/>
        <v>34.164232558139531</v>
      </c>
      <c r="S13" s="30">
        <f t="shared" si="8"/>
        <v>34.164232558139531</v>
      </c>
      <c r="T13" s="30">
        <f t="shared" si="8"/>
        <v>34.164232558139531</v>
      </c>
      <c r="U13" s="30">
        <f t="shared" si="8"/>
        <v>34.164232558139531</v>
      </c>
      <c r="V13" s="30">
        <f t="shared" si="8"/>
        <v>34.164232558139531</v>
      </c>
      <c r="W13" s="30">
        <f t="shared" si="8"/>
        <v>39.164120930232556</v>
      </c>
      <c r="X13" s="30">
        <f t="shared" si="8"/>
        <v>39.164120930232556</v>
      </c>
      <c r="Y13" s="30">
        <f t="shared" si="8"/>
        <v>45.663897674418607</v>
      </c>
      <c r="Z13" s="30">
        <f t="shared" si="8"/>
        <v>54.917246511627908</v>
      </c>
      <c r="AA13" s="30">
        <f t="shared" si="8"/>
        <v>54.417023255813952</v>
      </c>
      <c r="AB13" s="30">
        <f t="shared" si="8"/>
        <v>53.418139534883721</v>
      </c>
      <c r="AC13" s="30">
        <f t="shared" si="8"/>
        <v>53.168027906976747</v>
      </c>
      <c r="AD13" s="30">
        <f t="shared" si="8"/>
        <v>52.917916279069772</v>
      </c>
      <c r="AR13" s="182" t="s">
        <v>771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771</v>
      </c>
      <c r="AT14" s="2" t="s">
        <v>777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778</v>
      </c>
      <c r="B15" s="167" t="s">
        <v>779</v>
      </c>
      <c r="C15" s="167" t="s">
        <v>780</v>
      </c>
      <c r="D15" s="168" t="s">
        <v>781</v>
      </c>
      <c r="E15" s="168" t="s">
        <v>782</v>
      </c>
      <c r="F15" s="167" t="s">
        <v>783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565</v>
      </c>
      <c r="B16" s="184">
        <f>Scénario!K56</f>
        <v>1</v>
      </c>
      <c r="C16" s="184">
        <f>VALUE(LEFT(Scénario!K57,1))</f>
        <v>1</v>
      </c>
      <c r="D16" s="184">
        <f>IF(B16&gt;0,VLOOKUP(C16,[1]Trav!$A$86:$D$90,4),0)</f>
        <v>12</v>
      </c>
      <c r="E16" s="184">
        <f>Scénario!K54*2</f>
        <v>10</v>
      </c>
      <c r="F16" s="169">
        <f>IF(B16&gt;0,D16*E16/B16,0)</f>
        <v>120</v>
      </c>
      <c r="H16" t="s">
        <v>784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579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785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565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579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786</v>
      </c>
      <c r="AU25" s="178"/>
      <c r="BZ25" s="185" t="s">
        <v>786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786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787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635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771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636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771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788</v>
      </c>
      <c r="B30" s="187" t="s">
        <v>789</v>
      </c>
      <c r="C30" s="187" t="s">
        <v>790</v>
      </c>
      <c r="D30" s="188"/>
      <c r="E30" s="188"/>
      <c r="AR30" s="182" t="s">
        <v>771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565</v>
      </c>
      <c r="B31" s="169">
        <f>Troupeau!B18</f>
        <v>39</v>
      </c>
      <c r="C31" s="184">
        <f>IF(B31&gt;0,VLOOKUP(Troupeau!B3,[1]Trav!$A$96:$B$99,2),0)</f>
        <v>360</v>
      </c>
      <c r="D31" s="168"/>
      <c r="E31" s="168"/>
      <c r="F31" s="169">
        <f>B31*C31/60</f>
        <v>234</v>
      </c>
      <c r="AR31" s="182" t="s">
        <v>771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771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771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791</v>
      </c>
      <c r="B34" s="187" t="s">
        <v>792</v>
      </c>
      <c r="C34" s="187" t="s">
        <v>793</v>
      </c>
      <c r="D34" s="187" t="s">
        <v>794</v>
      </c>
      <c r="E34" s="188"/>
      <c r="F34" s="33"/>
      <c r="AR34" s="182" t="s">
        <v>771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771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579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771</v>
      </c>
      <c r="AT36" s="2" t="s">
        <v>748</v>
      </c>
      <c r="BZ36" s="2" t="s">
        <v>748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748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771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795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796</v>
      </c>
      <c r="B38" s="189" t="s">
        <v>797</v>
      </c>
      <c r="C38" s="189" t="s">
        <v>798</v>
      </c>
      <c r="D38" s="188"/>
      <c r="E38" s="188"/>
      <c r="F38" s="33"/>
      <c r="AR38" s="182" t="s">
        <v>771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799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771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2</v>
      </c>
      <c r="BH39" s="169">
        <f>IF(CdTrp1!N54=1,3,IF(CdTrp1!N54=0.5,2,IF(CdTrp1!N54=0,1,0)))</f>
        <v>2</v>
      </c>
      <c r="BI39" s="169">
        <f>IF(CdTrp1!O54=1,3,IF(CdTrp1!O54=0.5,2,IF(CdTrp1!O54=0,1,0)))</f>
        <v>2</v>
      </c>
      <c r="BJ39" s="169">
        <f>IF(CdTrp1!P54=1,3,IF(CdTrp1!P54=0.5,2,IF(CdTrp1!P54=0,1,0)))</f>
        <v>2</v>
      </c>
      <c r="BK39" s="169">
        <f>IF(CdTrp1!Q54=1,3,IF(CdTrp1!Q54=0.5,2,IF(CdTrp1!Q54=0,1,0)))</f>
        <v>2</v>
      </c>
      <c r="BL39" s="169">
        <f>IF(CdTrp1!R54=1,3,IF(CdTrp1!R54=0.5,2,IF(CdTrp1!R54=0,1,0)))</f>
        <v>2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800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771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771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801</v>
      </c>
      <c r="B42" s="2"/>
      <c r="F42" s="33"/>
      <c r="AR42" s="182" t="s">
        <v>771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565</v>
      </c>
      <c r="AR43" s="182" t="s">
        <v>771</v>
      </c>
      <c r="AT43" s="257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771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771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771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771</v>
      </c>
      <c r="AT47" s="2" t="s">
        <v>802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802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802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803</v>
      </c>
      <c r="AR48" s="182" t="s">
        <v>771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804</v>
      </c>
      <c r="B49" s="167" t="s">
        <v>51</v>
      </c>
      <c r="C49" t="s">
        <v>805</v>
      </c>
      <c r="AR49" s="182" t="s">
        <v>771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0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1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806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807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771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1</v>
      </c>
      <c r="BH50" s="169">
        <f>IF(CdTrp1!N78=1,1,IF(CdTrp1!N78=2,2,IF(CdTrp1!N78=3,2,0)))</f>
        <v>1</v>
      </c>
      <c r="BI50" s="169">
        <f>IF(CdTrp1!O78=1,1,IF(CdTrp1!O78=2,2,IF(CdTrp1!O78=3,2,0)))</f>
        <v>1</v>
      </c>
      <c r="BJ50" s="169">
        <f>IF(CdTrp1!P78=1,1,IF(CdTrp1!P78=2,2,IF(CdTrp1!P78=3,2,0)))</f>
        <v>1</v>
      </c>
      <c r="BK50" s="169">
        <f>IF(CdTrp1!Q78=1,1,IF(CdTrp1!Q78=2,2,IF(CdTrp1!Q78=3,2,0)))</f>
        <v>1</v>
      </c>
      <c r="BL50" s="169">
        <f>IF(CdTrp1!R78=1,1,IF(CdTrp1!R78=2,2,IF(CdTrp1!R78=3,2,0)))</f>
        <v>1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808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809</v>
      </c>
      <c r="B51" s="169">
        <f>Scénario!K34</f>
        <v>0</v>
      </c>
      <c r="C51" s="184">
        <f>IF(B51&gt;[1]Trav!E117,[1]Trav!C117,[1]Trav!B117)</f>
        <v>15.7</v>
      </c>
      <c r="E51" s="168"/>
      <c r="F51" s="169">
        <f t="shared" ref="F51:F59" si="32">ROUND(B51*C51,0)</f>
        <v>0</v>
      </c>
      <c r="AR51" s="182" t="s">
        <v>771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1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1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810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811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771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2</v>
      </c>
      <c r="BM52" s="169">
        <f>IF(CdTrp1!S80=1,1,IF(CdTrp1!S80=2,2,IF(CdTrp1!S80=3,2,0)))</f>
        <v>2</v>
      </c>
      <c r="BN52" s="169">
        <f>IF(CdTrp1!T80=1,1,IF(CdTrp1!T80=2,2,IF(CdTrp1!T80=3,2,0)))</f>
        <v>2</v>
      </c>
      <c r="BO52" s="169">
        <f>IF(CdTrp1!U80=1,1,IF(CdTrp1!U80=2,2,IF(CdTrp1!U80=3,2,0)))</f>
        <v>1</v>
      </c>
      <c r="BP52" s="169">
        <f>IF(CdTrp1!V80=1,1,IF(CdTrp1!V80=2,2,IF(CdTrp1!V80=3,2,0)))</f>
        <v>1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812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771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813</v>
      </c>
      <c r="B54" s="169">
        <f>SUM(Scénario!K40:K42)</f>
        <v>24.1</v>
      </c>
      <c r="C54" s="184">
        <f>IF(B54&gt;[1]Trav!E119,[1]Trav!C119,[1]Trav!B119)</f>
        <v>1.4</v>
      </c>
      <c r="D54"/>
      <c r="E54" s="168"/>
      <c r="F54" s="169">
        <f t="shared" si="32"/>
        <v>34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771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814</v>
      </c>
      <c r="B55" s="169">
        <f>Scénario!M28*(1-Scénario!K31/100)</f>
        <v>15.679999999999998</v>
      </c>
      <c r="C55" s="184">
        <f>IF(B55&gt;[1]Trav!E121,[1]Trav!C121,[1]Trav!B121)</f>
        <v>7.2</v>
      </c>
      <c r="D55"/>
      <c r="E55" s="168"/>
      <c r="F55" s="169">
        <f t="shared" si="32"/>
        <v>113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771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815</v>
      </c>
      <c r="B56" s="169">
        <f>Scénario!M29</f>
        <v>18.100000000000001</v>
      </c>
      <c r="C56" s="184">
        <f>IF(B56&gt;[1]Trav!E121,[1]Trav!C121,[1]Trav!B121)</f>
        <v>7.2</v>
      </c>
      <c r="D56"/>
      <c r="E56" s="168"/>
      <c r="F56" s="169">
        <f t="shared" si="32"/>
        <v>130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771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816</v>
      </c>
      <c r="B57" s="169">
        <f>Scénario!M30</f>
        <v>3.6</v>
      </c>
      <c r="C57" s="184">
        <f>IF(B57&gt;[1]Trav!E121,[1]Trav!C121,[1]Trav!B121)</f>
        <v>7.2</v>
      </c>
      <c r="D57"/>
      <c r="E57" s="168"/>
      <c r="F57" s="169">
        <f t="shared" si="32"/>
        <v>26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771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817</v>
      </c>
      <c r="B58" s="173">
        <f>Scénario!M28-Travail!B55</f>
        <v>6.7200000000000006</v>
      </c>
      <c r="C58" s="184">
        <f>IF(B58&gt;[1]Trav!E122,[1]Trav!C122,[1]Trav!B122)</f>
        <v>4.4000000000000004</v>
      </c>
      <c r="E58" s="168"/>
      <c r="F58" s="169">
        <f t="shared" si="32"/>
        <v>30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771</v>
      </c>
      <c r="AT58" s="40" t="s">
        <v>818</v>
      </c>
      <c r="AU58" s="14"/>
      <c r="BZ58" s="40" t="s">
        <v>818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818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819</v>
      </c>
      <c r="B59" s="173">
        <f>Scénario!K32</f>
        <v>2.2000000000000002</v>
      </c>
      <c r="C59" s="184">
        <f>[1]Trav!$B$123</f>
        <v>7.2</v>
      </c>
      <c r="E59" s="168"/>
      <c r="F59" s="169">
        <f t="shared" si="32"/>
        <v>16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771</v>
      </c>
      <c r="AT59" s="14" t="s">
        <v>820</v>
      </c>
      <c r="AU59" s="30">
        <f>VALUE(CONCATENATE(Scénario!K8,Travail!AU2))</f>
        <v>22</v>
      </c>
      <c r="BZ59" s="14" t="s">
        <v>820</v>
      </c>
      <c r="CA59" s="30">
        <f>VALUE(CONCATENATE(Scénario!K8,Travail!CA2))</f>
        <v>20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820</v>
      </c>
      <c r="DD59" s="30">
        <f>VALUE(CONCATENATE(Scénario!K8,Travail!DD2))</f>
        <v>20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771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822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823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771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212</v>
      </c>
      <c r="BB61" s="169">
        <f>IF(BB16=0,0,IF(BB38=3,0,VALUE(CONCATENATE(Travail!BB27,Travail!BB38,Travail!BB49))))</f>
        <v>212</v>
      </c>
      <c r="BC61" s="169">
        <f>IF(BC16=0,0,IF(BC38=3,0,VALUE(CONCATENATE(Travail!BC27,Travail!BC38,Travail!BC49))))</f>
        <v>212</v>
      </c>
      <c r="BD61" s="169">
        <f>IF(BD16=0,0,IF(BD38=3,0,VALUE(CONCATENATE(Travail!BD27,Travail!BD38,Travail!BD49))))</f>
        <v>210</v>
      </c>
      <c r="BE61" s="169">
        <f>IF(BE16=0,0,IF(BE38=3,0,VALUE(CONCATENATE(Travail!BE27,Travail!BE38,Travail!BE49))))</f>
        <v>210</v>
      </c>
      <c r="BF61" s="169">
        <f>IF(BF16=0,0,IF(BF38=3,0,VALUE(CONCATENATE(Travail!BF27,Travail!BF38,Travail!BF49))))</f>
        <v>210</v>
      </c>
      <c r="BG61" s="169">
        <f>IF(BG16=0,0,IF(BG38=3,0,VALUE(CONCATENATE(Travail!BG27,Travail!BG38,Travail!BG49))))</f>
        <v>210</v>
      </c>
      <c r="BH61" s="169">
        <f>IF(BH16=0,0,IF(BH38=3,0,VALUE(CONCATENATE(Travail!BH27,Travail!BH38,Travail!BH49))))</f>
        <v>210</v>
      </c>
      <c r="BI61" s="169">
        <f>IF(BI16=0,0,IF(BI38=3,0,VALUE(CONCATENATE(Travail!BI27,Travail!BI38,Travail!BI49))))</f>
        <v>210</v>
      </c>
      <c r="BJ61" s="169">
        <f>IF(BJ16=0,0,IF(BJ38=3,0,VALUE(CONCATENATE(Travail!BJ27,Travail!BJ38,Travail!BJ49))))</f>
        <v>210</v>
      </c>
      <c r="BK61" s="169">
        <f>IF(BK16=0,0,IF(BK38=3,0,VALUE(CONCATENATE(Travail!BK27,Travail!BK38,Travail!BK49))))</f>
        <v>210</v>
      </c>
      <c r="BL61" s="169">
        <f>IF(BL16=0,0,IF(BL38=3,0,VALUE(CONCATENATE(Travail!BL27,Travail!BL38,Travail!BL49))))</f>
        <v>210</v>
      </c>
      <c r="BM61" s="169">
        <f>IF(BM16=0,0,IF(BM38=3,0,VALUE(CONCATENATE(Travail!BM27,Travail!BM38,Travail!BM49))))</f>
        <v>210</v>
      </c>
      <c r="BN61" s="169">
        <f>IF(BN16=0,0,IF(BN38=3,0,VALUE(CONCATENATE(Travail!BN27,Travail!BN38,Travail!BN49))))</f>
        <v>211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824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771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121</v>
      </c>
      <c r="BF62" s="169">
        <f>IF(BF17=0,0,IF(BF39=3,0,VALUE(CONCATENATE(Travail!BF28,Travail!BF39,Travail!BF50))))</f>
        <v>121</v>
      </c>
      <c r="BG62" s="169">
        <f>IF(BG17=0,0,IF(BG39=3,0,VALUE(CONCATENATE(Travail!BG28,Travail!BG39,Travail!BG50))))</f>
        <v>121</v>
      </c>
      <c r="BH62" s="169">
        <f>IF(BH17=0,0,IF(BH39=3,0,VALUE(CONCATENATE(Travail!BH28,Travail!BH39,Travail!BH50))))</f>
        <v>121</v>
      </c>
      <c r="BI62" s="169">
        <f>IF(BI17=0,0,IF(BI39=3,0,VALUE(CONCATENATE(Travail!BI28,Travail!BI39,Travail!BI50))))</f>
        <v>121</v>
      </c>
      <c r="BJ62" s="169">
        <f>IF(BJ17=0,0,IF(BJ39=3,0,VALUE(CONCATENATE(Travail!BJ28,Travail!BJ39,Travail!BJ50))))</f>
        <v>121</v>
      </c>
      <c r="BK62" s="169">
        <f>IF(BK17=0,0,IF(BK39=3,0,VALUE(CONCATENATE(Travail!BK28,Travail!BK39,Travail!BK50))))</f>
        <v>121</v>
      </c>
      <c r="BL62" s="169">
        <f>IF(BL17=0,0,IF(BL39=3,0,VALUE(CONCATENATE(Travail!BL28,Travail!BL39,Travail!BL50))))</f>
        <v>121</v>
      </c>
      <c r="BM62" s="169">
        <f>IF(BM17=0,0,IF(BM39=3,0,VALUE(CONCATENATE(Travail!BM28,Travail!BM39,Travail!BM50))))</f>
        <v>121</v>
      </c>
      <c r="BN62" s="169">
        <f>IF(BN17=0,0,IF(BN39=3,0,VALUE(CONCATENATE(Travail!BN28,Travail!BN39,Travail!BN50))))</f>
        <v>121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825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771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111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110</v>
      </c>
      <c r="BE63" s="169">
        <f>IF(BE18=0,0,IF(BE40=3,0,VALUE(CONCATENATE(Travail!BE29,Travail!BE40,Travail!BE51))))</f>
        <v>110</v>
      </c>
      <c r="BF63" s="169">
        <f>IF(BF18=0,0,IF(BF40=3,0,VALUE(CONCATENATE(Travail!BF29,Travail!BF40,Travail!BF51))))</f>
        <v>110</v>
      </c>
      <c r="BG63" s="169">
        <f>IF(BG18=0,0,IF(BG40=3,0,VALUE(CONCATENATE(Travail!BG29,Travail!BG40,Travail!BG51))))</f>
        <v>110</v>
      </c>
      <c r="BH63" s="169">
        <f>IF(BH18=0,0,IF(BH40=3,0,VALUE(CONCATENATE(Travail!BH29,Travail!BH40,Travail!BH51))))</f>
        <v>110</v>
      </c>
      <c r="BI63" s="169">
        <f>IF(BI18=0,0,IF(BI40=3,0,VALUE(CONCATENATE(Travail!BI29,Travail!BI40,Travail!BI51))))</f>
        <v>110</v>
      </c>
      <c r="BJ63" s="169">
        <f>IF(BJ18=0,0,IF(BJ40=3,0,VALUE(CONCATENATE(Travail!BJ29,Travail!BJ40,Travail!BJ51))))</f>
        <v>110</v>
      </c>
      <c r="BK63" s="169">
        <f>IF(BK18=0,0,IF(BK40=3,0,VALUE(CONCATENATE(Travail!BK29,Travail!BK40,Travail!BK51))))</f>
        <v>110</v>
      </c>
      <c r="BL63" s="169">
        <f>IF(BL18=0,0,IF(BL40=3,0,VALUE(CONCATENATE(Travail!BL29,Travail!BL40,Travail!BL51))))</f>
        <v>110</v>
      </c>
      <c r="BM63" s="169">
        <f>IF(BM18=0,0,IF(BM40=3,0,VALUE(CONCATENATE(Travail!BM29,Travail!BM40,Travail!BM51))))</f>
        <v>110</v>
      </c>
      <c r="BN63" s="169">
        <f>IF(BN18=0,0,IF(BN40=3,0,VALUE(CONCATENATE(Travail!BN29,Travail!BN40,Travail!BN51))))</f>
        <v>111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826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112</v>
      </c>
      <c r="BM64" s="169">
        <f>IF(BM19=0,0,IF(BM41=3,0,VALUE(CONCATENATE(Travail!BM30,Travail!BM41,Travail!BM52))))</f>
        <v>112</v>
      </c>
      <c r="BN64" s="169">
        <f>IF(BN19=0,0,IF(BN41=3,0,VALUE(CONCATENATE(Travail!BN30,Travail!BN41,Travail!BN52))))</f>
        <v>112</v>
      </c>
      <c r="BO64" s="169">
        <f>IF(BO19=0,0,IF(BO41=3,0,VALUE(CONCATENATE(Travail!BO30,Travail!BO41,Travail!BO52))))</f>
        <v>111</v>
      </c>
      <c r="BP64" s="169">
        <f>IF(BP19=0,0,IF(BP41=3,0,VALUE(CONCATENATE(Travail!BP30,Travail!BP41,Travail!BP52))))</f>
        <v>111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827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771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771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828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771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829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771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830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771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832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771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833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771</v>
      </c>
      <c r="AT72" s="183" t="str">
        <f t="shared" ref="AT72:AT80" si="40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21</v>
      </c>
      <c r="BB72" s="169">
        <f t="shared" si="36"/>
        <v>21</v>
      </c>
      <c r="BC72" s="169">
        <f t="shared" si="36"/>
        <v>21</v>
      </c>
      <c r="BD72" s="169">
        <f t="shared" si="36"/>
        <v>21</v>
      </c>
      <c r="BE72" s="169">
        <f t="shared" si="36"/>
        <v>21</v>
      </c>
      <c r="BF72" s="169">
        <f t="shared" si="36"/>
        <v>21</v>
      </c>
      <c r="BG72" s="169">
        <f t="shared" si="36"/>
        <v>21</v>
      </c>
      <c r="BH72" s="169">
        <f t="shared" si="36"/>
        <v>21</v>
      </c>
      <c r="BI72" s="169">
        <f t="shared" si="36"/>
        <v>21</v>
      </c>
      <c r="BJ72" s="169">
        <f t="shared" si="36"/>
        <v>21</v>
      </c>
      <c r="BK72" s="169">
        <f t="shared" si="36"/>
        <v>21</v>
      </c>
      <c r="BL72" s="169">
        <f t="shared" si="36"/>
        <v>21</v>
      </c>
      <c r="BM72" s="169">
        <f t="shared" si="36"/>
        <v>21</v>
      </c>
      <c r="BN72" s="169">
        <f t="shared" si="36"/>
        <v>21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834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771</v>
      </c>
      <c r="AT73" s="183" t="str">
        <f t="shared" si="40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12</v>
      </c>
      <c r="BF73" s="169">
        <f t="shared" si="36"/>
        <v>12</v>
      </c>
      <c r="BG73" s="169">
        <f t="shared" si="36"/>
        <v>12</v>
      </c>
      <c r="BH73" s="169">
        <f t="shared" si="36"/>
        <v>12</v>
      </c>
      <c r="BI73" s="169">
        <f t="shared" si="36"/>
        <v>12</v>
      </c>
      <c r="BJ73" s="169">
        <f t="shared" si="36"/>
        <v>12</v>
      </c>
      <c r="BK73" s="169">
        <f t="shared" si="36"/>
        <v>12</v>
      </c>
      <c r="BL73" s="169">
        <f t="shared" si="36"/>
        <v>12</v>
      </c>
      <c r="BM73" s="169">
        <f t="shared" si="36"/>
        <v>12</v>
      </c>
      <c r="BN73" s="169">
        <f t="shared" si="36"/>
        <v>12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835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771</v>
      </c>
      <c r="AT74" s="183" t="str">
        <f t="shared" si="40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11</v>
      </c>
      <c r="BB74" s="169">
        <f t="shared" si="36"/>
        <v>11</v>
      </c>
      <c r="BC74" s="169">
        <f t="shared" si="36"/>
        <v>11</v>
      </c>
      <c r="BD74" s="169">
        <f t="shared" si="36"/>
        <v>11</v>
      </c>
      <c r="BE74" s="169">
        <f t="shared" si="36"/>
        <v>11</v>
      </c>
      <c r="BF74" s="169">
        <f t="shared" si="36"/>
        <v>11</v>
      </c>
      <c r="BG74" s="169">
        <f t="shared" si="36"/>
        <v>11</v>
      </c>
      <c r="BH74" s="169">
        <f t="shared" si="36"/>
        <v>11</v>
      </c>
      <c r="BI74" s="169">
        <f t="shared" si="36"/>
        <v>11</v>
      </c>
      <c r="BJ74" s="169">
        <f t="shared" si="36"/>
        <v>11</v>
      </c>
      <c r="BK74" s="169">
        <f t="shared" si="36"/>
        <v>11</v>
      </c>
      <c r="BL74" s="169">
        <f t="shared" si="36"/>
        <v>11</v>
      </c>
      <c r="BM74" s="169">
        <f t="shared" si="36"/>
        <v>11</v>
      </c>
      <c r="BN74" s="169">
        <f t="shared" si="36"/>
        <v>11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836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11</v>
      </c>
      <c r="BM75" s="169">
        <f t="shared" si="36"/>
        <v>11</v>
      </c>
      <c r="BN75" s="169">
        <f t="shared" si="36"/>
        <v>11</v>
      </c>
      <c r="BO75" s="169">
        <f t="shared" si="36"/>
        <v>11</v>
      </c>
      <c r="BP75" s="169">
        <f t="shared" si="36"/>
        <v>11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837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771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271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771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771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838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771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839</v>
      </c>
      <c r="B80" s="167" t="s">
        <v>840</v>
      </c>
      <c r="C80" s="167" t="s">
        <v>841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771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842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771</v>
      </c>
      <c r="AT81" s="19" t="s">
        <v>843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843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843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844</v>
      </c>
      <c r="C82" t="s">
        <v>845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771</v>
      </c>
      <c r="AT82" s="19" t="s">
        <v>846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2</v>
      </c>
      <c r="BP82" s="169">
        <f t="shared" si="47"/>
        <v>2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846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846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847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771</v>
      </c>
      <c r="AT83" s="19" t="s">
        <v>848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848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848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849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771</v>
      </c>
      <c r="AT84" s="19" t="s">
        <v>850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850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850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771</v>
      </c>
      <c r="AT85" s="40" t="s">
        <v>852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22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852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853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771</v>
      </c>
      <c r="AT86" s="40" t="s">
        <v>854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854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854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855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771</v>
      </c>
      <c r="AT87" s="40" t="s">
        <v>856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856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856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857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857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857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858</v>
      </c>
      <c r="B90" s="5" t="s">
        <v>859</v>
      </c>
      <c r="C90" s="5"/>
      <c r="D90" s="5" t="s">
        <v>860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16.046511627906977</v>
      </c>
      <c r="BC90" s="169">
        <f t="shared" si="60"/>
        <v>13.906976744186046</v>
      </c>
      <c r="BD90" s="169">
        <f t="shared" si="60"/>
        <v>8.5581395348837201</v>
      </c>
      <c r="BE90" s="169">
        <f t="shared" si="60"/>
        <v>4.2790697674418601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861</v>
      </c>
      <c r="B91" s="195">
        <f>F5+F9</f>
        <v>1164.7345581395352</v>
      </c>
      <c r="C91" s="5"/>
      <c r="D91" s="196">
        <f>B91/Troupeau!$B$17</f>
        <v>25.320316481294245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32.093023255813954</v>
      </c>
      <c r="AW91" s="169">
        <f t="shared" si="60"/>
        <v>35.302325581395351</v>
      </c>
      <c r="AX91" s="169">
        <f t="shared" si="60"/>
        <v>35.302325581395351</v>
      </c>
      <c r="AY91" s="169">
        <f t="shared" si="60"/>
        <v>35.302325581395351</v>
      </c>
      <c r="AZ91" s="169">
        <f t="shared" si="60"/>
        <v>35.302325581395351</v>
      </c>
      <c r="BA91" s="169">
        <f t="shared" si="60"/>
        <v>0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23.534883720930232</v>
      </c>
      <c r="BP91" s="169">
        <f t="shared" si="60"/>
        <v>23.534883720930232</v>
      </c>
      <c r="BQ91" s="169">
        <f t="shared" si="60"/>
        <v>24.604651162790699</v>
      </c>
      <c r="BR91" s="169">
        <f t="shared" si="60"/>
        <v>24.604651162790699</v>
      </c>
      <c r="BS91" s="169">
        <f t="shared" si="60"/>
        <v>27.813953488372093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862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11.767441860465116</v>
      </c>
      <c r="AW92" s="169">
        <f t="shared" si="60"/>
        <v>13.906976744186046</v>
      </c>
      <c r="AX92" s="169">
        <f t="shared" si="60"/>
        <v>18.186046511627907</v>
      </c>
      <c r="AY92" s="169">
        <f t="shared" si="60"/>
        <v>21.395348837209301</v>
      </c>
      <c r="AZ92" s="169">
        <f t="shared" si="60"/>
        <v>21.395348837209301</v>
      </c>
      <c r="BA92" s="169">
        <f t="shared" si="60"/>
        <v>21.395348837209301</v>
      </c>
      <c r="BB92" s="169">
        <f t="shared" si="60"/>
        <v>21.395348837209301</v>
      </c>
      <c r="BC92" s="169">
        <f t="shared" si="60"/>
        <v>21.395348837209301</v>
      </c>
      <c r="BD92" s="169">
        <f t="shared" si="60"/>
        <v>21.395348837209301</v>
      </c>
      <c r="BE92" s="169">
        <f t="shared" si="60"/>
        <v>21.395348837209301</v>
      </c>
      <c r="BF92" s="169">
        <f t="shared" si="60"/>
        <v>21.395348837209301</v>
      </c>
      <c r="BG92" s="169">
        <f t="shared" si="60"/>
        <v>21.395348837209301</v>
      </c>
      <c r="BH92" s="169">
        <f t="shared" si="60"/>
        <v>21.395348837209301</v>
      </c>
      <c r="BI92" s="169">
        <f t="shared" si="60"/>
        <v>21.395348837209301</v>
      </c>
      <c r="BJ92" s="169">
        <f t="shared" si="60"/>
        <v>21.395348837209301</v>
      </c>
      <c r="BK92" s="169">
        <f t="shared" si="60"/>
        <v>21.395348837209301</v>
      </c>
      <c r="BL92" s="169">
        <f t="shared" si="60"/>
        <v>20.325581395348838</v>
      </c>
      <c r="BM92" s="169">
        <f t="shared" si="60"/>
        <v>20.325581395348838</v>
      </c>
      <c r="BN92" s="169">
        <f t="shared" si="60"/>
        <v>18.186046511627907</v>
      </c>
      <c r="BO92" s="169">
        <f t="shared" si="60"/>
        <v>16.046511627906977</v>
      </c>
      <c r="BP92" s="169">
        <f t="shared" si="60"/>
        <v>13.906976744186046</v>
      </c>
      <c r="BQ92" s="169">
        <f t="shared" si="60"/>
        <v>11.767441860465116</v>
      </c>
      <c r="BR92" s="169">
        <f t="shared" si="60"/>
        <v>10.697674418604651</v>
      </c>
      <c r="BS92" s="169">
        <f t="shared" si="60"/>
        <v>10.697674418604651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863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10.697674418604651</v>
      </c>
      <c r="AW93" s="169">
        <f t="shared" si="60"/>
        <v>10.697674418604651</v>
      </c>
      <c r="AX93" s="169">
        <f t="shared" si="60"/>
        <v>10.697674418604651</v>
      </c>
      <c r="AY93" s="169">
        <f t="shared" si="60"/>
        <v>10.697674418604651</v>
      </c>
      <c r="AZ93" s="169">
        <f t="shared" si="60"/>
        <v>10.697674418604651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10.697674418604651</v>
      </c>
      <c r="BP93" s="169">
        <f t="shared" si="60"/>
        <v>10.697674418604651</v>
      </c>
      <c r="BQ93" s="169">
        <f t="shared" si="60"/>
        <v>10.697674418604651</v>
      </c>
      <c r="BR93" s="169">
        <f t="shared" si="60"/>
        <v>10.697674418604651</v>
      </c>
      <c r="BS93" s="169">
        <f t="shared" si="60"/>
        <v>10.697674418604651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864</v>
      </c>
      <c r="B94" s="197">
        <f>SUM(B91:B93)</f>
        <v>1164.7345581395352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3.2093023255813953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11.767441860465116</v>
      </c>
      <c r="BR94" s="169">
        <f t="shared" si="60"/>
        <v>11.767441860465116</v>
      </c>
      <c r="BS94" s="169">
        <f t="shared" si="60"/>
        <v>7.4883720930232558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865</v>
      </c>
      <c r="B95" s="30">
        <f>F16+F20</f>
        <v>120</v>
      </c>
      <c r="C95" s="5"/>
      <c r="D95" s="196">
        <f>B95/Troupeau!$B$17</f>
        <v>2.6086956521739131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866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867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868</v>
      </c>
      <c r="B98" s="46">
        <f>SUM(B95:B97)</f>
        <v>120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869</v>
      </c>
      <c r="B99" s="30">
        <f>F31+F35</f>
        <v>234</v>
      </c>
      <c r="C99" s="5"/>
      <c r="D99" s="196">
        <f>B99/Troupeau!$B$17</f>
        <v>5.0869565217391308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57.767441860465119</v>
      </c>
      <c r="AW99" s="62">
        <f t="shared" ref="AW99:BS99" si="68">SUM(AW90:AW98)</f>
        <v>59.906976744186046</v>
      </c>
      <c r="AX99" s="62">
        <f t="shared" si="68"/>
        <v>64.186046511627907</v>
      </c>
      <c r="AY99" s="62">
        <f t="shared" si="68"/>
        <v>67.395348837209298</v>
      </c>
      <c r="AZ99" s="62">
        <f t="shared" si="68"/>
        <v>67.395348837209298</v>
      </c>
      <c r="BA99" s="62">
        <f t="shared" si="68"/>
        <v>21.395348837209301</v>
      </c>
      <c r="BB99" s="62">
        <f t="shared" si="68"/>
        <v>37.441860465116278</v>
      </c>
      <c r="BC99" s="62">
        <f t="shared" si="68"/>
        <v>35.302325581395351</v>
      </c>
      <c r="BD99" s="62">
        <f t="shared" si="68"/>
        <v>29.95348837209302</v>
      </c>
      <c r="BE99" s="62">
        <f t="shared" si="68"/>
        <v>25.674418604651162</v>
      </c>
      <c r="BF99" s="62">
        <f t="shared" si="68"/>
        <v>21.395348837209301</v>
      </c>
      <c r="BG99" s="62">
        <f t="shared" si="68"/>
        <v>21.395348837209301</v>
      </c>
      <c r="BH99" s="62">
        <f t="shared" si="68"/>
        <v>21.395348837209301</v>
      </c>
      <c r="BI99" s="62">
        <f t="shared" si="68"/>
        <v>21.395348837209301</v>
      </c>
      <c r="BJ99" s="62">
        <f t="shared" si="68"/>
        <v>21.395348837209301</v>
      </c>
      <c r="BK99" s="62">
        <f t="shared" si="68"/>
        <v>21.395348837209301</v>
      </c>
      <c r="BL99" s="62">
        <f t="shared" si="68"/>
        <v>20.325581395348838</v>
      </c>
      <c r="BM99" s="62">
        <f t="shared" si="68"/>
        <v>20.325581395348838</v>
      </c>
      <c r="BN99" s="62">
        <f t="shared" si="68"/>
        <v>18.186046511627907</v>
      </c>
      <c r="BO99" s="62">
        <f t="shared" si="68"/>
        <v>50.279069767441854</v>
      </c>
      <c r="BP99" s="62">
        <f t="shared" si="68"/>
        <v>48.139534883720927</v>
      </c>
      <c r="BQ99" s="62">
        <f t="shared" si="68"/>
        <v>58.837209302325576</v>
      </c>
      <c r="BR99" s="62">
        <f t="shared" si="68"/>
        <v>57.767441860465112</v>
      </c>
      <c r="BS99" s="62">
        <f t="shared" si="68"/>
        <v>56.697674418604649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870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871</v>
      </c>
      <c r="AV100" s="169">
        <f>IF($AT$2="OL",AV99/50,AV99/10)</f>
        <v>5.7767441860465123</v>
      </c>
      <c r="AW100" s="169">
        <f t="shared" ref="AW100:BS100" si="71">IF($AT$2="OL",AW99/50,AW99/10)</f>
        <v>5.9906976744186045</v>
      </c>
      <c r="AX100" s="169">
        <f t="shared" si="71"/>
        <v>6.4186046511627906</v>
      </c>
      <c r="AY100" s="169">
        <f t="shared" si="71"/>
        <v>6.7395348837209301</v>
      </c>
      <c r="AZ100" s="169">
        <f t="shared" si="71"/>
        <v>6.7395348837209301</v>
      </c>
      <c r="BA100" s="169">
        <f t="shared" si="71"/>
        <v>2.13953488372093</v>
      </c>
      <c r="BB100" s="169">
        <f t="shared" si="71"/>
        <v>3.7441860465116279</v>
      </c>
      <c r="BC100" s="169">
        <f t="shared" si="71"/>
        <v>3.5302325581395353</v>
      </c>
      <c r="BD100" s="169">
        <f t="shared" si="71"/>
        <v>2.9953488372093018</v>
      </c>
      <c r="BE100" s="169">
        <f t="shared" si="71"/>
        <v>2.5674418604651161</v>
      </c>
      <c r="BF100" s="169">
        <f t="shared" si="71"/>
        <v>2.13953488372093</v>
      </c>
      <c r="BG100" s="169">
        <f t="shared" si="71"/>
        <v>2.13953488372093</v>
      </c>
      <c r="BH100" s="169">
        <f t="shared" si="71"/>
        <v>2.13953488372093</v>
      </c>
      <c r="BI100" s="169">
        <f t="shared" si="71"/>
        <v>2.13953488372093</v>
      </c>
      <c r="BJ100" s="169">
        <f t="shared" si="71"/>
        <v>2.13953488372093</v>
      </c>
      <c r="BK100" s="169">
        <f t="shared" si="71"/>
        <v>2.13953488372093</v>
      </c>
      <c r="BL100" s="169">
        <f t="shared" si="71"/>
        <v>2.032558139534884</v>
      </c>
      <c r="BM100" s="169">
        <f t="shared" si="71"/>
        <v>2.032558139534884</v>
      </c>
      <c r="BN100" s="169">
        <f t="shared" si="71"/>
        <v>1.8186046511627907</v>
      </c>
      <c r="BO100" s="169">
        <f t="shared" si="71"/>
        <v>5.0279069767441857</v>
      </c>
      <c r="BP100" s="169">
        <f t="shared" si="71"/>
        <v>4.8139534883720927</v>
      </c>
      <c r="BQ100" s="169">
        <f t="shared" si="71"/>
        <v>5.8837209302325579</v>
      </c>
      <c r="BR100" s="169">
        <f t="shared" si="71"/>
        <v>5.7767441860465114</v>
      </c>
      <c r="BS100" s="169">
        <f t="shared" si="71"/>
        <v>5.6697674418604649</v>
      </c>
      <c r="BZ100" s="32" t="s">
        <v>871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871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872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873</v>
      </c>
      <c r="AV101" s="169">
        <f>IF(AV100&gt;1,AV100-1,0)</f>
        <v>4.7767441860465123</v>
      </c>
      <c r="AW101" s="169">
        <f t="shared" ref="AW101:BS101" si="74">IF(AW100&gt;1,AW100-1,0)</f>
        <v>4.9906976744186045</v>
      </c>
      <c r="AX101" s="169">
        <f t="shared" si="74"/>
        <v>5.4186046511627906</v>
      </c>
      <c r="AY101" s="169">
        <f t="shared" si="74"/>
        <v>5.7395348837209301</v>
      </c>
      <c r="AZ101" s="169">
        <f t="shared" si="74"/>
        <v>5.7395348837209301</v>
      </c>
      <c r="BA101" s="169">
        <f t="shared" si="74"/>
        <v>1.13953488372093</v>
      </c>
      <c r="BB101" s="169">
        <f t="shared" si="74"/>
        <v>2.7441860465116279</v>
      </c>
      <c r="BC101" s="169">
        <f t="shared" si="74"/>
        <v>2.5302325581395353</v>
      </c>
      <c r="BD101" s="169">
        <f t="shared" si="74"/>
        <v>1.9953488372093018</v>
      </c>
      <c r="BE101" s="169">
        <f t="shared" si="74"/>
        <v>1.5674418604651161</v>
      </c>
      <c r="BF101" s="169">
        <f t="shared" si="74"/>
        <v>1.13953488372093</v>
      </c>
      <c r="BG101" s="169">
        <f t="shared" si="74"/>
        <v>1.13953488372093</v>
      </c>
      <c r="BH101" s="169">
        <f t="shared" si="74"/>
        <v>1.13953488372093</v>
      </c>
      <c r="BI101" s="169">
        <f t="shared" si="74"/>
        <v>1.13953488372093</v>
      </c>
      <c r="BJ101" s="169">
        <f t="shared" si="74"/>
        <v>1.13953488372093</v>
      </c>
      <c r="BK101" s="169">
        <f t="shared" si="74"/>
        <v>1.13953488372093</v>
      </c>
      <c r="BL101" s="169">
        <f t="shared" si="74"/>
        <v>1.032558139534884</v>
      </c>
      <c r="BM101" s="169">
        <f t="shared" si="74"/>
        <v>1.032558139534884</v>
      </c>
      <c r="BN101" s="169">
        <f t="shared" si="74"/>
        <v>0.81860465116279069</v>
      </c>
      <c r="BO101" s="169">
        <f t="shared" si="74"/>
        <v>4.0279069767441857</v>
      </c>
      <c r="BP101" s="169">
        <f t="shared" si="74"/>
        <v>3.8139534883720927</v>
      </c>
      <c r="BQ101" s="169">
        <f t="shared" si="74"/>
        <v>4.8837209302325579</v>
      </c>
      <c r="BR101" s="169">
        <f t="shared" si="74"/>
        <v>4.7767441860465114</v>
      </c>
      <c r="BS101" s="169">
        <f t="shared" si="74"/>
        <v>4.6697674418604649</v>
      </c>
      <c r="BZ101" s="32" t="s">
        <v>873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873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874</v>
      </c>
      <c r="B102" s="46">
        <f>SUM(B99:B101)</f>
        <v>234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875</v>
      </c>
      <c r="AV102" s="62">
        <f>AV86+AV87*AV101</f>
        <v>53.168027906976747</v>
      </c>
      <c r="AW102" s="62">
        <f t="shared" ref="AW102:BS102" si="77">AW86+AW87*AW101</f>
        <v>53.668251162790696</v>
      </c>
      <c r="AX102" s="62">
        <f t="shared" si="77"/>
        <v>54.668697674418603</v>
      </c>
      <c r="AY102" s="62">
        <f t="shared" si="77"/>
        <v>55.419032558139534</v>
      </c>
      <c r="AZ102" s="62">
        <f t="shared" si="77"/>
        <v>55.419032558139534</v>
      </c>
      <c r="BA102" s="62">
        <f t="shared" si="77"/>
        <v>44.664232558139531</v>
      </c>
      <c r="BB102" s="62">
        <f t="shared" si="77"/>
        <v>48.415906976744189</v>
      </c>
      <c r="BC102" s="62">
        <f t="shared" si="77"/>
        <v>47.915683720930232</v>
      </c>
      <c r="BD102" s="62">
        <f t="shared" si="77"/>
        <v>46.665125581395344</v>
      </c>
      <c r="BE102" s="62">
        <f t="shared" si="77"/>
        <v>24.664679069767441</v>
      </c>
      <c r="BF102" s="62">
        <f t="shared" si="77"/>
        <v>23.664232558139535</v>
      </c>
      <c r="BG102" s="62">
        <f t="shared" si="77"/>
        <v>23.664232558139535</v>
      </c>
      <c r="BH102" s="62">
        <f t="shared" si="77"/>
        <v>23.664232558139535</v>
      </c>
      <c r="BI102" s="62">
        <f t="shared" si="77"/>
        <v>23.664232558139535</v>
      </c>
      <c r="BJ102" s="62">
        <f t="shared" si="77"/>
        <v>23.664232558139535</v>
      </c>
      <c r="BK102" s="62">
        <f t="shared" si="77"/>
        <v>23.664232558139535</v>
      </c>
      <c r="BL102" s="62">
        <f t="shared" si="77"/>
        <v>23.41412093023256</v>
      </c>
      <c r="BM102" s="62">
        <f t="shared" si="77"/>
        <v>23.41412093023256</v>
      </c>
      <c r="BN102" s="62">
        <f t="shared" si="77"/>
        <v>22.913897674418603</v>
      </c>
      <c r="BO102" s="62">
        <f t="shared" si="77"/>
        <v>51.417246511627908</v>
      </c>
      <c r="BP102" s="62">
        <f t="shared" si="77"/>
        <v>50.917023255813952</v>
      </c>
      <c r="BQ102" s="62">
        <f t="shared" si="77"/>
        <v>53.418139534883721</v>
      </c>
      <c r="BR102" s="62">
        <f t="shared" si="77"/>
        <v>53.168027906976747</v>
      </c>
      <c r="BS102" s="62">
        <f t="shared" si="77"/>
        <v>52.917916279069772</v>
      </c>
      <c r="BZ102" s="40" t="s">
        <v>875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876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877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878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879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880</v>
      </c>
      <c r="AU105" s="17">
        <f>VLOOKUP(AU59,[1]Trav!$B$12:$C$31,2)</f>
        <v>7</v>
      </c>
      <c r="BZ105" s="147" t="s">
        <v>880</v>
      </c>
      <c r="CA105" s="17">
        <f>VLOOKUP(CA59,[1]Trav!$B$12:$C$31,2)</f>
        <v>5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880</v>
      </c>
      <c r="DD105" s="17">
        <f>VLOOKUP(DD59,[1]Trav!$B$12:$C$31,2)</f>
        <v>5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881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10.5</v>
      </c>
      <c r="BC106" s="184">
        <f>IF(BC60&gt;0,HLOOKUP(BC60,[1]Trav!$C$11:$O$31,$AU$105),0)</f>
        <v>10.5</v>
      </c>
      <c r="BD106" s="184">
        <f>IF(BD60&gt;0,HLOOKUP(BD60,[1]Trav!$C$11:$O$31,$AU$105),0)</f>
        <v>10.5</v>
      </c>
      <c r="BE106" s="184">
        <f>IF(BE60&gt;0,HLOOKUP(BE60,[1]Trav!$C$11:$O$31,$AU$105),0)</f>
        <v>10.5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882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5.25</v>
      </c>
      <c r="BB107" s="184">
        <f>IF(BB61&gt;0,HLOOKUP(BB61,[1]Trav!$C$11:$O$31,$AU$105),0)</f>
        <v>5.25</v>
      </c>
      <c r="BC107" s="184">
        <f>IF(BC61&gt;0,HLOOKUP(BC61,[1]Trav!$C$11:$O$31,$AU$105),0)</f>
        <v>5.25</v>
      </c>
      <c r="BD107" s="184">
        <f>IF(BD61&gt;0,HLOOKUP(BD61,[1]Trav!$C$11:$O$31,$AU$105),0)</f>
        <v>0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3.5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883</v>
      </c>
      <c r="B108" s="46">
        <f>SUM(F50:F59)</f>
        <v>349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10.5</v>
      </c>
      <c r="BF108" s="184">
        <f>IF(BF62&gt;0,HLOOKUP(BF62,[1]Trav!$C$11:$O$31,$AU$105),0)</f>
        <v>10.5</v>
      </c>
      <c r="BG108" s="184">
        <f>IF(BG62&gt;0,HLOOKUP(BG62,[1]Trav!$C$11:$O$31,$AU$105),0)</f>
        <v>10.5</v>
      </c>
      <c r="BH108" s="184">
        <f>IF(BH62&gt;0,HLOOKUP(BH62,[1]Trav!$C$11:$O$31,$AU$105),0)</f>
        <v>10.5</v>
      </c>
      <c r="BI108" s="184">
        <f>IF(BI62&gt;0,HLOOKUP(BI62,[1]Trav!$C$11:$O$31,$AU$105),0)</f>
        <v>10.5</v>
      </c>
      <c r="BJ108" s="184">
        <f>IF(BJ62&gt;0,HLOOKUP(BJ62,[1]Trav!$C$11:$O$31,$AU$105),0)</f>
        <v>10.5</v>
      </c>
      <c r="BK108" s="184">
        <f>IF(BK62&gt;0,HLOOKUP(BK62,[1]Trav!$C$11:$O$31,$AU$105),0)</f>
        <v>10.5</v>
      </c>
      <c r="BL108" s="184">
        <f>IF(BL62&gt;0,HLOOKUP(BL62,[1]Trav!$C$11:$O$31,$AU$105),0)</f>
        <v>10.5</v>
      </c>
      <c r="BM108" s="184">
        <f>IF(BM62&gt;0,HLOOKUP(BM62,[1]Trav!$C$11:$O$31,$AU$105),0)</f>
        <v>10.5</v>
      </c>
      <c r="BN108" s="184">
        <f>IF(BN62&gt;0,HLOOKUP(BN62,[1]Trav!$C$11:$O$31,$AU$105),0)</f>
        <v>10.5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884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3.5</v>
      </c>
      <c r="BB109" s="184">
        <f>IF(BB63&gt;0,HLOOKUP(BB63,[1]Trav!$C$11:$O$31,$AU$105),0)</f>
        <v>5.25</v>
      </c>
      <c r="BC109" s="184">
        <f>IF(BC63&gt;0,HLOOKUP(BC63,[1]Trav!$C$11:$O$31,$AU$105),0)</f>
        <v>5.25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3.5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885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5.25</v>
      </c>
      <c r="BM110" s="184">
        <f>IF(BM64&gt;0,HLOOKUP(BM64,[1]Trav!$C$11:$O$31,$AU$105),0)</f>
        <v>5.25</v>
      </c>
      <c r="BN110" s="184">
        <f>IF(BN64&gt;0,HLOOKUP(BN64,[1]Trav!$C$11:$O$31,$AU$105),0)</f>
        <v>5.25</v>
      </c>
      <c r="BO110" s="184">
        <f>IF(BO64&gt;0,HLOOKUP(BO64,[1]Trav!$C$11:$O$31,$AU$105),0)</f>
        <v>3.5</v>
      </c>
      <c r="BP110" s="184">
        <f>IF(BP64&gt;0,HLOOKUP(BP64,[1]Trav!$C$11:$O$31,$AU$105),0)</f>
        <v>3.5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886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887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888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889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890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891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892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8.75</v>
      </c>
      <c r="BB117" s="169">
        <f t="shared" si="83"/>
        <v>21</v>
      </c>
      <c r="BC117" s="169">
        <f t="shared" si="83"/>
        <v>21</v>
      </c>
      <c r="BD117" s="169">
        <f t="shared" si="83"/>
        <v>10.5</v>
      </c>
      <c r="BE117" s="169">
        <f t="shared" si="83"/>
        <v>21</v>
      </c>
      <c r="BF117" s="169">
        <f t="shared" si="83"/>
        <v>10.5</v>
      </c>
      <c r="BG117" s="169">
        <f t="shared" si="83"/>
        <v>10.5</v>
      </c>
      <c r="BH117" s="169">
        <f t="shared" si="83"/>
        <v>10.5</v>
      </c>
      <c r="BI117" s="169">
        <f t="shared" si="83"/>
        <v>10.5</v>
      </c>
      <c r="BJ117" s="169">
        <f t="shared" si="83"/>
        <v>10.5</v>
      </c>
      <c r="BK117" s="169">
        <f t="shared" si="83"/>
        <v>10.5</v>
      </c>
      <c r="BL117" s="169">
        <f t="shared" si="83"/>
        <v>15.75</v>
      </c>
      <c r="BM117" s="169">
        <f t="shared" si="83"/>
        <v>15.75</v>
      </c>
      <c r="BN117" s="169">
        <f t="shared" si="83"/>
        <v>22.75</v>
      </c>
      <c r="BO117" s="169">
        <f t="shared" si="83"/>
        <v>3.5</v>
      </c>
      <c r="BP117" s="169">
        <f t="shared" si="83"/>
        <v>3.5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892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892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893</v>
      </c>
      <c r="B118" s="195">
        <f>B91+B95+B99+B103</f>
        <v>1518.7345581395352</v>
      </c>
      <c r="D118" s="196">
        <f>B118/Troupeau!$B$17</f>
        <v>33.015968655207288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894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895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896</v>
      </c>
      <c r="B122" s="195">
        <f>SUM(B118:B120)</f>
        <v>1518.7345581395352</v>
      </c>
    </row>
    <row r="123" spans="1:132" x14ac:dyDescent="0.25">
      <c r="A123" s="2" t="s">
        <v>883</v>
      </c>
      <c r="B123" s="30">
        <f>B108</f>
        <v>349</v>
      </c>
    </row>
    <row r="124" spans="1:132" x14ac:dyDescent="0.25">
      <c r="A124" s="2" t="s">
        <v>897</v>
      </c>
      <c r="B124" s="30">
        <f>B107</f>
        <v>400</v>
      </c>
    </row>
    <row r="125" spans="1:132" x14ac:dyDescent="0.25">
      <c r="A125" s="2" t="s">
        <v>898</v>
      </c>
      <c r="B125" s="30">
        <f>B112+B113</f>
        <v>0</v>
      </c>
    </row>
    <row r="126" spans="1:132" x14ac:dyDescent="0.25">
      <c r="A126" s="2" t="s">
        <v>899</v>
      </c>
      <c r="B126" s="30">
        <f>B114+B115+B116</f>
        <v>0</v>
      </c>
    </row>
    <row r="128" spans="1:132" x14ac:dyDescent="0.25">
      <c r="A128" s="2" t="s">
        <v>900</v>
      </c>
      <c r="B128" s="195">
        <f>SUM(B122:B126)</f>
        <v>2267.7345581395352</v>
      </c>
    </row>
    <row r="129" spans="1:2" x14ac:dyDescent="0.25">
      <c r="A129" s="2" t="s">
        <v>901</v>
      </c>
      <c r="B129" s="30">
        <f>IF(Scénario!K129=1,Travail!F77+Travail!F86,F86)</f>
        <v>0</v>
      </c>
    </row>
    <row r="130" spans="1:2" x14ac:dyDescent="0.25">
      <c r="A130" s="2" t="s">
        <v>902</v>
      </c>
      <c r="B130" s="195">
        <f>ROUND((B128-B129)/(Scénario!K4+Scénario!K6),0)</f>
        <v>2268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4" zoomScale="90" zoomScaleNormal="90" workbookViewId="0">
      <selection activeCell="E155" sqref="E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904</v>
      </c>
      <c r="R2" s="23" t="s">
        <v>905</v>
      </c>
      <c r="S2" s="23"/>
      <c r="T2" t="s">
        <v>906</v>
      </c>
    </row>
    <row r="3" spans="1:59" ht="18.75" x14ac:dyDescent="0.3">
      <c r="A3" s="201"/>
      <c r="B3" s="33" t="s">
        <v>907</v>
      </c>
      <c r="C3" s="33" t="s">
        <v>908</v>
      </c>
      <c r="D3" s="33" t="s">
        <v>909</v>
      </c>
      <c r="E3" s="167"/>
      <c r="F3" s="33" t="s">
        <v>910</v>
      </c>
      <c r="G3" s="33" t="s">
        <v>911</v>
      </c>
      <c r="H3" s="33" t="s">
        <v>912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913</v>
      </c>
      <c r="U4" s="14"/>
      <c r="V4" s="14"/>
      <c r="W4" s="14"/>
      <c r="AB4" s="2" t="s">
        <v>914</v>
      </c>
    </row>
    <row r="5" spans="1:59" x14ac:dyDescent="0.25">
      <c r="A5" t="s">
        <v>915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916</v>
      </c>
      <c r="T5" s="30">
        <f>Scénario!K16</f>
        <v>0</v>
      </c>
      <c r="U5" s="14"/>
      <c r="V5" s="14"/>
      <c r="X5" s="14" t="s">
        <v>917</v>
      </c>
      <c r="Y5" s="30">
        <f>IF(Scénario!K17=1,[1]Eco!$B$51,[1]Eco!$B$52)</f>
        <v>1030</v>
      </c>
      <c r="AB5" t="s">
        <v>918</v>
      </c>
      <c r="AC5" t="s">
        <v>17</v>
      </c>
      <c r="AD5" t="s">
        <v>278</v>
      </c>
      <c r="AF5" s="167" t="s">
        <v>919</v>
      </c>
      <c r="AG5" s="167" t="s">
        <v>920</v>
      </c>
      <c r="AH5" s="167" t="s">
        <v>921</v>
      </c>
      <c r="AI5" s="167" t="s">
        <v>922</v>
      </c>
      <c r="AJ5" s="167" t="s">
        <v>923</v>
      </c>
    </row>
    <row r="6" spans="1:59" x14ac:dyDescent="0.25">
      <c r="A6" t="s">
        <v>924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925</v>
      </c>
      <c r="T6" s="30">
        <f>Troupeau!B35</f>
        <v>0</v>
      </c>
      <c r="U6" s="14"/>
      <c r="V6" s="14"/>
      <c r="X6" s="14" t="s">
        <v>926</v>
      </c>
      <c r="Y6" s="30">
        <f>IF(Scénario!K17=1,[1]Eco!$B$55,[1]Eco!$B$56)</f>
        <v>0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927</v>
      </c>
      <c r="B9" s="169">
        <f>Troupeau!B43</f>
        <v>18.5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15466</v>
      </c>
      <c r="K9" s="169">
        <f>ROUND(B9*F9,0)</f>
        <v>15466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928</v>
      </c>
      <c r="T9" s="36" t="s">
        <v>913</v>
      </c>
      <c r="U9" s="167" t="s">
        <v>929</v>
      </c>
      <c r="V9" s="36" t="s">
        <v>930</v>
      </c>
      <c r="W9" s="167" t="s">
        <v>931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932</v>
      </c>
      <c r="B10" s="169">
        <f>Troupeau!B39</f>
        <v>7.5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4920</v>
      </c>
      <c r="K10" s="169">
        <f t="shared" ref="K10:K16" si="7">ROUND(B10*F10,0)</f>
        <v>4920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933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934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935</v>
      </c>
      <c r="T11" s="169">
        <f>Troupeau!B37</f>
        <v>10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936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937</v>
      </c>
      <c r="T12" s="169">
        <f>ROUNDDOWN(T11*T10/100,0)</f>
        <v>2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938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1136.2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9090</v>
      </c>
      <c r="K13" s="169">
        <f t="shared" si="7"/>
        <v>9090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939</v>
      </c>
      <c r="B14" s="169">
        <f>ROUNDDOWN(T11*T10/100,0)</f>
        <v>2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4303</v>
      </c>
      <c r="K14" s="169">
        <f t="shared" si="7"/>
        <v>4303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940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941</v>
      </c>
      <c r="S15" s="32" t="s">
        <v>942</v>
      </c>
      <c r="T15" s="5" t="s">
        <v>943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944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919</v>
      </c>
      <c r="R16" s="30">
        <f>'Alim -Surf'!K13</f>
        <v>-11.3</v>
      </c>
      <c r="S16" s="5">
        <f>IF(R16&gt;0,R16,0)</f>
        <v>0</v>
      </c>
      <c r="T16" s="5">
        <f>IF(R16&lt;0,-R16,0)</f>
        <v>11.3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945</v>
      </c>
      <c r="R17" s="30">
        <f>'Alim -Surf'!K14</f>
        <v>-5.5</v>
      </c>
      <c r="S17" s="5">
        <f>IF(R17&gt;0,R17,0)</f>
        <v>0</v>
      </c>
      <c r="T17" s="5">
        <f t="shared" ref="T17:T18" si="12">IF(R17&lt;0,-R17,0)</f>
        <v>5.5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941</v>
      </c>
      <c r="AE17" s="169" t="s">
        <v>946</v>
      </c>
      <c r="AF17" s="169" t="s">
        <v>947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948</v>
      </c>
      <c r="B18" s="167"/>
      <c r="C18" s="36" t="s">
        <v>949</v>
      </c>
      <c r="D18" s="33" t="s">
        <v>950</v>
      </c>
      <c r="E18" s="168"/>
      <c r="F18" s="36" t="s">
        <v>951</v>
      </c>
      <c r="G18" s="36" t="s">
        <v>952</v>
      </c>
      <c r="H18" s="168"/>
      <c r="I18" s="168"/>
      <c r="J18" s="5"/>
      <c r="K18" s="5"/>
      <c r="L18" s="5"/>
      <c r="M18" s="5"/>
      <c r="N18" s="5"/>
      <c r="P18" s="5"/>
      <c r="Q18" s="5" t="s">
        <v>953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919</v>
      </c>
      <c r="AC18" s="169">
        <f>SUM(AF6:AF15)</f>
        <v>0</v>
      </c>
      <c r="AD18" s="169">
        <f>'Alim -Surf'!K13</f>
        <v>-11.3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919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954</v>
      </c>
      <c r="AC19" s="169">
        <f>SUM(AG6:AI15)</f>
        <v>0</v>
      </c>
      <c r="AD19" s="169">
        <f>'Alim -Surf'!K14</f>
        <v>-5.5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954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923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956</v>
      </c>
      <c r="AA22"/>
      <c r="AB22"/>
      <c r="AC22"/>
      <c r="AD22"/>
      <c r="AE22" t="s">
        <v>957</v>
      </c>
      <c r="AF22"/>
      <c r="AG22"/>
      <c r="AH22"/>
      <c r="AI22" t="s">
        <v>958</v>
      </c>
      <c r="AJ22"/>
      <c r="AK22"/>
      <c r="AM22"/>
      <c r="AN22" t="s">
        <v>959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960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961</v>
      </c>
      <c r="S24" s="18"/>
      <c r="T24" s="5" t="s">
        <v>962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963</v>
      </c>
      <c r="X26" t="s">
        <v>964</v>
      </c>
      <c r="AA26" s="167" t="s">
        <v>965</v>
      </c>
      <c r="AB26" s="167" t="s">
        <v>966</v>
      </c>
      <c r="AC26" s="167" t="s">
        <v>716</v>
      </c>
      <c r="AD26" s="5"/>
      <c r="AE26" s="167" t="s">
        <v>965</v>
      </c>
      <c r="AF26" s="167" t="s">
        <v>967</v>
      </c>
      <c r="AG26" s="167" t="s">
        <v>716</v>
      </c>
      <c r="AI26" s="167" t="s">
        <v>965</v>
      </c>
      <c r="AJ26" s="167" t="s">
        <v>968</v>
      </c>
      <c r="AK26" s="167" t="s">
        <v>716</v>
      </c>
      <c r="AL26" s="168"/>
      <c r="AN26" s="167" t="s">
        <v>965</v>
      </c>
      <c r="AO26" s="167" t="s">
        <v>969</v>
      </c>
      <c r="AP26" s="167" t="s">
        <v>716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913</v>
      </c>
      <c r="S27" s="167" t="s">
        <v>929</v>
      </c>
      <c r="T27" s="167" t="s">
        <v>930</v>
      </c>
      <c r="U27" s="167" t="s">
        <v>931</v>
      </c>
      <c r="V27" s="167" t="s">
        <v>13</v>
      </c>
      <c r="X27" s="15" t="s">
        <v>970</v>
      </c>
      <c r="Z27" s="207" t="s">
        <v>971</v>
      </c>
      <c r="AA27" s="184">
        <f>[1]Eco!$F$4</f>
        <v>166</v>
      </c>
      <c r="AB27" s="208">
        <f>IF(X28&gt;50,50,X28)</f>
        <v>46</v>
      </c>
      <c r="AC27" s="169">
        <f>AA27*AB27</f>
        <v>7636</v>
      </c>
      <c r="AD27" s="5" t="s">
        <v>972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973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452</v>
      </c>
      <c r="R28" s="169">
        <f>IF(Troupeau!B$3="BV",Troupeau!B$17,0)</f>
        <v>46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46</v>
      </c>
      <c r="W28" s="14" t="s">
        <v>452</v>
      </c>
      <c r="X28" s="169">
        <f>V28/$T$25</f>
        <v>46</v>
      </c>
      <c r="Z28" s="14" t="s">
        <v>974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975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976</v>
      </c>
      <c r="AK28" s="62">
        <f>AK27*T25</f>
        <v>0</v>
      </c>
      <c r="AL28" s="36"/>
      <c r="AM28" s="14" t="s">
        <v>977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978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979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976</v>
      </c>
      <c r="AG29" s="62">
        <f>SUM(AG27:AG28)*T25</f>
        <v>0</v>
      </c>
      <c r="AO29" s="40" t="s">
        <v>976</v>
      </c>
      <c r="AP29" s="62">
        <f>IF(Scénario!K10=1,'Calcul éco'!AP27,'Calcul éco'!AP28)*T25</f>
        <v>0</v>
      </c>
    </row>
    <row r="30" spans="1:143" x14ac:dyDescent="0.25">
      <c r="A30" s="15" t="s">
        <v>980</v>
      </c>
      <c r="B30" s="168"/>
      <c r="C30" s="169">
        <f>IF('Alim -Surf'!K27&gt;0,'Alim -Surf'!K27,0)</f>
        <v>0.13000000000000966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17.550000000001305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981</v>
      </c>
      <c r="X30" s="169">
        <f>(V30+V31)/$T$25</f>
        <v>0</v>
      </c>
      <c r="AB30" s="40" t="s">
        <v>976</v>
      </c>
      <c r="AC30" s="62">
        <f>SUM(AC27:AC29)*T25</f>
        <v>7636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982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2"/>
      <c r="AF31" s="272"/>
      <c r="AG31" s="273" t="s">
        <v>1426</v>
      </c>
      <c r="AH31" s="273"/>
      <c r="AI31" s="273"/>
      <c r="AJ31" s="273" t="s">
        <v>1427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983</v>
      </c>
      <c r="Q32" s="14" t="s">
        <v>984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984</v>
      </c>
      <c r="X32" s="169">
        <f>V32/T25</f>
        <v>0</v>
      </c>
      <c r="AE32" s="272"/>
      <c r="AF32" s="272"/>
      <c r="AG32" s="272" t="s">
        <v>1428</v>
      </c>
      <c r="AH32" s="272" t="s">
        <v>1429</v>
      </c>
      <c r="AI32" s="272" t="s">
        <v>169</v>
      </c>
      <c r="AJ32" s="272" t="s">
        <v>1430</v>
      </c>
    </row>
    <row r="33" spans="1:143" x14ac:dyDescent="0.25">
      <c r="A33" s="2" t="s">
        <v>985</v>
      </c>
      <c r="Q33" s="167"/>
      <c r="R33" s="167"/>
      <c r="S33" s="167"/>
      <c r="T33" s="167"/>
      <c r="U33" s="167"/>
      <c r="X33" s="168"/>
      <c r="AE33" s="272"/>
      <c r="AF33" s="272" t="s">
        <v>452</v>
      </c>
      <c r="AG33" s="272">
        <f>V28</f>
        <v>46</v>
      </c>
      <c r="AH33" s="272">
        <f>ROUND(AG33*0.24,0)</f>
        <v>11</v>
      </c>
      <c r="AI33" s="272">
        <f>AG33+AH33*1.5*0.6</f>
        <v>55.9</v>
      </c>
      <c r="AJ33" s="272"/>
    </row>
    <row r="34" spans="1:143" x14ac:dyDescent="0.25">
      <c r="A34" t="s">
        <v>986</v>
      </c>
      <c r="J34" s="169">
        <f>AC30</f>
        <v>7636</v>
      </c>
      <c r="K34" s="169"/>
      <c r="L34" s="169"/>
      <c r="M34" s="169"/>
      <c r="N34" s="169"/>
      <c r="O34" s="204"/>
      <c r="Q34" s="198" t="s">
        <v>987</v>
      </c>
      <c r="R34" s="169">
        <f>AB228</f>
        <v>0</v>
      </c>
      <c r="S34" s="167"/>
      <c r="T34" s="152"/>
      <c r="U34" s="167"/>
      <c r="X34" s="168"/>
      <c r="AB34" s="14"/>
      <c r="AE34" s="272"/>
      <c r="AF34" s="272" t="s">
        <v>498</v>
      </c>
      <c r="AG34" s="272">
        <f t="shared" ref="AG34:AG35" si="18">V29</f>
        <v>0</v>
      </c>
      <c r="AH34" s="272">
        <f>ROUND(AG34*0.3,0)</f>
        <v>0</v>
      </c>
      <c r="AI34" s="272">
        <f t="shared" ref="AI34" si="19">AG34+AH34*1.5*0.6</f>
        <v>0</v>
      </c>
      <c r="AJ34" s="272"/>
    </row>
    <row r="35" spans="1:143" x14ac:dyDescent="0.25">
      <c r="A35" t="s">
        <v>988</v>
      </c>
      <c r="J35" s="169">
        <f>AP29</f>
        <v>0</v>
      </c>
      <c r="K35" s="169"/>
      <c r="L35" s="169"/>
      <c r="M35" s="169"/>
      <c r="N35" s="169"/>
      <c r="O35" s="204"/>
      <c r="X35" s="2" t="s">
        <v>989</v>
      </c>
      <c r="Y35" s="14" t="s">
        <v>990</v>
      </c>
      <c r="Z35" s="62" t="str">
        <f>Scénario!K9</f>
        <v>M1</v>
      </c>
      <c r="AE35" s="272"/>
      <c r="AF35" s="272" t="s">
        <v>502</v>
      </c>
      <c r="AG35" s="272">
        <f t="shared" si="18"/>
        <v>0</v>
      </c>
      <c r="AH35" s="272"/>
      <c r="AI35" s="272">
        <f>AG35*0.15</f>
        <v>0</v>
      </c>
      <c r="AJ35" s="272"/>
    </row>
    <row r="36" spans="1:143" x14ac:dyDescent="0.25">
      <c r="A36" t="s">
        <v>991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992</v>
      </c>
      <c r="Z36" s="62" t="str">
        <f>IF(Y53&gt;50,CONCATENATE(Z35,"O"),Z35)</f>
        <v>M1</v>
      </c>
      <c r="AA36" s="5"/>
      <c r="AB36" s="14" t="s">
        <v>993</v>
      </c>
      <c r="AC36" s="184">
        <f>VLOOKUP(Z36,[1]Eco!$A$36:$B$45,2)</f>
        <v>235</v>
      </c>
      <c r="AD36" s="5"/>
      <c r="AE36" s="272"/>
      <c r="AF36" s="274" t="s">
        <v>1032</v>
      </c>
      <c r="AG36" s="272"/>
      <c r="AH36" s="272"/>
      <c r="AI36" s="272">
        <f>SUM(AI33:AI35)</f>
        <v>55.9</v>
      </c>
      <c r="AJ36" s="274">
        <f>ROUND(AI36/V46,2)</f>
        <v>0.54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994</v>
      </c>
      <c r="J37" s="169">
        <f>AG29</f>
        <v>0</v>
      </c>
      <c r="K37" s="169"/>
      <c r="L37" s="169"/>
      <c r="M37" s="169"/>
      <c r="N37" s="169"/>
      <c r="O37" s="204"/>
      <c r="S37" s="40" t="s">
        <v>995</v>
      </c>
      <c r="T37" t="s">
        <v>996</v>
      </c>
      <c r="U37" t="s">
        <v>997</v>
      </c>
      <c r="V37" t="s">
        <v>998</v>
      </c>
      <c r="X37" s="168"/>
      <c r="AB37" s="167" t="s">
        <v>999</v>
      </c>
      <c r="AC37" s="167" t="s">
        <v>965</v>
      </c>
      <c r="AD37" s="167" t="s">
        <v>716</v>
      </c>
      <c r="AE37" s="275" t="s">
        <v>1431</v>
      </c>
      <c r="AF37" s="272"/>
      <c r="AG37" s="272"/>
      <c r="AH37" s="272"/>
      <c r="AI37" s="272"/>
      <c r="AJ37" s="273" t="s">
        <v>1432</v>
      </c>
    </row>
    <row r="38" spans="1:143" x14ac:dyDescent="0.25">
      <c r="A38" t="s">
        <v>1000</v>
      </c>
      <c r="J38" s="169">
        <f>AK28</f>
        <v>0</v>
      </c>
      <c r="K38" s="169"/>
      <c r="L38" s="169"/>
      <c r="M38" s="169"/>
      <c r="N38" s="169"/>
      <c r="O38" s="204"/>
      <c r="S38" s="14" t="s">
        <v>1001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1002</v>
      </c>
      <c r="Z38" s="30">
        <f>V46</f>
        <v>102.97</v>
      </c>
      <c r="AA38" s="14" t="s">
        <v>1003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4">
        <f>IF($AJ$40=0,AB38*$AC$40,AD38*$AJ$40/100)</f>
        <v>7625</v>
      </c>
      <c r="AF38" s="272"/>
      <c r="AG38" s="272"/>
      <c r="AH38" s="272"/>
      <c r="AI38" s="276" t="s">
        <v>1433</v>
      </c>
      <c r="AJ38" s="274">
        <f>VLOOKUP(Z35,[1]Eco!$I$37:$K$41,2)</f>
        <v>1.7</v>
      </c>
    </row>
    <row r="39" spans="1:143" x14ac:dyDescent="0.25">
      <c r="A39" t="s">
        <v>1004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15.600000000000001</v>
      </c>
      <c r="U39" s="169">
        <f>[1]Eco!$B$20/100</f>
        <v>1</v>
      </c>
      <c r="V39" s="169">
        <f t="shared" ref="V39:V41" si="20">T39*U39</f>
        <v>15.600000000000001</v>
      </c>
      <c r="Y39" s="14" t="s">
        <v>1005</v>
      </c>
      <c r="Z39" s="30">
        <f>Z38/T25</f>
        <v>102.97</v>
      </c>
      <c r="AA39" s="14" t="s">
        <v>1006</v>
      </c>
      <c r="AB39" s="169">
        <f>IF(Z39&gt;50,25,IF(Z39&gt;25,Z39-25,0))</f>
        <v>25</v>
      </c>
      <c r="AC39" s="169">
        <f>AC40+0.66*AC36</f>
        <v>225.1</v>
      </c>
      <c r="AD39" s="169">
        <f t="shared" ref="AD39:AD40" si="21">AB39*AC39</f>
        <v>5627.5</v>
      </c>
      <c r="AE39" s="274">
        <f>IF($AJ$40=0,AB39*$AC$40,AD39*$AJ$40/100)</f>
        <v>5627.5</v>
      </c>
      <c r="AF39" s="272"/>
      <c r="AG39" s="272"/>
      <c r="AH39" s="272"/>
      <c r="AI39" s="276" t="s">
        <v>1434</v>
      </c>
      <c r="AJ39" s="274">
        <f>VLOOKUP(Z36,[1]Eco!$I$37:$K$41,3)</f>
        <v>2.5</v>
      </c>
    </row>
    <row r="40" spans="1:143" x14ac:dyDescent="0.25">
      <c r="A40" t="s">
        <v>555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8.5</v>
      </c>
      <c r="U40" s="169">
        <f>[1]Eco!$B$21/100</f>
        <v>1</v>
      </c>
      <c r="V40" s="169">
        <f t="shared" si="20"/>
        <v>8.5</v>
      </c>
      <c r="AA40" s="14" t="s">
        <v>1007</v>
      </c>
      <c r="AB40" s="169">
        <f>IF(Z39&gt;75,25,IF(Z39&gt;50,Z39-50,0))</f>
        <v>25</v>
      </c>
      <c r="AC40" s="184">
        <f>[1]Eco!$B$34</f>
        <v>70</v>
      </c>
      <c r="AD40" s="169">
        <f t="shared" si="21"/>
        <v>1750</v>
      </c>
      <c r="AE40" s="274">
        <f>IF($AJ$40=0,AB40*$AC$40,AD40*$AJ$40/100)</f>
        <v>1750</v>
      </c>
      <c r="AF40" s="272"/>
      <c r="AG40" s="272"/>
      <c r="AH40" s="272"/>
      <c r="AI40" s="276" t="s">
        <v>1435</v>
      </c>
      <c r="AJ40" s="274">
        <f>IF(AJ36&lt;=AJ38,100,IF(AJ36&lt;=AJ39,90,0))</f>
        <v>100</v>
      </c>
    </row>
    <row r="41" spans="1:143" x14ac:dyDescent="0.25">
      <c r="A41" s="23" t="s">
        <v>1008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2.2000000000000002</v>
      </c>
      <c r="U41" s="169">
        <f>[1]Eco!$B$22/100</f>
        <v>0.6</v>
      </c>
      <c r="V41" s="169">
        <f t="shared" si="20"/>
        <v>1.32</v>
      </c>
      <c r="AC41" s="40" t="s">
        <v>976</v>
      </c>
      <c r="AD41" s="62">
        <f>SUM(AD38:AD40)*T25</f>
        <v>15002.5</v>
      </c>
      <c r="AE41" s="277">
        <f>ROUND(SUM(AE38:AE40)*T25,0)</f>
        <v>15003</v>
      </c>
      <c r="AF41" s="272"/>
      <c r="AG41" s="272"/>
      <c r="AH41" s="272"/>
      <c r="AI41" s="272"/>
      <c r="AJ41" s="272"/>
    </row>
    <row r="42" spans="1:143" x14ac:dyDescent="0.25">
      <c r="A42" t="s">
        <v>1009</v>
      </c>
      <c r="B42" s="30">
        <f>V46</f>
        <v>102.97</v>
      </c>
      <c r="C42" s="209">
        <f>[1]Eco!$B$24</f>
        <v>97</v>
      </c>
      <c r="J42" s="169">
        <f>B42*C42</f>
        <v>9988.09</v>
      </c>
      <c r="K42" s="169"/>
      <c r="L42" s="169"/>
      <c r="M42" s="169"/>
      <c r="N42" s="169"/>
      <c r="O42" s="204"/>
      <c r="R42" s="210"/>
      <c r="S42" s="205" t="s">
        <v>1010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1011</v>
      </c>
      <c r="AG42" s="211" t="s">
        <v>1012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1013</v>
      </c>
      <c r="B43" s="30">
        <f>IF(Z39&gt;52,52,Z39)*T25</f>
        <v>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1014</v>
      </c>
      <c r="B44" s="30">
        <f>B42</f>
        <v>102.97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6898.99</v>
      </c>
      <c r="K44" s="169"/>
      <c r="L44" s="169"/>
      <c r="M44" s="169"/>
      <c r="N44" s="169"/>
      <c r="O44" s="204"/>
      <c r="U44" s="40" t="s">
        <v>1015</v>
      </c>
      <c r="V44" s="62">
        <f>SUM(V38:V41)-T42</f>
        <v>25.42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1016</v>
      </c>
      <c r="J45" s="169">
        <f>IF(Scénario!K9=0,0,AE41)</f>
        <v>15003</v>
      </c>
      <c r="K45" s="169"/>
      <c r="L45" s="169"/>
      <c r="M45" s="169"/>
      <c r="N45" s="169"/>
      <c r="O45" s="204"/>
      <c r="U45" s="14" t="s">
        <v>1017</v>
      </c>
      <c r="V45" s="169">
        <f>S55</f>
        <v>77.55</v>
      </c>
      <c r="X45" s="211" t="s">
        <v>1018</v>
      </c>
      <c r="Y45" s="211"/>
      <c r="Z45" s="211"/>
      <c r="AA45" s="211"/>
      <c r="AB45" s="211"/>
      <c r="AC45" s="211"/>
      <c r="AD45" s="211"/>
      <c r="AE45" s="211"/>
      <c r="AF45" s="213" t="s">
        <v>565</v>
      </c>
      <c r="AG45" s="211"/>
      <c r="AH45" s="211" t="s">
        <v>1019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579</v>
      </c>
      <c r="BH45" s="211"/>
      <c r="BI45" s="211" t="s">
        <v>1019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586</v>
      </c>
      <c r="CJ45" s="213"/>
      <c r="CK45" s="213" t="s">
        <v>1019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1020</v>
      </c>
      <c r="DL45" s="213"/>
      <c r="DM45" s="213" t="s">
        <v>1019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1021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1022</v>
      </c>
      <c r="V46" s="62">
        <f>V44+V45</f>
        <v>102.97</v>
      </c>
      <c r="W46"/>
      <c r="X46" s="211"/>
      <c r="Y46" s="215" t="s">
        <v>913</v>
      </c>
      <c r="Z46" s="215" t="s">
        <v>929</v>
      </c>
      <c r="AA46" s="215" t="s">
        <v>930</v>
      </c>
      <c r="AB46" s="215" t="s">
        <v>931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452</v>
      </c>
      <c r="Y47" s="215">
        <f>IF(Troupeau!B$3="BV",Troupeau!B$49,0)</f>
        <v>58.350000000000009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58.350000000000009</v>
      </c>
      <c r="AD47" s="211"/>
      <c r="AE47" s="211"/>
      <c r="AF47" s="218" t="s">
        <v>1023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16.046511627906977</v>
      </c>
      <c r="AO47" s="215">
        <f>CdTrp1!I39</f>
        <v>13.906976744186046</v>
      </c>
      <c r="AP47" s="215">
        <f>CdTrp1!J39</f>
        <v>8.5581395348837201</v>
      </c>
      <c r="AQ47" s="215">
        <f>CdTrp1!K39</f>
        <v>4.2790697674418601</v>
      </c>
      <c r="AR47" s="215">
        <f>CdTrp1!L39</f>
        <v>2.13953488372093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1023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1023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1023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1024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75870.63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32.093023255813954</v>
      </c>
      <c r="AI48" s="215">
        <f>CdTrp1!C40</f>
        <v>35.302325581395351</v>
      </c>
      <c r="AJ48" s="215">
        <f>CdTrp1!D40</f>
        <v>35.302325581395351</v>
      </c>
      <c r="AK48" s="215">
        <f>CdTrp1!E40</f>
        <v>35.302325581395351</v>
      </c>
      <c r="AL48" s="215">
        <f>CdTrp1!F40</f>
        <v>35.302325581395351</v>
      </c>
      <c r="AM48" s="215">
        <f>CdTrp1!G40</f>
        <v>35.302325581395351</v>
      </c>
      <c r="AN48" s="215">
        <f>CdTrp1!H40</f>
        <v>16.367441860465114</v>
      </c>
      <c r="AO48" s="215">
        <f>CdTrp1!I40</f>
        <v>18.186046511627907</v>
      </c>
      <c r="AP48" s="215">
        <f>CdTrp1!J40</f>
        <v>22.732558139534884</v>
      </c>
      <c r="AQ48" s="215">
        <f>CdTrp1!K40</f>
        <v>26.369767441860464</v>
      </c>
      <c r="AR48" s="215">
        <f>CdTrp1!L40</f>
        <v>28.188372093023254</v>
      </c>
      <c r="AS48" s="215">
        <f>CdTrp1!M40</f>
        <v>30.006976744186048</v>
      </c>
      <c r="AT48" s="215">
        <f>CdTrp1!N40</f>
        <v>30.006976744186048</v>
      </c>
      <c r="AU48" s="215">
        <f>CdTrp1!O40</f>
        <v>30.006976744186048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1</v>
      </c>
      <c r="BC48" s="215">
        <f>IF(CdTrp1!I76=1,1,IF(CdTrp1!I76=2,2,IF(CdTrp1!I76=3,2,0)))</f>
        <v>1</v>
      </c>
      <c r="BD48" s="215">
        <f>IF(CdTrp1!J76=1,1,IF(CdTrp1!J76=2,2,IF(CdTrp1!J76=3,2,0)))</f>
        <v>1</v>
      </c>
      <c r="BE48" s="215">
        <f>IF(CdTrp1!K76=1,1,IF(CdTrp1!K76=2,2,IF(CdTrp1!K76=3,2,0)))</f>
        <v>1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1025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6.7930232558139529</v>
      </c>
      <c r="AI49" s="215">
        <f>CdTrp1!C41</f>
        <v>7.5418604651162786</v>
      </c>
      <c r="AJ49" s="215">
        <f>CdTrp1!D41</f>
        <v>9.0395348837209291</v>
      </c>
      <c r="AK49" s="215">
        <f>CdTrp1!E41</f>
        <v>10.162790697674417</v>
      </c>
      <c r="AL49" s="215">
        <f>CdTrp1!F41</f>
        <v>10.162790697674417</v>
      </c>
      <c r="AM49" s="215">
        <f>CdTrp1!G41</f>
        <v>10.162790697674417</v>
      </c>
      <c r="AN49" s="215">
        <f>CdTrp1!H41</f>
        <v>10.162790697674417</v>
      </c>
      <c r="AO49" s="215">
        <f>CdTrp1!I41</f>
        <v>10.162790697674417</v>
      </c>
      <c r="AP49" s="215">
        <f>CdTrp1!J41</f>
        <v>10.162790697674417</v>
      </c>
      <c r="AQ49" s="215">
        <f>CdTrp1!K41</f>
        <v>10.162790697674417</v>
      </c>
      <c r="AR49" s="215">
        <f>CdTrp1!L41</f>
        <v>10.162790697674417</v>
      </c>
      <c r="AS49" s="215">
        <f>CdTrp1!M41</f>
        <v>10.162790697674417</v>
      </c>
      <c r="AT49" s="215">
        <f>CdTrp1!N41</f>
        <v>10.162790697674417</v>
      </c>
      <c r="AU49" s="215">
        <f>CdTrp1!O41</f>
        <v>10.162790697674417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2</v>
      </c>
      <c r="BB49" s="215">
        <f>IF(CdTrp1!H77=1,1,IF(CdTrp1!H77=2,2,IF(CdTrp1!H77=3,2,0)))</f>
        <v>2</v>
      </c>
      <c r="BC49" s="215">
        <f>IF(CdTrp1!I77=1,1,IF(CdTrp1!I77=2,2,IF(CdTrp1!I77=3,2,0)))</f>
        <v>2</v>
      </c>
      <c r="BD49" s="215">
        <f>IF(CdTrp1!J77=1,1,IF(CdTrp1!J77=2,2,IF(CdTrp1!J77=3,2,0)))</f>
        <v>0</v>
      </c>
      <c r="BE49" s="215">
        <f>IF(CdTrp1!K77=1,1,IF(CdTrp1!K77=2,2,IF(CdTrp1!K77=3,2,0)))</f>
        <v>0</v>
      </c>
      <c r="BF49" s="215">
        <f>IF(CdTrp1!L77=1,1,IF(CdTrp1!L77=2,2,IF(CdTrp1!L77=3,2,0)))</f>
        <v>0</v>
      </c>
      <c r="BG49" s="215">
        <f>IF(CdTrp1!M77=1,1,IF(CdTrp1!M77=2,2,IF(CdTrp1!M77=3,2,0)))</f>
        <v>0</v>
      </c>
      <c r="BH49" s="215">
        <f>IF(CdTrp1!N77=1,1,IF(CdTrp1!N77=2,2,IF(CdTrp1!N77=3,2,0)))</f>
        <v>0</v>
      </c>
      <c r="BI49" s="215">
        <f>IF(CdTrp1!O77=1,1,IF(CdTrp1!O77=2,2,IF(CdTrp1!O77=3,2,0)))</f>
        <v>0</v>
      </c>
      <c r="BJ49" s="215">
        <f>IF(CdTrp1!P77=1,1,IF(CdTrp1!P77=2,2,IF(CdTrp1!P77=3,2,0)))</f>
        <v>0</v>
      </c>
      <c r="BK49" s="215">
        <f>IF(CdTrp1!Q77=1,1,IF(CdTrp1!Q77=2,2,IF(CdTrp1!Q77=3,2,0)))</f>
        <v>0</v>
      </c>
      <c r="BL49" s="215">
        <f>IF(CdTrp1!R77=1,1,IF(CdTrp1!R77=2,2,IF(CdTrp1!R77=3,2,0)))</f>
        <v>0</v>
      </c>
      <c r="BM49" s="215">
        <f>IF(CdTrp1!S77=1,1,IF(CdTrp1!S77=2,2,IF(CdTrp1!S77=3,2,0)))</f>
        <v>0</v>
      </c>
      <c r="BN49" s="215">
        <f>IF(CdTrp1!T77=1,1,IF(CdTrp1!T77=2,2,IF(CdTrp1!T77=3,2,0)))</f>
        <v>1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165</v>
      </c>
      <c r="X50" s="212" t="s">
        <v>982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8.5581395348837201</v>
      </c>
      <c r="AI50" s="215">
        <f>CdTrp1!C42</f>
        <v>8.5581395348837201</v>
      </c>
      <c r="AJ50" s="215">
        <f>CdTrp1!D42</f>
        <v>8.5581395348837201</v>
      </c>
      <c r="AK50" s="215">
        <f>CdTrp1!E42</f>
        <v>8.5581395348837201</v>
      </c>
      <c r="AL50" s="215">
        <f>CdTrp1!F42</f>
        <v>8.5581395348837201</v>
      </c>
      <c r="AM50" s="215">
        <f>CdTrp1!G42</f>
        <v>8.5581395348837201</v>
      </c>
      <c r="AN50" s="215">
        <f>CdTrp1!H42</f>
        <v>8.5581395348837201</v>
      </c>
      <c r="AO50" s="215">
        <f>CdTrp1!I42</f>
        <v>8.5581395348837201</v>
      </c>
      <c r="AP50" s="215">
        <f>CdTrp1!J42</f>
        <v>8.5581395348837201</v>
      </c>
      <c r="AQ50" s="215">
        <f>CdTrp1!K42</f>
        <v>8.5581395348837201</v>
      </c>
      <c r="AR50" s="215">
        <f>CdTrp1!L42</f>
        <v>8.5581395348837201</v>
      </c>
      <c r="AS50" s="215">
        <f>CdTrp1!M42</f>
        <v>8.5581395348837201</v>
      </c>
      <c r="AT50" s="215">
        <f>CdTrp1!N42</f>
        <v>8.5581395348837201</v>
      </c>
      <c r="AU50" s="215">
        <f>CdTrp1!O42</f>
        <v>8.5581395348837201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1</v>
      </c>
      <c r="BF50" s="215">
        <f>IF(CdTrp1!L78=1,1,IF(CdTrp1!L78=2,2,IF(CdTrp1!L78=3,2,0)))</f>
        <v>1</v>
      </c>
      <c r="BG50" s="215">
        <f>IF(CdTrp1!M78=1,1,IF(CdTrp1!M78=2,2,IF(CdTrp1!M78=3,2,0)))</f>
        <v>1</v>
      </c>
      <c r="BH50" s="215">
        <f>IF(CdTrp1!N78=1,1,IF(CdTrp1!N78=2,2,IF(CdTrp1!N78=3,2,0)))</f>
        <v>1</v>
      </c>
      <c r="BI50" s="215">
        <f>IF(CdTrp1!O78=1,1,IF(CdTrp1!O78=2,2,IF(CdTrp1!O78=3,2,0)))</f>
        <v>1</v>
      </c>
      <c r="BJ50" s="215">
        <f>IF(CdTrp1!P78=1,1,IF(CdTrp1!P78=2,2,IF(CdTrp1!P78=3,2,0)))</f>
        <v>1</v>
      </c>
      <c r="BK50" s="215">
        <f>IF(CdTrp1!Q78=1,1,IF(CdTrp1!Q78=2,2,IF(CdTrp1!Q78=3,2,0)))</f>
        <v>1</v>
      </c>
      <c r="BL50" s="215">
        <f>IF(CdTrp1!R78=1,1,IF(CdTrp1!R78=2,2,IF(CdTrp1!R78=3,2,0)))</f>
        <v>1</v>
      </c>
      <c r="BM50" s="215">
        <f>IF(CdTrp1!S78=1,1,IF(CdTrp1!S78=2,2,IF(CdTrp1!S78=3,2,0)))</f>
        <v>1</v>
      </c>
      <c r="BN50" s="215">
        <f>IF(CdTrp1!T78=1,1,IF(CdTrp1!T78=2,2,IF(CdTrp1!T78=3,2,0)))</f>
        <v>1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579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984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2.7279069767441859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1</v>
      </c>
      <c r="BB51" s="215">
        <f>IF(CdTrp1!H79=1,1,IF(CdTrp1!H79=2,2,IF(CdTrp1!H79=3,2,0)))</f>
        <v>2</v>
      </c>
      <c r="BC51" s="215">
        <f>IF(CdTrp1!I79=1,1,IF(CdTrp1!I79=2,2,IF(CdTrp1!I79=3,2,0)))</f>
        <v>2</v>
      </c>
      <c r="BD51" s="215">
        <f>IF(CdTrp1!J79=1,1,IF(CdTrp1!J79=2,2,IF(CdTrp1!J79=3,2,0)))</f>
        <v>0</v>
      </c>
      <c r="BE51" s="215">
        <f>IF(CdTrp1!K79=1,1,IF(CdTrp1!K79=2,2,IF(CdTrp1!K79=3,2,0)))</f>
        <v>0</v>
      </c>
      <c r="BF51" s="215">
        <f>IF(CdTrp1!L79=1,1,IF(CdTrp1!L79=2,2,IF(CdTrp1!L79=3,2,0)))</f>
        <v>0</v>
      </c>
      <c r="BG51" s="215">
        <f>IF(CdTrp1!M79=1,1,IF(CdTrp1!M79=2,2,IF(CdTrp1!M79=3,2,0)))</f>
        <v>0</v>
      </c>
      <c r="BH51" s="215">
        <f>IF(CdTrp1!N79=1,1,IF(CdTrp1!N79=2,2,IF(CdTrp1!N79=3,2,0)))</f>
        <v>0</v>
      </c>
      <c r="BI51" s="215">
        <f>IF(CdTrp1!O79=1,1,IF(CdTrp1!O79=2,2,IF(CdTrp1!O79=3,2,0)))</f>
        <v>0</v>
      </c>
      <c r="BJ51" s="215">
        <f>IF(CdTrp1!P79=1,1,IF(CdTrp1!P79=2,2,IF(CdTrp1!P79=3,2,0)))</f>
        <v>0</v>
      </c>
      <c r="BK51" s="215">
        <f>IF(CdTrp1!Q79=1,1,IF(CdTrp1!Q79=2,2,IF(CdTrp1!Q79=3,2,0)))</f>
        <v>0</v>
      </c>
      <c r="BL51" s="215">
        <f>IF(CdTrp1!R79=1,1,IF(CdTrp1!R79=2,2,IF(CdTrp1!R79=3,2,0)))</f>
        <v>0</v>
      </c>
      <c r="BM51" s="215">
        <f>IF(CdTrp1!S79=1,1,IF(CdTrp1!S79=2,2,IF(CdTrp1!S79=3,2,0)))</f>
        <v>0</v>
      </c>
      <c r="BN51" s="215">
        <f>IF(CdTrp1!T79=1,1,IF(CdTrp1!T79=2,2,IF(CdTrp1!T79=3,2,0)))</f>
        <v>1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2</v>
      </c>
      <c r="BM52" s="215">
        <f>IF(CdTrp1!S80=1,1,IF(CdTrp1!S80=2,2,IF(CdTrp1!S80=3,2,0)))</f>
        <v>2</v>
      </c>
      <c r="BN52" s="215">
        <f>IF(CdTrp1!T80=1,1,IF(CdTrp1!T80=2,2,IF(CdTrp1!T80=3,2,0)))</f>
        <v>2</v>
      </c>
      <c r="BO52" s="215">
        <f>IF(CdTrp1!U80=1,1,IF(CdTrp1!U80=2,2,IF(CdTrp1!U80=3,2,0)))</f>
        <v>1</v>
      </c>
      <c r="BP52" s="215">
        <f>IF(CdTrp1!V80=1,1,IF(CdTrp1!V80=2,2,IF(CdTrp1!V80=3,2,0)))</f>
        <v>1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1026</v>
      </c>
      <c r="Y53" s="211">
        <f>ROUND(SUM(AC49:AC51)/SUM(AC47:AC51)*100,0)</f>
        <v>0</v>
      </c>
      <c r="Z53" s="211" t="s">
        <v>440</v>
      </c>
      <c r="AA53" s="211"/>
      <c r="AB53" s="211"/>
      <c r="AC53" s="211"/>
      <c r="AD53" s="211"/>
      <c r="AE53" s="211"/>
      <c r="AF53" s="211"/>
      <c r="AG53" s="268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1027</v>
      </c>
      <c r="S54" s="30">
        <f>SUM(S50:S53)</f>
        <v>165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1028</v>
      </c>
      <c r="S55" s="30">
        <f>S54*[1]Eco!$B$25</f>
        <v>77.55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1029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1029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1029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1029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0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1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0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1030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1030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1030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1030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0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1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0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1031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1032</v>
      </c>
      <c r="AG79" s="213">
        <f>SUM(AH69:BE78)</f>
        <v>0</v>
      </c>
      <c r="AH79" s="211" t="s">
        <v>1033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1032</v>
      </c>
      <c r="BH79" s="211">
        <f>SUM(BI69:CF78)</f>
        <v>0</v>
      </c>
      <c r="BI79" s="211" t="s">
        <v>1033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1032</v>
      </c>
      <c r="CJ79" s="211">
        <f>SUM(CK69:DH78)</f>
        <v>0</v>
      </c>
      <c r="CK79" s="211" t="s">
        <v>1033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1032</v>
      </c>
      <c r="DL79" s="211">
        <f>SUM(DM69:EJ78)</f>
        <v>0</v>
      </c>
      <c r="DM79" s="211" t="s">
        <v>1033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1034</v>
      </c>
      <c r="D80" s="33" t="s">
        <v>1035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1036</v>
      </c>
      <c r="C81" s="36" t="s">
        <v>1037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11.3</v>
      </c>
      <c r="E82" s="169">
        <f t="shared" ref="E82:F97" si="33">BZ89+CD89</f>
        <v>0</v>
      </c>
      <c r="F82" s="169">
        <f t="shared" si="33"/>
        <v>0</v>
      </c>
      <c r="J82" s="169">
        <f>SUM(K82:M82)</f>
        <v>2260</v>
      </c>
      <c r="K82" s="169">
        <f>$C82*D82</f>
        <v>2260</v>
      </c>
      <c r="L82" s="169">
        <f t="shared" ref="L82:M97" si="34">$C82*E82</f>
        <v>0</v>
      </c>
      <c r="M82" s="169">
        <f t="shared" si="34"/>
        <v>0</v>
      </c>
      <c r="X82" s="14" t="s">
        <v>1038</v>
      </c>
      <c r="Y82" s="169">
        <f>B14</f>
        <v>2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7.8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1287</v>
      </c>
      <c r="K83" s="169">
        <f t="shared" ref="K83:M106" si="37">$C83*D83</f>
        <v>1287</v>
      </c>
      <c r="L83" s="169">
        <f t="shared" si="34"/>
        <v>0</v>
      </c>
      <c r="M83" s="169">
        <f t="shared" si="34"/>
        <v>0</v>
      </c>
      <c r="Q83" s="2" t="s">
        <v>1039</v>
      </c>
      <c r="X83" s="14" t="s">
        <v>1040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1041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1042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5.5</v>
      </c>
      <c r="E87" s="169">
        <f t="shared" si="33"/>
        <v>0</v>
      </c>
      <c r="F87" s="169">
        <f t="shared" si="33"/>
        <v>0</v>
      </c>
      <c r="J87" s="169">
        <f t="shared" si="36"/>
        <v>2244</v>
      </c>
      <c r="K87" s="169">
        <f t="shared" si="37"/>
        <v>2244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1043</v>
      </c>
      <c r="AB87" t="s">
        <v>86</v>
      </c>
      <c r="AL87"/>
      <c r="BG87"/>
      <c r="BY87" t="s">
        <v>939</v>
      </c>
      <c r="CC87" t="s">
        <v>1044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1045</v>
      </c>
      <c r="Z88" t="s">
        <v>716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913</v>
      </c>
      <c r="BZ88" s="167" t="s">
        <v>929</v>
      </c>
      <c r="CA88" s="167" t="s">
        <v>930</v>
      </c>
      <c r="CB88" s="167"/>
      <c r="CC88" s="167" t="s">
        <v>913</v>
      </c>
      <c r="CD88" s="167" t="s">
        <v>929</v>
      </c>
      <c r="CE88" s="167" t="s">
        <v>930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9">IF($X89=AB$88,ROUND($Z89/1000,1),0)</f>
        <v>0</v>
      </c>
      <c r="AC89" s="54">
        <f t="shared" si="39"/>
        <v>2.2999999999999998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11.3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0.6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2.2999999999999998</v>
      </c>
      <c r="BZ90" s="169">
        <f>+AC$101</f>
        <v>0</v>
      </c>
      <c r="CA90" s="169">
        <f>+AC$108</f>
        <v>0</v>
      </c>
      <c r="CC90" s="169">
        <f>CdTrp1!AL$54</f>
        <v>5.5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2.2999999999999998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0.6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0.6</v>
      </c>
      <c r="BZ94" s="169">
        <f>+AG$101</f>
        <v>0</v>
      </c>
      <c r="CA94" s="169">
        <f>+AG$108</f>
        <v>0</v>
      </c>
      <c r="CC94" s="169">
        <f>CdTrp1!AP$54</f>
        <v>4.9000000000000004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0.1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0.1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0.1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0.1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0.1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0.1</v>
      </c>
      <c r="BL101" s="56">
        <f t="shared" si="47"/>
        <v>0.1</v>
      </c>
      <c r="BM101" s="56">
        <f t="shared" si="47"/>
        <v>0.1</v>
      </c>
      <c r="BN101" s="56">
        <f t="shared" si="47"/>
        <v>0.1</v>
      </c>
      <c r="BO101" s="56">
        <f t="shared" si="47"/>
        <v>0.1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0.1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0.1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0.1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0.1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0.1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0.1</v>
      </c>
      <c r="BL108" s="56">
        <f t="shared" si="53"/>
        <v>0.1</v>
      </c>
      <c r="BM108" s="56">
        <f t="shared" si="53"/>
        <v>0.1</v>
      </c>
      <c r="BN108" s="56">
        <f t="shared" si="53"/>
        <v>0.1</v>
      </c>
      <c r="BO108" s="56">
        <f t="shared" si="53"/>
        <v>0.1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1046</v>
      </c>
      <c r="J110" s="169">
        <f t="shared" ref="J110:J115" si="54">SUM(K110:N110)</f>
        <v>3036</v>
      </c>
      <c r="K110" s="173">
        <f t="shared" ref="K110:K115" si="55">ROUND(T132*U132,0)</f>
        <v>3036</v>
      </c>
      <c r="L110" s="173">
        <f>ROUND(V132*W132,0)</f>
        <v>0</v>
      </c>
      <c r="M110" s="173">
        <f t="shared" ref="M110:M115" si="56">ROUND(X132*Y132,0)</f>
        <v>0</v>
      </c>
      <c r="R110" s="40" t="s">
        <v>1047</v>
      </c>
      <c r="S110" s="167" t="str">
        <f>Troupeau!B3</f>
        <v>BV</v>
      </c>
      <c r="T110" s="61">
        <f>SUM(K82:K106)</f>
        <v>5791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1048</v>
      </c>
      <c r="J111" s="169">
        <f t="shared" si="54"/>
        <v>4140</v>
      </c>
      <c r="K111" s="173">
        <f t="shared" si="55"/>
        <v>4140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1049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1050</v>
      </c>
      <c r="J113" s="169">
        <f t="shared" si="54"/>
        <v>874</v>
      </c>
      <c r="K113" s="173">
        <f t="shared" si="55"/>
        <v>874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1051</v>
      </c>
      <c r="J114" s="169">
        <f t="shared" si="54"/>
        <v>1610</v>
      </c>
      <c r="K114" s="173">
        <f t="shared" si="55"/>
        <v>1610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1052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1053</v>
      </c>
      <c r="K116" s="62">
        <f>SUM(K110:K115)+SUM(K82:K106)</f>
        <v>15451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1054</v>
      </c>
      <c r="B118" s="173">
        <f>IF('Alim -Surf'!K27&lt;0,-'Alim -Surf'!K27,0)</f>
        <v>0</v>
      </c>
      <c r="C118" s="184">
        <f>IF(Scénario!$K$12="BV",[1]Eco!$B$78,IF(Scénario!$K$12="BL",[1]Eco!$B$77,[1]Eco!$B$76))</f>
        <v>150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1055</v>
      </c>
      <c r="B119" s="173">
        <f>IF('Alim -Surf'!K9&lt;0,-'Alim -Surf'!K9,0)</f>
        <v>54.335000000000001</v>
      </c>
      <c r="C119" s="184">
        <f>[1]Eco!$B$79</f>
        <v>80</v>
      </c>
      <c r="J119" s="169">
        <f>B119*C119</f>
        <v>4346.8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1056</v>
      </c>
      <c r="B121" t="s">
        <v>1057</v>
      </c>
      <c r="C121" t="s">
        <v>37</v>
      </c>
      <c r="D121" t="s">
        <v>1058</v>
      </c>
      <c r="BG121"/>
      <c r="BH121" s="14"/>
    </row>
    <row r="122" spans="1:83" x14ac:dyDescent="0.25">
      <c r="A122" s="183" t="str">
        <f>LEFT('Alim -Surf'!B34,10)</f>
        <v>landes lit</v>
      </c>
      <c r="B122" s="169">
        <f>'Alim -Surf'!D34</f>
        <v>28</v>
      </c>
      <c r="C122" s="169">
        <f>'Alim -Surf'!E34</f>
        <v>2.2000000000000002</v>
      </c>
      <c r="D122" s="184">
        <f>IF(B122=0,0,VLOOKUP(A122,[1]Anx!$A$212:$CO$218,3+Troupeau!$J$17))</f>
        <v>0</v>
      </c>
      <c r="J122" s="169">
        <f>C122*D122</f>
        <v>0</v>
      </c>
      <c r="K122" s="168"/>
      <c r="L122" s="168"/>
      <c r="M122" s="168"/>
      <c r="N122" s="168"/>
      <c r="T122" s="2" t="s">
        <v>565</v>
      </c>
      <c r="U122" s="2" t="s">
        <v>579</v>
      </c>
      <c r="V122" s="2" t="s">
        <v>586</v>
      </c>
      <c r="W122" s="2" t="s">
        <v>1020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1059</v>
      </c>
      <c r="T123" s="167">
        <f>Troupeau!J17</f>
        <v>23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1060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1061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1020</v>
      </c>
      <c r="AJ124" s="228" t="s">
        <v>1062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1063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1064</v>
      </c>
      <c r="AF125" s="30">
        <f>Troupeau!J17</f>
        <v>23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1065</v>
      </c>
      <c r="T126">
        <f>ROUND(AF147/100,2)</f>
        <v>105.1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1066</v>
      </c>
      <c r="AE126" t="s">
        <v>1067</v>
      </c>
      <c r="AF126" s="30">
        <f>B9</f>
        <v>18.5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1068</v>
      </c>
      <c r="T127">
        <f>Troupeau!B17</f>
        <v>46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1069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1070</v>
      </c>
      <c r="AE128" t="s">
        <v>1071</v>
      </c>
      <c r="AF128" s="30">
        <f>AF126*AF127</f>
        <v>4070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1072</v>
      </c>
      <c r="AE129" t="s">
        <v>1067</v>
      </c>
      <c r="AF129" s="30">
        <f>B10</f>
        <v>7.5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1020</v>
      </c>
      <c r="AA130" s="2"/>
      <c r="AB130" s="202"/>
      <c r="AE130" t="s">
        <v>1069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1073</v>
      </c>
      <c r="U131" s="167" t="s">
        <v>1074</v>
      </c>
      <c r="V131" s="167" t="s">
        <v>1073</v>
      </c>
      <c r="W131" s="167" t="s">
        <v>1074</v>
      </c>
      <c r="X131" s="167" t="s">
        <v>1073</v>
      </c>
      <c r="Y131" s="167" t="s">
        <v>1074</v>
      </c>
      <c r="Z131" s="167" t="s">
        <v>1073</v>
      </c>
      <c r="AA131" s="167" t="s">
        <v>1074</v>
      </c>
      <c r="AB131" s="202" t="s">
        <v>1075</v>
      </c>
      <c r="AE131" t="s">
        <v>1071</v>
      </c>
      <c r="AF131" s="30">
        <f>AF129*AF130</f>
        <v>1500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1076</v>
      </c>
      <c r="B132" s="5"/>
      <c r="C132" s="169">
        <f>AH228</f>
        <v>3.9000000000000004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175.50000000000003</v>
      </c>
      <c r="K132" s="168"/>
      <c r="L132" s="168"/>
      <c r="M132" s="168"/>
      <c r="N132" s="168"/>
      <c r="O132" s="227">
        <v>10</v>
      </c>
      <c r="S132" s="14" t="s">
        <v>1046</v>
      </c>
      <c r="T132" s="167">
        <f>$T$127</f>
        <v>46</v>
      </c>
      <c r="U132" s="184">
        <f>HLOOKUP($T$123,[1]Anx!$D$170:$CN$1177,$AB132)</f>
        <v>66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1077</v>
      </c>
      <c r="AE132" t="s">
        <v>1067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1078</v>
      </c>
      <c r="B133" s="5"/>
      <c r="C133" s="169">
        <f>AI228</f>
        <v>4.3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260.19299999999998</v>
      </c>
      <c r="K133" s="168"/>
      <c r="L133" s="168"/>
      <c r="M133" s="168"/>
      <c r="N133" s="168"/>
      <c r="O133" s="227">
        <v>11</v>
      </c>
      <c r="S133" s="14" t="s">
        <v>1048</v>
      </c>
      <c r="T133" s="167">
        <f>$T$127</f>
        <v>46</v>
      </c>
      <c r="U133" s="184">
        <f>HLOOKUP($T$123,[1]Anx!$D$170:$CN$1177,$AB133)</f>
        <v>90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1069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1079</v>
      </c>
      <c r="B134" s="5"/>
      <c r="C134" s="169">
        <f>AJ228</f>
        <v>18.100000000000001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1226.2750000000001</v>
      </c>
      <c r="K134" s="168"/>
      <c r="L134" s="168"/>
      <c r="M134" s="168"/>
      <c r="N134" s="168"/>
      <c r="O134" s="227">
        <v>12</v>
      </c>
      <c r="S134" s="14" t="s">
        <v>1049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1071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1080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1050</v>
      </c>
      <c r="T135" s="167">
        <f>$T$127</f>
        <v>46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1081</v>
      </c>
      <c r="AE135" t="s">
        <v>1067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1082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1083</v>
      </c>
      <c r="T136" s="167">
        <f>$T$127</f>
        <v>46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1069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1084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0</v>
      </c>
      <c r="K137" s="168"/>
      <c r="L137" s="168"/>
      <c r="M137" s="168"/>
      <c r="N137" s="168"/>
      <c r="O137" s="227">
        <v>15</v>
      </c>
      <c r="S137" s="32" t="s">
        <v>1085</v>
      </c>
      <c r="T137" s="167">
        <f>Troupeau!B22</f>
        <v>11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1071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1086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1087</v>
      </c>
      <c r="AE138" t="s">
        <v>1067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1069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1088</v>
      </c>
      <c r="J140" s="168"/>
      <c r="K140" s="168"/>
      <c r="L140" s="168"/>
      <c r="M140" s="168"/>
      <c r="N140" s="168"/>
      <c r="Y140" s="167"/>
      <c r="AE140" t="s">
        <v>1071</v>
      </c>
      <c r="AF140" s="30">
        <f>AF138*AF139</f>
        <v>4940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1089</v>
      </c>
      <c r="J141" s="169">
        <f>X245</f>
        <v>0</v>
      </c>
      <c r="K141" s="168"/>
      <c r="L141" s="168"/>
      <c r="M141" s="168"/>
      <c r="N141" s="168"/>
      <c r="Y141" s="167"/>
      <c r="AD141" s="14" t="s">
        <v>1090</v>
      </c>
      <c r="AE141" t="s">
        <v>1067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1091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1069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1071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1092</v>
      </c>
      <c r="AE144" t="s">
        <v>1067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1093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21459.768</v>
      </c>
      <c r="K145" s="220"/>
      <c r="L145" s="220"/>
      <c r="M145" s="220"/>
      <c r="N145" s="220"/>
      <c r="Y145" s="167"/>
      <c r="AE145" t="s">
        <v>1069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1071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1094</v>
      </c>
      <c r="AF147" s="46">
        <f>AF128+AF131+AF134+AF137+AF140+AF143+AF146</f>
        <v>10510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1095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1096</v>
      </c>
      <c r="B149" s="169">
        <f>B$154</f>
        <v>24.1</v>
      </c>
      <c r="C149" s="184">
        <f>HLOOKUP(Troupeau!J$17,[1]Anx!$D$170:$CN$220,'Calcul éco'!O149)</f>
        <v>107</v>
      </c>
      <c r="D149" s="5"/>
      <c r="G149" s="167"/>
      <c r="J149" s="169">
        <f t="shared" ref="J149:J154" si="67">B149*C149</f>
        <v>2578.7000000000003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1097</v>
      </c>
      <c r="B150" s="168">
        <v>1</v>
      </c>
      <c r="C150" s="184">
        <f>HLOOKUP(Troupeau!J$17,[1]Anx!$D$170:$CN$220,'Calcul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1098</v>
      </c>
      <c r="B151" s="168">
        <v>1</v>
      </c>
      <c r="C151" s="184">
        <f>HLOOKUP(Troupeau!J$17,[1]Anx!$D$170:$CN$220,'Calcul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1099</v>
      </c>
    </row>
    <row r="152" spans="1:39" x14ac:dyDescent="0.25">
      <c r="A152" t="s">
        <v>1100</v>
      </c>
      <c r="B152" s="169">
        <f>+Scénario!K6</f>
        <v>0</v>
      </c>
      <c r="C152" s="184">
        <f>HLOOKUP(Troupeau!J$17,[1]Anx!$D$170:$CN$220,'Calcul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1101</v>
      </c>
    </row>
    <row r="153" spans="1:39" x14ac:dyDescent="0.25">
      <c r="A153" s="5" t="s">
        <v>1102</v>
      </c>
      <c r="B153" s="168">
        <v>1</v>
      </c>
      <c r="C153" s="184">
        <f>HLOOKUP(Troupeau!J$17,[1]Anx!$D$170:$CN$220,'Calcul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1103</v>
      </c>
      <c r="W153" s="169">
        <f>U$228</f>
        <v>22.4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1104</v>
      </c>
      <c r="B154" s="169">
        <f>Scénario!K48</f>
        <v>24.1</v>
      </c>
      <c r="C154" s="184">
        <f>HLOOKUP(Troupeau!J$17,[1]Anx!$D$170:$CN$220,'Calcul éco'!O154)</f>
        <v>307</v>
      </c>
      <c r="D154" s="5"/>
      <c r="G154" s="167"/>
      <c r="J154" s="169">
        <f t="shared" si="67"/>
        <v>7398.7000000000007</v>
      </c>
      <c r="K154" s="169"/>
      <c r="L154" s="169"/>
      <c r="M154" s="169"/>
      <c r="N154" s="169"/>
      <c r="O154" s="227">
        <v>24</v>
      </c>
      <c r="V154" s="14" t="s">
        <v>1105</v>
      </c>
      <c r="W154" s="169">
        <f>V$228</f>
        <v>18.100000000000001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1106</v>
      </c>
      <c r="B155" s="232">
        <f>B154</f>
        <v>24.1</v>
      </c>
      <c r="C155" s="184">
        <f>HLOOKUP(Troupeau!J$17,[1]Anx!$D$170:$CN$220,'Calcul éco'!O155)</f>
        <v>66</v>
      </c>
      <c r="D155" s="86"/>
      <c r="E155" s="17"/>
      <c r="G155" s="167"/>
      <c r="H155" s="17"/>
      <c r="I155" s="232">
        <f>B155*C155</f>
        <v>1590.6000000000001</v>
      </c>
      <c r="O155" s="227">
        <v>25</v>
      </c>
      <c r="V155" s="14" t="s">
        <v>1107</v>
      </c>
      <c r="W155" s="169">
        <f>W$228</f>
        <v>3.6</v>
      </c>
      <c r="X155" t="s">
        <v>51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7"/>
      <c r="U156" t="s">
        <v>1108</v>
      </c>
      <c r="V156" s="14"/>
      <c r="W156" s="14"/>
      <c r="X156" s="14"/>
      <c r="Y156" s="169">
        <f>Y153*Scénario!K31/100</f>
        <v>0</v>
      </c>
      <c r="Z156" s="169">
        <f t="shared" si="68"/>
        <v>0</v>
      </c>
    </row>
    <row r="157" spans="1:39" x14ac:dyDescent="0.25">
      <c r="A157" s="5" t="s">
        <v>1109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1110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1111</v>
      </c>
      <c r="B159" s="169">
        <f t="shared" ref="B159:B161" si="69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1112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1113</v>
      </c>
      <c r="B161" s="169">
        <f t="shared" si="69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7">
        <v>4</v>
      </c>
      <c r="R161" s="2" t="s">
        <v>645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281</v>
      </c>
      <c r="S164" s="169">
        <f>'Alim -Surf'!R7</f>
        <v>4</v>
      </c>
      <c r="T164" s="169">
        <f>VLOOKUP($R164,[1]MEP!$A$4:$M$300,13)</f>
        <v>2</v>
      </c>
      <c r="U164" s="169">
        <f>IF($T164&gt;0,$S164,0)</f>
        <v>4</v>
      </c>
      <c r="V164" s="169">
        <f>IF($T164&gt;1,$S164,0)</f>
        <v>4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4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4</v>
      </c>
      <c r="AO164" s="167" t="s">
        <v>51</v>
      </c>
    </row>
    <row r="165" spans="1:41" x14ac:dyDescent="0.25">
      <c r="A165" s="5" t="s">
        <v>1114</v>
      </c>
      <c r="B165" s="5"/>
      <c r="C165" s="191" t="s">
        <v>1115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282</v>
      </c>
      <c r="S165" s="169">
        <f>'Alim -Surf'!R8</f>
        <v>1.7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1.7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1.7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663</v>
      </c>
      <c r="AO165" s="169">
        <f>SUM(AD164:AD183)</f>
        <v>15.6</v>
      </c>
    </row>
    <row r="166" spans="1:41" x14ac:dyDescent="0.25">
      <c r="A166" s="5" t="s">
        <v>1116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292</v>
      </c>
      <c r="S166" s="169">
        <f>'Alim -Surf'!R9</f>
        <v>5</v>
      </c>
      <c r="T166" s="169">
        <f>VLOOKUP(R166,[1]MEP!$A$4:$M$300,13)</f>
        <v>2</v>
      </c>
      <c r="U166" s="169">
        <f t="shared" si="72"/>
        <v>5</v>
      </c>
      <c r="V166" s="169">
        <f t="shared" si="73"/>
        <v>5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70"/>
        <v>0</v>
      </c>
      <c r="AB166" s="169">
        <f t="shared" si="71"/>
        <v>0</v>
      </c>
      <c r="AC166" s="169">
        <f t="shared" si="75"/>
        <v>0</v>
      </c>
      <c r="AD166" s="169">
        <f t="shared" si="76"/>
        <v>5</v>
      </c>
      <c r="AE166" s="169">
        <f t="shared" si="77"/>
        <v>0</v>
      </c>
      <c r="AF166" s="169">
        <f t="shared" si="78"/>
        <v>0</v>
      </c>
      <c r="AG166" s="169">
        <f t="shared" si="79"/>
        <v>0</v>
      </c>
      <c r="AH166" s="169">
        <f t="shared" si="80"/>
        <v>0</v>
      </c>
      <c r="AI166" s="169">
        <f t="shared" si="81"/>
        <v>0</v>
      </c>
      <c r="AJ166" s="169">
        <f t="shared" si="82"/>
        <v>5</v>
      </c>
      <c r="AN166" s="32" t="s">
        <v>664</v>
      </c>
      <c r="AO166" s="169">
        <f>SUM(AC164:AC183)</f>
        <v>0</v>
      </c>
    </row>
    <row r="167" spans="1:41" x14ac:dyDescent="0.25">
      <c r="A167" s="5" t="s">
        <v>1117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277</v>
      </c>
      <c r="S167" s="169">
        <f>'Alim -Surf'!R10</f>
        <v>3.6</v>
      </c>
      <c r="T167" s="169">
        <f>VLOOKUP(R167,[1]MEP!$A$4:$M$300,13)</f>
        <v>3</v>
      </c>
      <c r="U167" s="169">
        <f t="shared" si="72"/>
        <v>3.6</v>
      </c>
      <c r="V167" s="169">
        <f t="shared" si="73"/>
        <v>3.6</v>
      </c>
      <c r="W167" s="169">
        <f t="shared" si="74"/>
        <v>3.6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3.6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0</v>
      </c>
      <c r="AI167" s="169">
        <f t="shared" si="81"/>
        <v>0</v>
      </c>
      <c r="AJ167" s="169">
        <f t="shared" si="82"/>
        <v>3.6</v>
      </c>
      <c r="AN167" s="32" t="s">
        <v>665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279</v>
      </c>
      <c r="S168" s="169">
        <f>'Alim -Surf'!R11</f>
        <v>1.3</v>
      </c>
      <c r="T168" s="169">
        <f>VLOOKUP(R168,[1]MEP!$A$4:$M$300,13)</f>
        <v>1</v>
      </c>
      <c r="U168" s="169">
        <f t="shared" si="72"/>
        <v>1.3</v>
      </c>
      <c r="V168" s="169">
        <f t="shared" si="73"/>
        <v>0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1.3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1.3</v>
      </c>
      <c r="AJ168" s="169">
        <f t="shared" si="82"/>
        <v>0</v>
      </c>
      <c r="AN168" s="32" t="s">
        <v>666</v>
      </c>
      <c r="AO168" s="169">
        <f>SUM(AD186:AD205)</f>
        <v>8.5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2"/>
        <v>0</v>
      </c>
      <c r="V169" s="169">
        <f t="shared" si="73"/>
        <v>0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0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0</v>
      </c>
      <c r="AN169" s="32" t="s">
        <v>667</v>
      </c>
      <c r="AO169" s="169">
        <f>SUM(AC186:AC205)</f>
        <v>0</v>
      </c>
    </row>
    <row r="170" spans="1:41" x14ac:dyDescent="0.25">
      <c r="A170" s="219" t="s">
        <v>1118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24942.400000000001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2"/>
        <v>0</v>
      </c>
      <c r="V170" s="169">
        <f t="shared" si="73"/>
        <v>0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0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0</v>
      </c>
      <c r="AN170" s="32" t="s">
        <v>668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669</v>
      </c>
      <c r="AO171" s="169">
        <f>'Alim -Surf'!O51</f>
        <v>2.2000000000000002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1119</v>
      </c>
      <c r="B174" s="220">
        <f>J48-J145-J170</f>
        <v>29468.462000000007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1120</v>
      </c>
      <c r="B175" s="220">
        <f>ROUND(B174/Scénario!K4,0)</f>
        <v>29468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1121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1122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1123</v>
      </c>
      <c r="B180" s="220">
        <f>B174-B177-B178</f>
        <v>24718.462000000007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1124</v>
      </c>
      <c r="B181" s="220">
        <f>ROUND(B180/Scénario!K4,0)</f>
        <v>24718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284</v>
      </c>
      <c r="S186" s="169">
        <f>'Alim -Surf'!R29</f>
        <v>5.5</v>
      </c>
      <c r="T186" s="169">
        <f>VLOOKUP(R186,[1]MEP!$A$4:$M$300,13)</f>
        <v>2</v>
      </c>
      <c r="U186" s="169">
        <f t="shared" si="72"/>
        <v>5.5</v>
      </c>
      <c r="V186" s="169">
        <f t="shared" si="73"/>
        <v>5.5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5.5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5.5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279</v>
      </c>
      <c r="S187" s="169">
        <f>'Alim -Surf'!R30</f>
        <v>3</v>
      </c>
      <c r="T187" s="169">
        <f>VLOOKUP(R187,[1]MEP!$A$4:$M$300,13)</f>
        <v>1</v>
      </c>
      <c r="U187" s="169">
        <f t="shared" si="72"/>
        <v>3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3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0</v>
      </c>
      <c r="AI187" s="169">
        <f t="shared" si="81"/>
        <v>3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2"/>
        <v>0</v>
      </c>
      <c r="V188" s="169">
        <f t="shared" si="73"/>
        <v>0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0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2"/>
        <v>0</v>
      </c>
      <c r="V189" s="169">
        <f t="shared" si="73"/>
        <v>0</v>
      </c>
      <c r="W189" s="169">
        <f t="shared" si="74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0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2.2000000000000002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2.2000000000000002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2.2000000000000002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3">SUM(S164:S227)</f>
        <v>26.3</v>
      </c>
      <c r="U228" s="62">
        <f>SUM(U164:U227)</f>
        <v>22.4</v>
      </c>
      <c r="V228" s="62">
        <f t="shared" ref="V228:W228" si="84">SUM(V164:V227)</f>
        <v>18.100000000000001</v>
      </c>
      <c r="W228" s="62">
        <f t="shared" si="84"/>
        <v>3.6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26.3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3.9000000000000004</v>
      </c>
      <c r="AI228" s="62">
        <f t="shared" si="86"/>
        <v>4.3</v>
      </c>
      <c r="AJ228" s="62">
        <f t="shared" si="86"/>
        <v>18.100000000000001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1125</v>
      </c>
      <c r="V232" t="s">
        <v>1126</v>
      </c>
      <c r="W232" t="s">
        <v>1127</v>
      </c>
      <c r="X232" t="s">
        <v>1128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1129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1130</v>
      </c>
      <c r="T234" s="30">
        <f>Protection!AK25</f>
        <v>0</v>
      </c>
      <c r="U234" t="s">
        <v>1131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1132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1133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1134</v>
      </c>
      <c r="AA236" t="s">
        <v>1135</v>
      </c>
      <c r="AB236" t="s">
        <v>1136</v>
      </c>
      <c r="AC236" t="s">
        <v>1137</v>
      </c>
      <c r="AD236" t="s">
        <v>1138</v>
      </c>
      <c r="AE236" t="s">
        <v>1139</v>
      </c>
      <c r="AF236" t="s">
        <v>1140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1142</v>
      </c>
      <c r="T240" s="30">
        <f>IF(Scénario!K87=3,Protection!AE33,0)</f>
        <v>0</v>
      </c>
      <c r="U240" t="s">
        <v>1131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1143</v>
      </c>
      <c r="W244" t="s">
        <v>1074</v>
      </c>
      <c r="X244" t="s">
        <v>965</v>
      </c>
    </row>
    <row r="245" spans="17:31" x14ac:dyDescent="0.25">
      <c r="Q245" s="15"/>
      <c r="S245" s="14" t="s">
        <v>1144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1145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1146</v>
      </c>
      <c r="T247" s="30">
        <f>Travail!F16/8</f>
        <v>15</v>
      </c>
      <c r="W247" s="169">
        <f>[1]Eco!$B$111</f>
        <v>28.3</v>
      </c>
      <c r="X247" s="169">
        <f>T247*W247</f>
        <v>424.5</v>
      </c>
    </row>
    <row r="248" spans="17:31" x14ac:dyDescent="0.25">
      <c r="W248" s="14" t="s">
        <v>1147</v>
      </c>
      <c r="X248" s="169">
        <f>SUM(X245:X247)</f>
        <v>424.5</v>
      </c>
    </row>
    <row r="249" spans="17:31" x14ac:dyDescent="0.25">
      <c r="W249" s="14" t="s">
        <v>1423</v>
      </c>
      <c r="X249" s="169">
        <f>ROUND(X246+X247+Protection!AJ5*(([1]Protect!$B$5/[1]Protect!$B$11)+[1]Protect!$B$8),0)</f>
        <v>425</v>
      </c>
      <c r="AB249" t="s">
        <v>1148</v>
      </c>
    </row>
    <row r="250" spans="17:31" x14ac:dyDescent="0.25">
      <c r="AB250" t="s">
        <v>1149</v>
      </c>
    </row>
    <row r="254" spans="17:31" x14ac:dyDescent="0.25">
      <c r="S254" s="40" t="s">
        <v>1150</v>
      </c>
      <c r="T254" s="4">
        <f>IF(Scénario!K53="OL",Scénario!K55*(1/0.15)*Scénario!K56,0)</f>
        <v>0</v>
      </c>
      <c r="Y254" s="40" t="s">
        <v>1151</v>
      </c>
      <c r="Z254">
        <f>IF(Troupeau!B3="OL",Troupeau!B17,0)</f>
        <v>0</v>
      </c>
    </row>
    <row r="255" spans="17:31" x14ac:dyDescent="0.25">
      <c r="U255" t="s">
        <v>1152</v>
      </c>
      <c r="AA255" t="s">
        <v>1152</v>
      </c>
    </row>
    <row r="256" spans="17:31" x14ac:dyDescent="0.25">
      <c r="S256" s="14" t="s">
        <v>1153</v>
      </c>
      <c r="T256" s="30">
        <f>IF(T254&lt;151,1,0)</f>
        <v>1</v>
      </c>
      <c r="U256" s="169">
        <f>IF(T256=0,0,[1]Protect!$B76)</f>
        <v>7500</v>
      </c>
      <c r="Y256" s="14" t="s">
        <v>1154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1155</v>
      </c>
      <c r="T257" s="30">
        <f>IF(AND(150 &lt;T$254,T$254&lt;451),1,0)</f>
        <v>0</v>
      </c>
      <c r="U257" s="169">
        <f>IF(T257=0,0,[1]Protect!$B77)</f>
        <v>0</v>
      </c>
      <c r="Y257" s="14" t="s">
        <v>1156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1157</v>
      </c>
      <c r="T258" s="30">
        <f>IF(AND(540 &lt;T$254,T$254&lt;1201),1,0)</f>
        <v>0</v>
      </c>
      <c r="U258" s="169">
        <f>IF(T258=0,0,[1]Protect!$B78)</f>
        <v>0</v>
      </c>
      <c r="Y258" s="14" t="s">
        <v>1158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1159</v>
      </c>
      <c r="T259" s="30">
        <f>IF(AND(1200&lt;T$254,T$254&lt;1501),1,0)</f>
        <v>0</v>
      </c>
      <c r="U259" s="169">
        <f>IF(T259=0,0,[1]Protect!$B79)</f>
        <v>0</v>
      </c>
      <c r="Y259" s="14" t="s">
        <v>1160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1161</v>
      </c>
      <c r="T260" s="30">
        <f>IF(1500&lt;T$254,1,0)</f>
        <v>0</v>
      </c>
      <c r="U260" s="169">
        <f>IF(T260=0,0,[1]Protect!$B80)</f>
        <v>0</v>
      </c>
      <c r="Y260" s="14" t="s">
        <v>1162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1164</v>
      </c>
      <c r="V264" s="169">
        <f>IF(X$249&lt;SUM(U256:U260),X$249*0.8,SUM(U256:U260))</f>
        <v>340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1165</v>
      </c>
      <c r="V265" s="169">
        <f>IF(X$249&lt;SUM(AA256:AA260),X$249*0.8,SUM(AA256:AA260))</f>
        <v>340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1166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1167</v>
      </c>
      <c r="U270" s="33"/>
      <c r="V270" s="33"/>
      <c r="W270" s="33" t="s">
        <v>1168</v>
      </c>
      <c r="X270" s="33" t="s">
        <v>1032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1169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1170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1171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1132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1133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17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482</v>
      </c>
      <c r="C1" s="251" t="str">
        <f>Scénario!K1</f>
        <v>Z2_BV_T2_Ssi</v>
      </c>
      <c r="D1" s="251" t="str">
        <f>CONCATENATE(C1,"_corr")</f>
        <v>Z2_BV_T2_Ssi_corr</v>
      </c>
    </row>
    <row r="2" spans="2:4" x14ac:dyDescent="0.25">
      <c r="B2" s="14" t="s">
        <v>483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2</v>
      </c>
      <c r="D7" s="173">
        <f t="shared" si="0"/>
        <v>2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523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526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529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531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532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545</v>
      </c>
      <c r="C18" s="173">
        <f>Scénario!K28</f>
        <v>22.4</v>
      </c>
      <c r="D18" s="173">
        <f t="shared" si="0"/>
        <v>22.4</v>
      </c>
    </row>
    <row r="19" spans="2:5" x14ac:dyDescent="0.25">
      <c r="B19" s="14" t="s">
        <v>546</v>
      </c>
      <c r="C19" s="173">
        <f>Scénario!K29</f>
        <v>18.100000000000001</v>
      </c>
      <c r="D19" s="173">
        <f t="shared" si="0"/>
        <v>18.100000000000001</v>
      </c>
    </row>
    <row r="20" spans="2:5" x14ac:dyDescent="0.25">
      <c r="B20" s="14" t="s">
        <v>547</v>
      </c>
      <c r="C20" s="173">
        <f>Scénario!K30</f>
        <v>3.6</v>
      </c>
      <c r="D20" s="173">
        <f t="shared" si="0"/>
        <v>3.6</v>
      </c>
    </row>
    <row r="21" spans="2:5" x14ac:dyDescent="0.25">
      <c r="B21" s="14" t="s">
        <v>548</v>
      </c>
      <c r="C21" s="173">
        <f>Scénario!K31</f>
        <v>30</v>
      </c>
      <c r="D21" s="173">
        <f t="shared" si="0"/>
        <v>30</v>
      </c>
    </row>
    <row r="22" spans="2:5" x14ac:dyDescent="0.25">
      <c r="B22" s="14" t="s">
        <v>1172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567</v>
      </c>
      <c r="C23" s="173">
        <f>Scénario!K54</f>
        <v>5</v>
      </c>
      <c r="D23" s="173">
        <f t="shared" si="0"/>
        <v>5</v>
      </c>
    </row>
    <row r="24" spans="2:5" x14ac:dyDescent="0.25">
      <c r="B24" s="14" t="s">
        <v>568</v>
      </c>
      <c r="C24" s="173">
        <f>Scénario!K55</f>
        <v>33</v>
      </c>
      <c r="D24" s="173">
        <f t="shared" si="0"/>
        <v>33</v>
      </c>
    </row>
    <row r="25" spans="2:5" x14ac:dyDescent="0.25">
      <c r="B25" s="14" t="s">
        <v>569</v>
      </c>
      <c r="C25" s="173">
        <f>Scénario!K56</f>
        <v>1</v>
      </c>
      <c r="D25" s="173">
        <f t="shared" si="0"/>
        <v>1</v>
      </c>
    </row>
    <row r="26" spans="2:5" x14ac:dyDescent="0.25">
      <c r="B26" s="14" t="s">
        <v>572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575</v>
      </c>
      <c r="C27" s="173">
        <f>Scénario!K58</f>
        <v>1</v>
      </c>
      <c r="D27" s="173">
        <f t="shared" si="0"/>
        <v>1</v>
      </c>
    </row>
    <row r="28" spans="2:5" x14ac:dyDescent="0.25">
      <c r="B28" s="14" t="s">
        <v>577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563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579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582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584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585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588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589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590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591</v>
      </c>
      <c r="C38" s="173">
        <f>Scénario!K70</f>
        <v>165</v>
      </c>
      <c r="D38" s="173">
        <f t="shared" si="0"/>
        <v>165</v>
      </c>
      <c r="E38" s="14"/>
    </row>
    <row r="39" spans="2:5" x14ac:dyDescent="0.25">
      <c r="B39" s="14" t="s">
        <v>592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593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594</v>
      </c>
      <c r="C41" s="173">
        <f>Scénario!K73</f>
        <v>165</v>
      </c>
      <c r="D41" s="173">
        <f t="shared" si="0"/>
        <v>165</v>
      </c>
      <c r="E41" s="14"/>
    </row>
    <row r="42" spans="2:5" x14ac:dyDescent="0.25">
      <c r="B42" s="14" t="s">
        <v>1174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599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601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1175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604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605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1176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608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611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621</v>
      </c>
      <c r="C51" s="173">
        <f>Scénario!K87</f>
        <v>0</v>
      </c>
      <c r="D51" s="173">
        <f t="shared" si="0"/>
        <v>0</v>
      </c>
      <c r="E51" s="14"/>
    </row>
    <row r="52" spans="1:132" x14ac:dyDescent="0.25">
      <c r="B52" s="19" t="s">
        <v>598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609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626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626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607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1177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628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629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639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641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1178</v>
      </c>
      <c r="B62" s="14" t="s">
        <v>1179</v>
      </c>
      <c r="C62" s="169" t="str">
        <f>Scénario!K12</f>
        <v>BV</v>
      </c>
      <c r="D62" s="169" t="str">
        <f>C62</f>
        <v>BV</v>
      </c>
      <c r="AS62" s="40" t="s">
        <v>565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579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1180</v>
      </c>
      <c r="C63" s="169">
        <f>IF(Troupeau!B3="OL",Troupeau!B17,0)</f>
        <v>0</v>
      </c>
      <c r="D63" s="252">
        <f>ROUND(C63*$D$82/$C$82,3)</f>
        <v>0</v>
      </c>
      <c r="F63" s="253" t="s">
        <v>1181</v>
      </c>
      <c r="G63">
        <f>D82/C82</f>
        <v>0</v>
      </c>
      <c r="AT63" s="2" t="s">
        <v>773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773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773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1182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1183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1184</v>
      </c>
      <c r="C65" s="169">
        <f>IF(Troupeau!B3="BV",Troupeau!B17,0)+IF(Troupeau!C3="BV",Troupeau!C17,0)</f>
        <v>46</v>
      </c>
      <c r="D65" s="252">
        <f t="shared" si="1"/>
        <v>0</v>
      </c>
      <c r="F65" s="254" t="s">
        <v>1185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1186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1187</v>
      </c>
      <c r="C67" s="169">
        <f>CdTrp1!AA49</f>
        <v>49.704069767441858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1188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1189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1190</v>
      </c>
      <c r="C70" s="169">
        <f>SUM(C67:C69)</f>
        <v>49.704069767441858</v>
      </c>
      <c r="D70" s="252">
        <f>ROUND(C70*$D$82/$C$82,3)</f>
        <v>0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1191</v>
      </c>
      <c r="C71" s="169">
        <f>Scénario!K33</f>
        <v>0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1192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1193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1194</v>
      </c>
      <c r="C74" s="169">
        <f>C71+C73</f>
        <v>0</v>
      </c>
      <c r="D74" s="252">
        <f t="shared" si="3"/>
        <v>0</v>
      </c>
      <c r="AT74" s="2" t="s">
        <v>777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1195</v>
      </c>
      <c r="C75" s="169">
        <f>'Alim -Surf'!$O$7+'Alim -Surf'!$O$29-C72-C73</f>
        <v>24.1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1196</v>
      </c>
      <c r="C76" s="169">
        <f>'Calcul éco'!AO166</f>
        <v>0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1197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1198</v>
      </c>
      <c r="C78" s="169">
        <f>'Calcul éco'!AO165</f>
        <v>15.6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1199</v>
      </c>
      <c r="C79" s="169">
        <f>'Calcul éco'!AO168</f>
        <v>8.5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1200</v>
      </c>
      <c r="C80" s="169">
        <f>'Calcul éco'!AO171</f>
        <v>2.2000000000000002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1201</v>
      </c>
      <c r="C81" s="169">
        <f>C74+C75</f>
        <v>24.1</v>
      </c>
      <c r="D81" s="252">
        <f>ROUND(C81*$D$82/$C$82,3)</f>
        <v>0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1202</v>
      </c>
      <c r="C82" s="169">
        <f>C81+C80</f>
        <v>26.3</v>
      </c>
      <c r="D82" s="80"/>
      <c r="E82" s="85" t="s">
        <v>1203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1204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1205</v>
      </c>
      <c r="C84" s="169">
        <f>ROUND(C70/C82,3)</f>
        <v>1.89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1206</v>
      </c>
      <c r="B85" s="14" t="s">
        <v>1207</v>
      </c>
      <c r="C85" s="169">
        <f>'Calcul éco'!$U$228</f>
        <v>22.4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1208</v>
      </c>
      <c r="C86" s="169">
        <f>'Calcul éco'!$V$228</f>
        <v>18.100000000000001</v>
      </c>
      <c r="D86" s="255">
        <f t="shared" ref="D86:D97" si="14">ROUND(C86*$D$82/$C$82,3)</f>
        <v>0</v>
      </c>
      <c r="AT86" s="185" t="s">
        <v>786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786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786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1209</v>
      </c>
      <c r="C87" s="169">
        <f>'Calcul éco'!$W$228</f>
        <v>3.6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787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560</v>
      </c>
      <c r="C88" s="169">
        <f>Scénario!K43</f>
        <v>6.72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635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549</v>
      </c>
      <c r="C89" s="169">
        <f>Scénario!K32</f>
        <v>2.2000000000000002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636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1210</v>
      </c>
      <c r="B90" s="14" t="s">
        <v>306</v>
      </c>
      <c r="C90" s="169">
        <f>Scénario!K34</f>
        <v>0</v>
      </c>
      <c r="D90" s="255">
        <f t="shared" si="14"/>
        <v>0</v>
      </c>
      <c r="G90" s="85" t="s">
        <v>1211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552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553</v>
      </c>
      <c r="C92" s="169">
        <f>Scénario!K36</f>
        <v>0</v>
      </c>
      <c r="D92" s="255">
        <f t="shared" si="14"/>
        <v>0</v>
      </c>
      <c r="G92" s="2" t="s">
        <v>1212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554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555</v>
      </c>
      <c r="C94" s="169">
        <f>Scénario!K38</f>
        <v>0</v>
      </c>
      <c r="D94" s="255">
        <f t="shared" si="14"/>
        <v>0</v>
      </c>
      <c r="F94" s="14" t="s">
        <v>913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1213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5</v>
      </c>
      <c r="Q95" s="30">
        <f>CdTrp1!K77</f>
        <v>5</v>
      </c>
      <c r="R95" s="30">
        <f>CdTrp1!L77</f>
        <v>5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1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556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1214</v>
      </c>
      <c r="B97" s="14" t="s">
        <v>1215</v>
      </c>
      <c r="C97" s="169">
        <f>C90+C75+C73</f>
        <v>24.1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1</v>
      </c>
      <c r="N97" s="30">
        <f>CdTrp1!H79</f>
        <v>2</v>
      </c>
      <c r="O97" s="30">
        <f>CdTrp1!I79</f>
        <v>2</v>
      </c>
      <c r="P97" s="30">
        <f>CdTrp1!J79</f>
        <v>5</v>
      </c>
      <c r="Q97" s="30">
        <f>CdTrp1!K79</f>
        <v>5</v>
      </c>
      <c r="R97" s="30">
        <f>CdTrp1!L79</f>
        <v>5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5</v>
      </c>
      <c r="Z97" s="30">
        <f>CdTrp1!T79</f>
        <v>1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748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748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748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1216</v>
      </c>
      <c r="B98" s="14" t="s">
        <v>1217</v>
      </c>
      <c r="C98" s="169">
        <f>MAX(H129:AE129)</f>
        <v>4</v>
      </c>
      <c r="D98" s="169">
        <f>C98</f>
        <v>4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2</v>
      </c>
      <c r="Y98" s="30">
        <f>CdTrp1!S80</f>
        <v>2</v>
      </c>
      <c r="Z98" s="30">
        <f>CdTrp1!T80</f>
        <v>2</v>
      </c>
      <c r="AA98" s="30">
        <f>CdTrp1!U80</f>
        <v>1</v>
      </c>
      <c r="AB98" s="30">
        <f>CdTrp1!V80</f>
        <v>1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795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1218</v>
      </c>
      <c r="B99" s="14" t="s">
        <v>1219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799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1220</v>
      </c>
      <c r="B100" s="14" t="s">
        <v>1221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2</v>
      </c>
      <c r="BH100" s="169">
        <f>IF(CdTrp1!N54=1,3,IF(CdTrp1!N54=0.5,2,IF(CdTrp1!N54=0,1,0)))</f>
        <v>2</v>
      </c>
      <c r="BI100" s="169">
        <f>IF(CdTrp1!O54=1,3,IF(CdTrp1!O54=0.5,2,IF(CdTrp1!O54=0,1,0)))</f>
        <v>2</v>
      </c>
      <c r="BJ100" s="169">
        <f>IF(CdTrp1!P54=1,3,IF(CdTrp1!P54=0.5,2,IF(CdTrp1!P54=0,1,0)))</f>
        <v>2</v>
      </c>
      <c r="BK100" s="169">
        <f>IF(CdTrp1!Q54=1,3,IF(CdTrp1!Q54=0.5,2,IF(CdTrp1!Q54=0,1,0)))</f>
        <v>2</v>
      </c>
      <c r="BL100" s="169">
        <f>IF(CdTrp1!R54=1,3,IF(CdTrp1!R54=0.5,2,IF(CdTrp1!R54=0,1,0)))</f>
        <v>2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800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1222</v>
      </c>
      <c r="C101" s="169">
        <f>MAX(H132:AE132)</f>
        <v>4</v>
      </c>
      <c r="D101" s="169">
        <f t="shared" si="25"/>
        <v>4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1223</v>
      </c>
      <c r="C102" s="169">
        <f>(24-COUNTIF(H129:AE129,0))/2</f>
        <v>8</v>
      </c>
      <c r="D102" s="169">
        <f t="shared" si="25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1224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1225</v>
      </c>
      <c r="C104" s="169">
        <f>(24-COUNTIF(H131:AE131,0))/2</f>
        <v>0</v>
      </c>
      <c r="D104" s="169">
        <f t="shared" si="25"/>
        <v>0</v>
      </c>
      <c r="F104" s="14" t="s">
        <v>929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1226</v>
      </c>
      <c r="C105" s="169">
        <f>(24-COUNTIF(H132:AE132,0))/2</f>
        <v>8</v>
      </c>
      <c r="D105" s="169">
        <f t="shared" si="25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1227</v>
      </c>
      <c r="C106" s="169">
        <f>SUM(H129:AE129)/2</f>
        <v>23.5</v>
      </c>
      <c r="D106" s="169">
        <f t="shared" si="25"/>
        <v>23.5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1228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1229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802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802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802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1230</v>
      </c>
      <c r="C109" s="169">
        <f>SUM(H132:AE132)/2</f>
        <v>23.5</v>
      </c>
      <c r="D109" s="169">
        <f t="shared" si="25"/>
        <v>23.5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1231</v>
      </c>
      <c r="C110" s="169">
        <f>COUNTIF($H$94:$AE$103,1)/2</f>
        <v>9.5</v>
      </c>
      <c r="D110" s="169">
        <f t="shared" si="25"/>
        <v>9.5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0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806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1232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1</v>
      </c>
      <c r="BH111" s="169">
        <f>IF(CdTrp1!N78=1,1,IF(CdTrp1!N78=2,2,IF(CdTrp1!N78=3,2,IF(CdTrp1!N78=4,4,0))))</f>
        <v>1</v>
      </c>
      <c r="BI111" s="169">
        <f>IF(CdTrp1!O78=1,1,IF(CdTrp1!O78=2,2,IF(CdTrp1!O78=3,2,IF(CdTrp1!O78=4,4,0))))</f>
        <v>1</v>
      </c>
      <c r="BJ111" s="169">
        <f>IF(CdTrp1!P78=1,1,IF(CdTrp1!P78=2,2,IF(CdTrp1!P78=3,2,IF(CdTrp1!P78=4,4,0))))</f>
        <v>1</v>
      </c>
      <c r="BK111" s="169">
        <f>IF(CdTrp1!Q78=1,1,IF(CdTrp1!Q78=2,2,IF(CdTrp1!Q78=3,2,IF(CdTrp1!Q78=4,4,0))))</f>
        <v>1</v>
      </c>
      <c r="BL111" s="169">
        <f>IF(CdTrp1!R78=1,1,IF(CdTrp1!R78=2,2,IF(CdTrp1!R78=3,2,IF(CdTrp1!R78=4,4,0))))</f>
        <v>1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808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1233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1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1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810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1234</v>
      </c>
      <c r="C113" s="169">
        <f>COUNTIF($H$94:$AE$103,2)/2</f>
        <v>4</v>
      </c>
      <c r="D113" s="169">
        <f t="shared" si="25"/>
        <v>4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2</v>
      </c>
      <c r="BM113" s="169">
        <f>IF(CdTrp1!S80=1,1,IF(CdTrp1!S80=2,2,IF(CdTrp1!S80=3,2,IF(CdTrp1!S80=4,4,0))))</f>
        <v>2</v>
      </c>
      <c r="BN113" s="169">
        <f>IF(CdTrp1!T80=1,1,IF(CdTrp1!T80=2,2,IF(CdTrp1!T80=3,2,IF(CdTrp1!T80=4,4,0))))</f>
        <v>2</v>
      </c>
      <c r="BO113" s="169">
        <f>IF(CdTrp1!U80=1,1,IF(CdTrp1!U80=2,2,IF(CdTrp1!U80=3,2,IF(CdTrp1!U80=4,4,0))))</f>
        <v>1</v>
      </c>
      <c r="BP113" s="169">
        <f>IF(CdTrp1!V80=1,1,IF(CdTrp1!V80=2,2,IF(CdTrp1!V80=3,2,IF(CdTrp1!V80=4,4,0))))</f>
        <v>1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1235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1236</v>
      </c>
      <c r="C115" s="169">
        <f>COUNTIF($H$116:$AE$125,2)/2</f>
        <v>0</v>
      </c>
      <c r="D115" s="169">
        <f t="shared" si="25"/>
        <v>0</v>
      </c>
      <c r="F115" s="14" t="s">
        <v>930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1237</v>
      </c>
      <c r="C116" s="169">
        <f>COUNTIF($H$94:$AE$103,3)/2</f>
        <v>0</v>
      </c>
      <c r="D116" s="169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1238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1239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1240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818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818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818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1241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820</v>
      </c>
      <c r="AU120" s="30">
        <f>VALUE(CONCATENATE(Scénario!K8,Travail!AU2))</f>
        <v>22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820</v>
      </c>
      <c r="CA120" s="30">
        <f>VALUE(CONCATENATE(Scénario!K8,Travail!CA2))</f>
        <v>20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820</v>
      </c>
      <c r="DD120" s="30">
        <f>VALUE(CONCATENATE(Scénario!K8,Travail!DD2))</f>
        <v>20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1242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822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1243</v>
      </c>
      <c r="C122" s="169">
        <f>COUNTIF($H$94:$AE$103,5)/2</f>
        <v>10</v>
      </c>
      <c r="D122" s="169">
        <f t="shared" si="25"/>
        <v>10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1244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1245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1246</v>
      </c>
      <c r="C125" s="169">
        <f t="shared" ref="C125:C132" si="34">SUM(H134:AE134)/2</f>
        <v>5</v>
      </c>
      <c r="D125" s="169">
        <f t="shared" si="25"/>
        <v>5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1247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1248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1249</v>
      </c>
      <c r="C128" s="169">
        <f t="shared" si="34"/>
        <v>5</v>
      </c>
      <c r="D128" s="169">
        <f t="shared" si="25"/>
        <v>5</v>
      </c>
      <c r="F128" s="14" t="s">
        <v>1250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1251</v>
      </c>
      <c r="C129" s="169">
        <f t="shared" si="34"/>
        <v>0</v>
      </c>
      <c r="D129" s="169">
        <f t="shared" si="25"/>
        <v>0</v>
      </c>
      <c r="F129" s="14" t="s">
        <v>913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4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4</v>
      </c>
      <c r="Y129">
        <f t="shared" si="35"/>
        <v>4</v>
      </c>
      <c r="Z129">
        <f t="shared" si="35"/>
        <v>4</v>
      </c>
      <c r="AA129">
        <f t="shared" si="35"/>
        <v>1</v>
      </c>
      <c r="AB129">
        <f t="shared" si="35"/>
        <v>1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1252</v>
      </c>
      <c r="C130" s="169">
        <f t="shared" si="34"/>
        <v>0</v>
      </c>
      <c r="D130" s="169">
        <f t="shared" si="25"/>
        <v>0</v>
      </c>
      <c r="F130" s="14" t="s">
        <v>929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1253</v>
      </c>
      <c r="C131" s="169">
        <f t="shared" si="34"/>
        <v>0</v>
      </c>
      <c r="D131" s="169">
        <f t="shared" si="25"/>
        <v>0</v>
      </c>
      <c r="F131" s="14" t="s">
        <v>930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1254</v>
      </c>
      <c r="C132" s="169">
        <f t="shared" si="34"/>
        <v>0</v>
      </c>
      <c r="D132" s="169">
        <f t="shared" si="25"/>
        <v>0</v>
      </c>
      <c r="F132" s="14" t="s">
        <v>1255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4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1</v>
      </c>
      <c r="AB132">
        <f t="shared" si="38"/>
        <v>1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1256</v>
      </c>
      <c r="C133" s="258">
        <f>IF(C110&gt;0,C110/(C110+C113+C116),0)</f>
        <v>0.70370370370370372</v>
      </c>
      <c r="D133" s="258">
        <f t="shared" si="25"/>
        <v>0.70370370370370372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1257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1258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1</v>
      </c>
      <c r="Q134">
        <f t="shared" si="46"/>
        <v>1</v>
      </c>
      <c r="R134">
        <f t="shared" si="46"/>
        <v>1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1259</v>
      </c>
      <c r="C135" s="258">
        <f t="shared" si="45"/>
        <v>0</v>
      </c>
      <c r="D135" s="258">
        <f t="shared" si="25"/>
        <v>0</v>
      </c>
      <c r="F135" s="14" t="s">
        <v>1260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1261</v>
      </c>
      <c r="C136" s="258">
        <f>SUM(C110:C112)/SUM(C110:C118)</f>
        <v>0.70370370370370372</v>
      </c>
      <c r="D136" s="258">
        <f t="shared" si="25"/>
        <v>0.70370370370370372</v>
      </c>
      <c r="F136" s="14" t="s">
        <v>1262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1263</v>
      </c>
      <c r="B137" s="32" t="s">
        <v>1264</v>
      </c>
      <c r="C137" s="169">
        <f>IF(Troupeau!B$3="OL",('Calcul éco'!B9+'Calcul éco'!B10),0)</f>
        <v>0</v>
      </c>
      <c r="D137" s="259">
        <f>C137*$D$82/$C$82</f>
        <v>0</v>
      </c>
      <c r="F137" s="14" t="s">
        <v>1265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1</v>
      </c>
      <c r="Q137">
        <f t="shared" si="49"/>
        <v>1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1266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1267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1268</v>
      </c>
      <c r="C139" s="169">
        <f>IF(Troupeau!B$3="VL",('Calcul éco'!B9+'Calcul éco'!B10),0)</f>
        <v>0</v>
      </c>
      <c r="D139" s="259">
        <f t="shared" si="50"/>
        <v>0</v>
      </c>
      <c r="F139" s="14" t="s">
        <v>1269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1270</v>
      </c>
      <c r="C140" s="169">
        <f>IF(Troupeau!B$3="VL",('Calcul éco'!B13),0)</f>
        <v>0</v>
      </c>
      <c r="D140" s="259">
        <f t="shared" si="50"/>
        <v>0</v>
      </c>
      <c r="F140" s="14" t="s">
        <v>1271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1272</v>
      </c>
      <c r="C141" s="169">
        <f>IF(Troupeau!B$3="VL",('Calcul éco'!B14),0)</f>
        <v>0</v>
      </c>
      <c r="D141" s="259">
        <f t="shared" si="50"/>
        <v>0</v>
      </c>
      <c r="F141" s="14" t="s">
        <v>1273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1274</v>
      </c>
      <c r="C142" s="169">
        <f>SUM(G147:G150)</f>
        <v>26</v>
      </c>
      <c r="D142" s="259">
        <f t="shared" si="50"/>
        <v>0</v>
      </c>
      <c r="AT142" s="19" t="s">
        <v>843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843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843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1275</v>
      </c>
      <c r="C143" s="169">
        <f>G151+G153</f>
        <v>8</v>
      </c>
      <c r="D143" s="259">
        <f t="shared" si="50"/>
        <v>0</v>
      </c>
      <c r="AT143" s="19" t="s">
        <v>846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846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846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1276</v>
      </c>
      <c r="C144" s="169">
        <f>G152+G154</f>
        <v>2</v>
      </c>
      <c r="D144" s="259">
        <f t="shared" si="50"/>
        <v>0</v>
      </c>
      <c r="AT144" s="19" t="s">
        <v>848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848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848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1277</v>
      </c>
      <c r="C145" s="169">
        <f>G155+G156</f>
        <v>0</v>
      </c>
      <c r="D145" s="259">
        <f t="shared" si="50"/>
        <v>0</v>
      </c>
      <c r="AT145" s="19" t="s">
        <v>850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850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850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1278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1279</v>
      </c>
      <c r="AT146" s="40" t="s">
        <v>852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1280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1281</v>
      </c>
      <c r="G147">
        <f>IF(Troupeau!B$3="BV",'Calcul éco'!B9,0)</f>
        <v>18.5</v>
      </c>
      <c r="AT147" s="40" t="s">
        <v>854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854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854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1282</v>
      </c>
      <c r="B148" s="14" t="s">
        <v>1283</v>
      </c>
      <c r="C148" s="169">
        <f>IF(Troupeau!B3="OL",'Calcul éco'!B5,0)</f>
        <v>0</v>
      </c>
      <c r="D148" s="259">
        <f t="shared" si="50"/>
        <v>0</v>
      </c>
      <c r="F148" s="14" t="s">
        <v>1284</v>
      </c>
      <c r="G148">
        <f>IF(Troupeau!B$3="BV",'Calcul éco'!B10,0)</f>
        <v>7.5</v>
      </c>
      <c r="AT148" s="40" t="s">
        <v>856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856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856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1285</v>
      </c>
      <c r="C149" s="169">
        <f>IF(Troupeau!B3="OL",'Calcul éco'!B6,0)</f>
        <v>0</v>
      </c>
      <c r="D149" s="259">
        <f t="shared" si="50"/>
        <v>0</v>
      </c>
      <c r="F149" s="14" t="s">
        <v>1286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857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1287</v>
      </c>
      <c r="C150" s="169">
        <f>IF(Troupeau!B3="BL",'Calcul éco'!B5,0)</f>
        <v>0</v>
      </c>
      <c r="D150" s="259">
        <f t="shared" si="50"/>
        <v>0</v>
      </c>
      <c r="F150" s="14" t="s">
        <v>1288</v>
      </c>
      <c r="G150">
        <f>IF(Troupeau!C$3="BV",'Calcul éco'!C10,0)</f>
        <v>0</v>
      </c>
      <c r="AT150" s="40" t="s">
        <v>857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857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1289</v>
      </c>
      <c r="B151" s="14" t="s">
        <v>1290</v>
      </c>
      <c r="C151" s="169">
        <f>'Calcul éco'!C19</f>
        <v>0</v>
      </c>
      <c r="D151" s="259">
        <f t="shared" si="50"/>
        <v>0</v>
      </c>
      <c r="F151" s="14" t="s">
        <v>1291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1292</v>
      </c>
      <c r="C152" s="169">
        <f>'Calcul éco'!C20</f>
        <v>0</v>
      </c>
      <c r="D152" s="259">
        <f t="shared" si="50"/>
        <v>0</v>
      </c>
      <c r="F152" s="14" t="s">
        <v>1293</v>
      </c>
      <c r="G152">
        <f>IF(Troupeau!B$3="BV",'Calcul éco'!B14,0)</f>
        <v>2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1294</v>
      </c>
      <c r="C153" s="169">
        <f>'Calcul éco'!C21</f>
        <v>0</v>
      </c>
      <c r="D153" s="259">
        <f t="shared" si="50"/>
        <v>0</v>
      </c>
      <c r="F153" s="14" t="s">
        <v>1295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1296</v>
      </c>
      <c r="C154" s="169">
        <f>'Calcul éco'!D19</f>
        <v>0</v>
      </c>
      <c r="D154" s="259">
        <f t="shared" si="50"/>
        <v>0</v>
      </c>
      <c r="F154" s="14" t="s">
        <v>1297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1298</v>
      </c>
      <c r="C155" s="169">
        <f>'Calcul éco'!D20</f>
        <v>0</v>
      </c>
      <c r="D155" s="259">
        <f t="shared" si="50"/>
        <v>0</v>
      </c>
      <c r="F155" s="14" t="s">
        <v>1299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1300</v>
      </c>
      <c r="C156" s="169">
        <f>'Calcul éco'!D21</f>
        <v>0</v>
      </c>
      <c r="D156" s="259">
        <f t="shared" si="50"/>
        <v>0</v>
      </c>
      <c r="F156" s="14" t="s">
        <v>1301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1302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1303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1304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1305</v>
      </c>
      <c r="C160" s="169">
        <f>'Calcul éco'!C30</f>
        <v>0.13000000000000966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1306</v>
      </c>
      <c r="B161" s="14" t="s">
        <v>1307</v>
      </c>
      <c r="C161" s="258">
        <f>IF(Troupeau!$B$3="OL",CdTrp1!$AA$159,0)</f>
        <v>0</v>
      </c>
      <c r="D161" s="259">
        <f t="shared" si="50"/>
        <v>0</v>
      </c>
      <c r="AT161" s="183" t="s">
        <v>871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871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871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1308</v>
      </c>
      <c r="B162" s="14" t="s">
        <v>1309</v>
      </c>
      <c r="C162" s="258">
        <f>IF(Troupeau!$B$3="OL",CdTrp1!$AA$147,0)</f>
        <v>0</v>
      </c>
      <c r="D162" s="259">
        <f t="shared" si="50"/>
        <v>0</v>
      </c>
      <c r="AT162" s="183" t="s">
        <v>873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873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873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1310</v>
      </c>
      <c r="C163" s="258">
        <f>IF(Troupeau!$B$3="BL",CdTrp1!$AA$159,0)</f>
        <v>0</v>
      </c>
      <c r="D163" s="259">
        <f t="shared" si="50"/>
        <v>0</v>
      </c>
      <c r="AT163" s="40" t="s">
        <v>875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1311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1312</v>
      </c>
      <c r="C165" s="258">
        <f>IF(Troupeau!$B$3="BV",CdTrp1!$AA$159,0)+IF(Troupeau!$C$3="BV",CdTrp2!$AA$159,0)</f>
        <v>118.05580406976735</v>
      </c>
      <c r="D165" s="259">
        <f t="shared" si="50"/>
        <v>0</v>
      </c>
      <c r="AT165" s="40" t="s">
        <v>878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1313</v>
      </c>
      <c r="C166" s="258">
        <f>IF(Troupeau!$B$3="BV",CdTrp1!$AA$147,0)+IF(Troupeau!$C$3="BV",CdTrp2!$AA$147,0)</f>
        <v>115.62970643604652</v>
      </c>
      <c r="D166" s="259">
        <f t="shared" si="50"/>
        <v>0</v>
      </c>
      <c r="AT166" s="147" t="s">
        <v>880</v>
      </c>
      <c r="AU166" s="17">
        <f>VLOOKUP(AU120,[1]Trav!$B$12:$C$31,2)</f>
        <v>7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880</v>
      </c>
      <c r="CA166" s="17">
        <f>VLOOKUP(CA120,[1]Trav!$B$12:$C$31,2)</f>
        <v>5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880</v>
      </c>
      <c r="DD166" s="17">
        <f>VLOOKUP(DD120,[1]Trav!$B$12:$C$31,2)</f>
        <v>5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1314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1315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1316</v>
      </c>
      <c r="C169" s="169">
        <f>SUM('Alim -Surf'!D24:H24)</f>
        <v>58.905000000000001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1317</v>
      </c>
      <c r="C170" s="169">
        <f>SUM('Alim -Surf'!D25:H25)</f>
        <v>51.524426162790704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1318</v>
      </c>
      <c r="C171" s="169">
        <f>'Alim -Surf'!K24</f>
        <v>115.83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1319</v>
      </c>
      <c r="C172" s="169">
        <f>'Alim -Surf'!K25</f>
        <v>115.69999999999999</v>
      </c>
      <c r="D172" s="259">
        <f t="shared" si="50"/>
        <v>0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1320</v>
      </c>
      <c r="C173" s="169">
        <f>C169-C170</f>
        <v>7.3805738372092975</v>
      </c>
      <c r="D173" s="259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1321</v>
      </c>
      <c r="C174" s="192">
        <f>ROUND((1 -(C173/C169))*100,1)</f>
        <v>87.5</v>
      </c>
      <c r="D174" s="259">
        <f t="shared" si="50"/>
        <v>0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1322</v>
      </c>
      <c r="C175" s="169">
        <f>C171-C172</f>
        <v>0.13000000000000966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1323</v>
      </c>
      <c r="C176" s="169">
        <f>'Calcul éco'!B118</f>
        <v>0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1324</v>
      </c>
      <c r="C177" s="169">
        <f>'Calcul éco'!C30</f>
        <v>0.13000000000000966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1325</v>
      </c>
      <c r="C178" s="169">
        <f>ROUND((C170+C171)/(C170+C172),2)*100</f>
        <v>100</v>
      </c>
      <c r="D178" s="169" t="e">
        <f>ROUND((D170+D171)/(D170+D172),2)*100</f>
        <v>#DIV/0!</v>
      </c>
      <c r="AT178" s="40" t="s">
        <v>892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892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892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1326</v>
      </c>
      <c r="C179" s="169">
        <f>SUM('Calcul éco'!D82:F106)</f>
        <v>24.6</v>
      </c>
      <c r="D179" s="259">
        <f>C179*$D$82/$C$82</f>
        <v>0</v>
      </c>
    </row>
    <row r="180" spans="1:132" x14ac:dyDescent="0.25">
      <c r="B180" s="14" t="s">
        <v>1327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1328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1329</v>
      </c>
      <c r="B182" s="14" t="s">
        <v>1330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1331</v>
      </c>
      <c r="C183" s="169">
        <f>Protection!AK25</f>
        <v>0</v>
      </c>
      <c r="D183" s="260">
        <f>ROUND(D184*D185,0)</f>
        <v>0</v>
      </c>
      <c r="E183" s="17" t="s">
        <v>1332</v>
      </c>
    </row>
    <row r="184" spans="1:132" x14ac:dyDescent="0.25">
      <c r="B184" s="14" t="s">
        <v>1333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1334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1335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1336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1337</v>
      </c>
      <c r="C188" s="169">
        <f>'Calcul éco'!T236</f>
        <v>0</v>
      </c>
      <c r="D188" s="169">
        <f t="shared" ref="D188:D189" si="101">C188</f>
        <v>0</v>
      </c>
      <c r="AK188" s="40" t="s">
        <v>1143</v>
      </c>
    </row>
    <row r="189" spans="1:132" x14ac:dyDescent="0.25">
      <c r="B189" s="14" t="s">
        <v>1338</v>
      </c>
      <c r="C189" s="169">
        <f>'Calcul éco'!T245</f>
        <v>0</v>
      </c>
      <c r="D189" s="169">
        <f t="shared" si="101"/>
        <v>0</v>
      </c>
      <c r="AH189" s="15"/>
      <c r="AJ189" s="14" t="s">
        <v>1144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1339</v>
      </c>
      <c r="C190" s="169">
        <f>'Calcul éco'!T246*(30)</f>
        <v>0</v>
      </c>
      <c r="D190" s="169">
        <f>C190</f>
        <v>0</v>
      </c>
      <c r="AH190" s="15"/>
      <c r="AJ190" s="14" t="s">
        <v>1145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1340</v>
      </c>
      <c r="C191" s="192">
        <f>ROUND(SUM(Travail!F69:F74)/8,1)</f>
        <v>0</v>
      </c>
      <c r="D191" s="169">
        <f>C191</f>
        <v>0</v>
      </c>
      <c r="E191" s="17" t="s">
        <v>1341</v>
      </c>
      <c r="G191" t="s">
        <v>1342</v>
      </c>
      <c r="N191" t="s">
        <v>1343</v>
      </c>
      <c r="U191" t="s">
        <v>957</v>
      </c>
      <c r="AJ191" s="14" t="s">
        <v>1146</v>
      </c>
      <c r="AK191" s="30">
        <f>Travail!F16/8</f>
        <v>15</v>
      </c>
      <c r="AN191" s="169">
        <f>[1]Eco!$B$111</f>
        <v>28.3</v>
      </c>
      <c r="AO191" s="169">
        <f>AK191*AN191</f>
        <v>424.5</v>
      </c>
    </row>
    <row r="192" spans="1:132" x14ac:dyDescent="0.25">
      <c r="B192" s="14" t="s">
        <v>1344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1345</v>
      </c>
      <c r="I192" s="5"/>
      <c r="AN192" s="14" t="s">
        <v>1147</v>
      </c>
      <c r="AO192" s="169">
        <f>SUM(AO189:AO191)</f>
        <v>424.5</v>
      </c>
    </row>
    <row r="193" spans="1:43" x14ac:dyDescent="0.25">
      <c r="B193" s="14" t="s">
        <v>1346</v>
      </c>
      <c r="C193" s="169">
        <f>(Travail!F75+Travail!F76+Travail!F81)/8</f>
        <v>0</v>
      </c>
      <c r="D193" s="169">
        <f>C193</f>
        <v>0</v>
      </c>
      <c r="I193" s="32" t="s">
        <v>1347</v>
      </c>
      <c r="J193" s="5">
        <f>D65</f>
        <v>0</v>
      </c>
      <c r="P193" s="32" t="s">
        <v>1348</v>
      </c>
      <c r="Q193" s="5">
        <f>D64</f>
        <v>0</v>
      </c>
      <c r="V193" s="32" t="s">
        <v>1349</v>
      </c>
      <c r="W193" s="5">
        <f>D63</f>
        <v>0</v>
      </c>
    </row>
    <row r="194" spans="1:43" x14ac:dyDescent="0.25">
      <c r="A194" s="2" t="s">
        <v>1350</v>
      </c>
      <c r="B194" s="14" t="s">
        <v>1351</v>
      </c>
      <c r="C194" s="169">
        <f>ROUND(SUM('Calcul éco'!J5:J30),0)</f>
        <v>33797</v>
      </c>
      <c r="D194" s="255">
        <f>ROUND(C194*D$82/C$82,0)</f>
        <v>0</v>
      </c>
      <c r="I194" s="32" t="s">
        <v>1352</v>
      </c>
      <c r="J194" s="5">
        <f>J193/IF(Scénario!K2="Exploit. Ind.",1,Scénario!K3)</f>
        <v>0</v>
      </c>
      <c r="P194" s="32" t="s">
        <v>1353</v>
      </c>
      <c r="Q194" s="5">
        <f>Q193/IF(Scénario!K2="Exploit. Ind.",1,Scénario!K3)</f>
        <v>0</v>
      </c>
      <c r="V194" s="32" t="s">
        <v>1354</v>
      </c>
      <c r="W194" s="5">
        <f>W193/IF(Scénario!K2="Exploit. Ind.",1,Scénario!K3)</f>
        <v>0</v>
      </c>
    </row>
    <row r="195" spans="1:43" x14ac:dyDescent="0.25">
      <c r="A195" s="2"/>
      <c r="B195" s="14" t="s">
        <v>1355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1356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1357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965</v>
      </c>
      <c r="I197" s="167" t="s">
        <v>966</v>
      </c>
      <c r="J197" s="167" t="s">
        <v>716</v>
      </c>
      <c r="O197" s="167" t="s">
        <v>965</v>
      </c>
      <c r="P197" s="167" t="s">
        <v>969</v>
      </c>
      <c r="Q197" s="167" t="s">
        <v>716</v>
      </c>
      <c r="T197" s="5"/>
      <c r="U197" s="167" t="s">
        <v>965</v>
      </c>
      <c r="V197" s="167" t="s">
        <v>967</v>
      </c>
      <c r="W197" s="167" t="s">
        <v>716</v>
      </c>
    </row>
    <row r="198" spans="1:43" x14ac:dyDescent="0.25">
      <c r="A198" s="2"/>
      <c r="B198" s="14" t="s">
        <v>1358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971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973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972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1150</v>
      </c>
      <c r="AJ198" s="4">
        <f>IF(Troupeau!B3="OL",L223,0)*Scénario!K56</f>
        <v>0</v>
      </c>
      <c r="AO198" s="40" t="s">
        <v>1151</v>
      </c>
      <c r="AP198">
        <f>IF(Troupeau!B3="OL",D63,0)</f>
        <v>0</v>
      </c>
    </row>
    <row r="199" spans="1:43" x14ac:dyDescent="0.25">
      <c r="A199" s="2"/>
      <c r="B199" s="14" t="s">
        <v>1359</v>
      </c>
      <c r="C199" s="169">
        <f>IF(Troupeau!B3="BV",SUM('Calcul éco'!K9:K15)-'Calcul éco'!K16,0)+IF(Troupeau!C3="BV",SUM('Calcul éco'!L9:L15)-'Calcul éco'!L16,0)</f>
        <v>33779</v>
      </c>
      <c r="D199" s="255">
        <f t="shared" si="102"/>
        <v>0</v>
      </c>
      <c r="G199" s="14" t="s">
        <v>974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977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975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1152</v>
      </c>
      <c r="AQ199" t="s">
        <v>1152</v>
      </c>
    </row>
    <row r="200" spans="1:43" x14ac:dyDescent="0.25">
      <c r="A200" s="2"/>
      <c r="B200" s="14" t="s">
        <v>1360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979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976</v>
      </c>
      <c r="Q200" s="62">
        <f>IF(Scénario!K10=1,Q198,Q199)*IF(Scénario!K2="Exploit. Ind.",1,Scénario!K3)</f>
        <v>0</v>
      </c>
      <c r="V200" s="40" t="s">
        <v>976</v>
      </c>
      <c r="W200" s="62">
        <f>SUM(W198:W199)*IF(Scénario!K2="Exploit. Ind.",1,Scénario!K3)</f>
        <v>0</v>
      </c>
      <c r="AI200" s="14" t="s">
        <v>1153</v>
      </c>
      <c r="AJ200" s="30">
        <f>IF(AJ198&lt;151,1,0)</f>
        <v>1</v>
      </c>
      <c r="AK200" s="169">
        <f>IF(AJ200=0,0,[1]Protect!B76)</f>
        <v>7500</v>
      </c>
      <c r="AO200" s="14" t="s">
        <v>1154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985</v>
      </c>
      <c r="B201" s="14" t="s">
        <v>986</v>
      </c>
      <c r="C201" s="169">
        <f>'Calcul éco'!J34</f>
        <v>7636</v>
      </c>
      <c r="D201" s="260">
        <f>J201</f>
        <v>0</v>
      </c>
      <c r="E201" s="17" t="s">
        <v>1361</v>
      </c>
      <c r="I201" s="40" t="s">
        <v>976</v>
      </c>
      <c r="J201" s="62">
        <f>SUM(J198:J200)*IF(Scénario!K2="Exploit. Ind.",1,Scénario!K3)</f>
        <v>0</v>
      </c>
      <c r="AI201" s="14" t="s">
        <v>1155</v>
      </c>
      <c r="AJ201" s="30">
        <f>IF(AND(150 &lt;AJ$198,AJ$198&lt;451),1,0)</f>
        <v>0</v>
      </c>
      <c r="AK201" s="169">
        <f>IF(AJ201=0,0,[1]Protect!B77)</f>
        <v>0</v>
      </c>
      <c r="AO201" s="14" t="s">
        <v>1156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988</v>
      </c>
      <c r="C202" s="169">
        <f>+'Calcul éco'!J35</f>
        <v>0</v>
      </c>
      <c r="D202" s="260">
        <f>ROUND(Q200,0)</f>
        <v>0</v>
      </c>
      <c r="E202" s="17" t="s">
        <v>1361</v>
      </c>
      <c r="AI202" s="14" t="s">
        <v>1157</v>
      </c>
      <c r="AJ202" s="30">
        <f>IF(AND(540 &lt;AJ$198,AJ$198&lt;1201),1,0)</f>
        <v>0</v>
      </c>
      <c r="AK202" s="169">
        <f>IF(AJ202=0,0,[1]Protect!B78)</f>
        <v>0</v>
      </c>
      <c r="AO202" s="14" t="s">
        <v>1158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994</v>
      </c>
      <c r="C203" s="169">
        <f>'Calcul éco'!J37</f>
        <v>0</v>
      </c>
      <c r="D203" s="260">
        <f>ROUND(W200,0)</f>
        <v>0</v>
      </c>
      <c r="E203" s="17" t="s">
        <v>1361</v>
      </c>
      <c r="AI203" s="14" t="s">
        <v>1159</v>
      </c>
      <c r="AJ203" s="30">
        <f>IF(AND(1200&lt;AJ$198,AJ$198&lt;1501),1,0)</f>
        <v>0</v>
      </c>
      <c r="AK203" s="169">
        <f>IF(AJ203=0,0,[1]Protect!B79)</f>
        <v>0</v>
      </c>
      <c r="AO203" s="14" t="s">
        <v>1160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1004</v>
      </c>
      <c r="C204" s="169">
        <f>'Calcul éco'!J39</f>
        <v>0</v>
      </c>
      <c r="D204" s="255">
        <f>ROUND(C204*D$82/C$82,0)</f>
        <v>0</v>
      </c>
      <c r="I204" s="40" t="s">
        <v>995</v>
      </c>
      <c r="J204" t="s">
        <v>996</v>
      </c>
      <c r="K204" t="s">
        <v>997</v>
      </c>
      <c r="L204" t="s">
        <v>998</v>
      </c>
      <c r="T204" s="2" t="s">
        <v>989</v>
      </c>
      <c r="U204" s="14"/>
      <c r="V204" s="36"/>
      <c r="AI204" s="14" t="s">
        <v>1161</v>
      </c>
      <c r="AJ204" s="30">
        <f>IF(1500&lt;AJ$198,1,0)</f>
        <v>0</v>
      </c>
      <c r="AK204" s="169">
        <f>IF(AJ204=0,0,[1]Protect!B80)</f>
        <v>0</v>
      </c>
      <c r="AO204" s="14" t="s">
        <v>1162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555</v>
      </c>
      <c r="C205" s="169">
        <f>'Calcul éco'!J40</f>
        <v>0</v>
      </c>
      <c r="D205" s="255">
        <f>ROUND(C205*D$82/C$82,0)</f>
        <v>0</v>
      </c>
      <c r="I205" s="14" t="s">
        <v>1362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993</v>
      </c>
      <c r="Y205" s="184">
        <f>'Calcul éco'!AC36</f>
        <v>235</v>
      </c>
      <c r="Z205" s="5"/>
    </row>
    <row r="206" spans="1:43" x14ac:dyDescent="0.25">
      <c r="A206" s="2" t="s">
        <v>1008</v>
      </c>
      <c r="B206" s="19" t="s">
        <v>1009</v>
      </c>
      <c r="C206" s="169">
        <f>ROUND('Calcul éco'!J42,0)</f>
        <v>9988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999</v>
      </c>
      <c r="Y206" s="167" t="s">
        <v>965</v>
      </c>
      <c r="Z206" s="167" t="s">
        <v>716</v>
      </c>
    </row>
    <row r="207" spans="1:43" x14ac:dyDescent="0.25">
      <c r="B207" s="205" t="s">
        <v>1013</v>
      </c>
      <c r="C207" s="169">
        <f>ROUND('Calcul éco'!J43,0)</f>
        <v>2548</v>
      </c>
      <c r="D207" s="260">
        <f>IF(L212&gt;52,52,L212)*IF(Scénario!K2="Exploit. Ind.",1,Scénario!K3)*'Calcul éco'!C43</f>
        <v>0</v>
      </c>
      <c r="E207" s="17" t="s">
        <v>1363</v>
      </c>
      <c r="W207" s="14" t="s">
        <v>1003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1163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1014</v>
      </c>
      <c r="C208" s="169">
        <f>ROUND('Calcul éco'!J44,0)</f>
        <v>6899</v>
      </c>
      <c r="D208" s="255">
        <f>ROUND(C208*D$82/C$82,0)</f>
        <v>0</v>
      </c>
      <c r="S208" s="14" t="s">
        <v>1005</v>
      </c>
      <c r="T208" s="30">
        <f>L212</f>
        <v>0</v>
      </c>
      <c r="W208" s="14" t="s">
        <v>1006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1164</v>
      </c>
      <c r="AL208" s="169">
        <f>IF(AO192&lt;SUM(AK200:AK204),AO192,SUM(AK200:AK204))</f>
        <v>424.5</v>
      </c>
      <c r="AQ208" s="238"/>
    </row>
    <row r="209" spans="1:43" x14ac:dyDescent="0.25">
      <c r="B209" s="19" t="s">
        <v>1016</v>
      </c>
      <c r="C209" s="169">
        <f>ROUND('Calcul éco'!J45,0)</f>
        <v>15003</v>
      </c>
      <c r="D209" s="260">
        <f>IF(Scénario!K9=0,0,ROUND(Z210,0))</f>
        <v>0</v>
      </c>
      <c r="E209" s="17" t="s">
        <v>1364</v>
      </c>
      <c r="K209" s="40" t="s">
        <v>1015</v>
      </c>
      <c r="L209" s="62">
        <f>SUM(L205:L206)</f>
        <v>0</v>
      </c>
      <c r="W209" s="14" t="s">
        <v>1007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1165</v>
      </c>
      <c r="AL209" s="169">
        <f>IF(AO192&lt;SUM(AQ200:AQ204),AO192,SUM(AQ200:AQ204))</f>
        <v>424.5</v>
      </c>
      <c r="AP209" s="238"/>
      <c r="AQ209" s="238"/>
    </row>
    <row r="210" spans="1:43" x14ac:dyDescent="0.25">
      <c r="B210" s="19" t="s">
        <v>1365</v>
      </c>
      <c r="C210" s="169">
        <f>ROUND('Calcul éco'!J46,0)</f>
        <v>0</v>
      </c>
      <c r="D210" s="260">
        <f>ROUND(AL207,0)</f>
        <v>0</v>
      </c>
      <c r="E210" s="17" t="s">
        <v>1366</v>
      </c>
      <c r="K210" s="14" t="s">
        <v>1017</v>
      </c>
      <c r="L210" s="169">
        <f>J221</f>
        <v>0</v>
      </c>
      <c r="Y210" s="40" t="s">
        <v>976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1367</v>
      </c>
      <c r="C211" s="169">
        <f>SUM(C201:C210)</f>
        <v>42074</v>
      </c>
      <c r="D211" s="260">
        <f>ROUND(SUM(D201:D210),0)</f>
        <v>0</v>
      </c>
      <c r="E211" s="17" t="s">
        <v>1368</v>
      </c>
      <c r="K211" s="40" t="s">
        <v>1022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1369</v>
      </c>
      <c r="B212" s="14" t="s">
        <v>1370</v>
      </c>
      <c r="C212" s="169">
        <f>IF(Troupeau!B3="OL",'Calcul éco'!K116,0)</f>
        <v>0</v>
      </c>
      <c r="D212" s="255">
        <f>ROUND(C212*D$82/C$82,0)</f>
        <v>0</v>
      </c>
      <c r="K212" s="40" t="s">
        <v>1371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1372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1166</v>
      </c>
      <c r="AP213" s="239"/>
      <c r="AQ213" s="238"/>
    </row>
    <row r="214" spans="1:43" x14ac:dyDescent="0.25">
      <c r="B214" s="14" t="s">
        <v>1373</v>
      </c>
      <c r="C214" s="169">
        <f>IF(Troupeau!B3="BV",'Calcul éco'!K116,0)+IF(Troupeau!C3="BV",'Calcul éco'!L116,0)</f>
        <v>15451</v>
      </c>
      <c r="D214" s="255">
        <f t="shared" si="106"/>
        <v>0</v>
      </c>
      <c r="H214" s="2" t="s">
        <v>1025</v>
      </c>
      <c r="AF214" s="5"/>
      <c r="AJ214" s="33" t="s">
        <v>1167</v>
      </c>
      <c r="AK214" s="33"/>
      <c r="AL214" s="33"/>
      <c r="AM214" s="33" t="s">
        <v>1168</v>
      </c>
      <c r="AN214" s="33" t="s">
        <v>1032</v>
      </c>
      <c r="AP214" s="239"/>
      <c r="AQ214" s="238"/>
    </row>
    <row r="215" spans="1:43" x14ac:dyDescent="0.25">
      <c r="B215" s="14" t="s">
        <v>1374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1375</v>
      </c>
      <c r="J215" t="s">
        <v>1376</v>
      </c>
      <c r="AF215" s="5"/>
      <c r="AI215" s="14" t="s">
        <v>1169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1377</v>
      </c>
      <c r="C216" s="169">
        <f>ROUND(SUM(C212:C215),0)</f>
        <v>15451</v>
      </c>
      <c r="D216" s="255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165</v>
      </c>
      <c r="J216" s="48">
        <f>I216*D$82/C$82</f>
        <v>0</v>
      </c>
      <c r="K216" s="217"/>
      <c r="L216" s="217"/>
      <c r="AF216" s="5"/>
      <c r="AI216" s="14" t="s">
        <v>1170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1378</v>
      </c>
      <c r="C217" s="169">
        <f>SUM('Calcul éco'!J122:J138)</f>
        <v>1661.9680000000001</v>
      </c>
      <c r="D217" s="255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1171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1379</v>
      </c>
      <c r="C218" s="169">
        <f>SUM('Calcul éco'!J118:J119)</f>
        <v>4346.8</v>
      </c>
      <c r="D218" s="255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1132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1380</v>
      </c>
      <c r="C219" s="169">
        <f>'Calcul éco'!J141</f>
        <v>0</v>
      </c>
      <c r="D219" s="255">
        <f t="shared" si="106"/>
        <v>0</v>
      </c>
      <c r="K219" s="4"/>
      <c r="AF219" s="5"/>
      <c r="AG219" s="240"/>
      <c r="AI219" s="14" t="s">
        <v>1133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1381</v>
      </c>
      <c r="C220" s="169">
        <f>'Calcul éco'!J142</f>
        <v>0</v>
      </c>
      <c r="D220" s="260">
        <f>SUM(AN215:AN219)</f>
        <v>0</v>
      </c>
      <c r="E220" s="17" t="s">
        <v>1382</v>
      </c>
      <c r="H220" s="14" t="s">
        <v>1027</v>
      </c>
      <c r="I220" s="30">
        <f>SUM(I216:I219)</f>
        <v>165</v>
      </c>
      <c r="J220" s="30">
        <f>SUM(J216:J219)</f>
        <v>0</v>
      </c>
    </row>
    <row r="221" spans="1:43" x14ac:dyDescent="0.25">
      <c r="B221" s="14" t="s">
        <v>1383</v>
      </c>
      <c r="C221" s="169">
        <f>ROUND(SUM(C216:C220),0)</f>
        <v>21460</v>
      </c>
      <c r="D221" s="260">
        <f>ROUND(SUM(D216:D220),0)</f>
        <v>0</v>
      </c>
      <c r="E221" s="17" t="s">
        <v>1382</v>
      </c>
      <c r="H221" s="14" t="s">
        <v>1028</v>
      </c>
      <c r="I221" s="30">
        <f>I220*[1]Eco!$B$25</f>
        <v>77.55</v>
      </c>
      <c r="J221" s="30">
        <f>J220*[1]Eco!$B$25</f>
        <v>0</v>
      </c>
    </row>
    <row r="222" spans="1:43" x14ac:dyDescent="0.25">
      <c r="A222" s="2" t="s">
        <v>1095</v>
      </c>
      <c r="B222" s="14" t="s">
        <v>1384</v>
      </c>
      <c r="C222" s="169">
        <f>'Calcul éco'!J149</f>
        <v>2578.7000000000003</v>
      </c>
      <c r="D222" s="255">
        <f>ROUND(C222*D$82/C$82,0)</f>
        <v>0</v>
      </c>
      <c r="K222" t="s">
        <v>1375</v>
      </c>
      <c r="L222" t="s">
        <v>1385</v>
      </c>
    </row>
    <row r="223" spans="1:43" x14ac:dyDescent="0.25">
      <c r="B223" s="14" t="s">
        <v>1097</v>
      </c>
      <c r="C223" s="169">
        <f>'Calcul éco'!J150</f>
        <v>1085</v>
      </c>
      <c r="D223" s="169">
        <f>C223</f>
        <v>1085</v>
      </c>
      <c r="J223" s="14" t="s">
        <v>1386</v>
      </c>
      <c r="K223" s="30">
        <f>Scénario!K55/0.15</f>
        <v>220</v>
      </c>
      <c r="L223" s="30">
        <f>K223*'Synthèse résultats'!D$82/'Synthèse résultats'!C$82</f>
        <v>0</v>
      </c>
      <c r="AK223" s="40" t="s">
        <v>1125</v>
      </c>
      <c r="AM223" t="s">
        <v>1126</v>
      </c>
      <c r="AN223" t="s">
        <v>1127</v>
      </c>
      <c r="AO223" t="s">
        <v>1128</v>
      </c>
    </row>
    <row r="224" spans="1:43" x14ac:dyDescent="0.25">
      <c r="B224" s="14" t="s">
        <v>1098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1387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1129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1100</v>
      </c>
      <c r="C225" s="169">
        <f>'Calcul éco'!J152</f>
        <v>0</v>
      </c>
      <c r="D225" s="169">
        <f>C225</f>
        <v>0</v>
      </c>
      <c r="G225" s="19"/>
      <c r="H225" s="19"/>
      <c r="J225" s="14" t="s">
        <v>1388</v>
      </c>
      <c r="K225" s="30">
        <f>Scénario!K66</f>
        <v>0</v>
      </c>
      <c r="L225" s="30">
        <f>K225*'Synthèse résultats'!D$82/'Synthèse résultats'!C$82</f>
        <v>0</v>
      </c>
      <c r="AJ225" s="14" t="s">
        <v>1130</v>
      </c>
      <c r="AK225" s="30">
        <f>D183</f>
        <v>0</v>
      </c>
      <c r="AL225" t="s">
        <v>1131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1102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1132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1104</v>
      </c>
      <c r="C227" s="169">
        <f>'Calcul éco'!J154</f>
        <v>7398.7000000000007</v>
      </c>
      <c r="D227" s="255">
        <f t="shared" ref="D227:D233" si="109">ROUND(C227*D$82/C$82,0)</f>
        <v>0</v>
      </c>
      <c r="AJ227" s="14" t="s">
        <v>1133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1134</v>
      </c>
      <c r="AR227" t="s">
        <v>1135</v>
      </c>
      <c r="AS227" t="s">
        <v>1136</v>
      </c>
      <c r="AT227" t="s">
        <v>1137</v>
      </c>
      <c r="AU227" t="s">
        <v>1138</v>
      </c>
      <c r="AV227" t="s">
        <v>1139</v>
      </c>
      <c r="AW227" t="s">
        <v>1140</v>
      </c>
    </row>
    <row r="228" spans="1:49" x14ac:dyDescent="0.25">
      <c r="B228" s="14" t="s">
        <v>1106</v>
      </c>
      <c r="C228" s="169"/>
      <c r="D228" s="255">
        <f t="shared" si="109"/>
        <v>0</v>
      </c>
      <c r="AN228" s="14" t="s">
        <v>1141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1109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1110</v>
      </c>
      <c r="C230" s="169">
        <f>'Calcul éco'!J158</f>
        <v>0</v>
      </c>
      <c r="D230" s="255">
        <f t="shared" si="109"/>
        <v>0</v>
      </c>
    </row>
    <row r="231" spans="1:49" x14ac:dyDescent="0.25">
      <c r="B231" s="14" t="s">
        <v>1111</v>
      </c>
      <c r="C231" s="169">
        <f>'Calcul éco'!J159</f>
        <v>0</v>
      </c>
      <c r="D231" s="255">
        <f t="shared" si="109"/>
        <v>0</v>
      </c>
      <c r="AJ231" s="14" t="s">
        <v>1142</v>
      </c>
      <c r="AK231" s="30">
        <f>D186</f>
        <v>0</v>
      </c>
      <c r="AL231" t="s">
        <v>1131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1112</v>
      </c>
      <c r="C232" s="169">
        <f>'Calcul éco'!J160</f>
        <v>0</v>
      </c>
      <c r="D232" s="255">
        <f t="shared" si="109"/>
        <v>0</v>
      </c>
    </row>
    <row r="233" spans="1:49" x14ac:dyDescent="0.25">
      <c r="B233" s="14" t="s">
        <v>1113</v>
      </c>
      <c r="C233" s="169">
        <f>'Calcul éco'!J161</f>
        <v>0</v>
      </c>
      <c r="D233" s="255">
        <f t="shared" si="109"/>
        <v>0</v>
      </c>
    </row>
    <row r="234" spans="1:49" x14ac:dyDescent="0.25">
      <c r="B234" s="14" t="s">
        <v>1389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1390</v>
      </c>
      <c r="C235" s="169">
        <f>'Calcul éco'!J167</f>
        <v>0</v>
      </c>
      <c r="D235" s="260">
        <f>(D191+D192)*8*[1]Eco!$B$106</f>
        <v>0</v>
      </c>
      <c r="E235" s="17" t="s">
        <v>1382</v>
      </c>
    </row>
    <row r="236" spans="1:49" x14ac:dyDescent="0.25">
      <c r="B236" s="14" t="s">
        <v>1391</v>
      </c>
      <c r="C236" s="169">
        <f>ROUND(SUM(C222:C235),0)</f>
        <v>24942</v>
      </c>
      <c r="D236" s="260">
        <f>ROUND(SUM(D222:D235),0)</f>
        <v>3965</v>
      </c>
      <c r="E236" s="17" t="s">
        <v>1392</v>
      </c>
    </row>
    <row r="237" spans="1:49" x14ac:dyDescent="0.25">
      <c r="A237" s="2" t="s">
        <v>1393</v>
      </c>
      <c r="B237" s="205" t="s">
        <v>1119</v>
      </c>
      <c r="C237" s="169">
        <f>C194+C211-C221-C236</f>
        <v>29469</v>
      </c>
      <c r="D237" s="260">
        <f>D194+D211-D221-D236</f>
        <v>-3965</v>
      </c>
    </row>
    <row r="238" spans="1:49" x14ac:dyDescent="0.25">
      <c r="B238" s="205" t="s">
        <v>1120</v>
      </c>
      <c r="C238" s="169">
        <f>ROUND(C237/Scénario!$K$4,0)</f>
        <v>29469</v>
      </c>
      <c r="D238" s="260" t="e">
        <f>ROUND(D237/D83,0)</f>
        <v>#DIV/0!</v>
      </c>
    </row>
    <row r="239" spans="1:49" x14ac:dyDescent="0.25">
      <c r="B239" s="205" t="s">
        <v>1121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1122</v>
      </c>
      <c r="C240" s="263">
        <f>'Calcul éco'!B178</f>
        <v>0</v>
      </c>
      <c r="D240" s="264">
        <f>AW228+AW231</f>
        <v>0</v>
      </c>
      <c r="E240" s="17" t="s">
        <v>1382</v>
      </c>
    </row>
    <row r="241" spans="1:15" x14ac:dyDescent="0.25">
      <c r="B241" s="205" t="s">
        <v>1123</v>
      </c>
      <c r="C241" s="265">
        <f>ROUND(C237-C239-C240,0)</f>
        <v>24719</v>
      </c>
      <c r="D241" s="264">
        <f>ROUND(D237-D239-D240,0)</f>
        <v>-8715</v>
      </c>
    </row>
    <row r="242" spans="1:15" x14ac:dyDescent="0.25">
      <c r="B242" s="205" t="s">
        <v>1124</v>
      </c>
      <c r="C242" s="169">
        <f>ROUND(C241/Scénario!K4,0)</f>
        <v>24719</v>
      </c>
      <c r="D242" s="260" t="e">
        <f>ROUND(D241/D83,0)</f>
        <v>#DIV/0!</v>
      </c>
    </row>
    <row r="243" spans="1:15" x14ac:dyDescent="0.25">
      <c r="B243" s="205" t="s">
        <v>1394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1395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1396</v>
      </c>
      <c r="B245" s="14" t="s">
        <v>565</v>
      </c>
      <c r="C245" s="266">
        <f>Travail!F5</f>
        <v>206.5</v>
      </c>
      <c r="D245" s="169">
        <f>C245</f>
        <v>206.5</v>
      </c>
    </row>
    <row r="246" spans="1:15" x14ac:dyDescent="0.25">
      <c r="B246" s="14" t="s">
        <v>579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586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775</v>
      </c>
      <c r="B248" s="14" t="s">
        <v>565</v>
      </c>
      <c r="C248" s="266">
        <f>Travail!F9</f>
        <v>958.23455813953524</v>
      </c>
      <c r="D248" s="260">
        <f>ROUND(SUM(AV163:BS163),1)</f>
        <v>0</v>
      </c>
    </row>
    <row r="249" spans="1:15" x14ac:dyDescent="0.25">
      <c r="B249" s="14" t="s">
        <v>579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586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778</v>
      </c>
      <c r="B251" s="14" t="s">
        <v>565</v>
      </c>
      <c r="C251" s="266">
        <f>Travail!F16</f>
        <v>120</v>
      </c>
      <c r="D251" s="169">
        <f>C251</f>
        <v>120</v>
      </c>
      <c r="J251" s="40" t="s">
        <v>803</v>
      </c>
      <c r="M251" s="5"/>
      <c r="N251" s="5"/>
      <c r="O251" s="167"/>
    </row>
    <row r="252" spans="1:15" x14ac:dyDescent="0.25">
      <c r="A252" s="43"/>
      <c r="B252" s="14" t="s">
        <v>579</v>
      </c>
      <c r="C252" s="266">
        <f>Travail!F17</f>
        <v>0</v>
      </c>
      <c r="D252" s="169">
        <f t="shared" ref="D252:D253" si="113">C252</f>
        <v>0</v>
      </c>
      <c r="J252" s="37" t="s">
        <v>804</v>
      </c>
      <c r="K252" s="167" t="s">
        <v>51</v>
      </c>
      <c r="L252" t="s">
        <v>805</v>
      </c>
      <c r="M252" s="5"/>
      <c r="N252" s="5"/>
      <c r="O252" s="167"/>
    </row>
    <row r="253" spans="1:15" x14ac:dyDescent="0.25">
      <c r="A253" s="43"/>
      <c r="B253" s="14" t="s">
        <v>586</v>
      </c>
      <c r="C253" s="266">
        <f>Travail!F18</f>
        <v>0</v>
      </c>
      <c r="D253" s="169">
        <f t="shared" si="113"/>
        <v>0</v>
      </c>
      <c r="J253" s="14" t="s">
        <v>807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785</v>
      </c>
      <c r="B254" s="14" t="s">
        <v>565</v>
      </c>
      <c r="C254" s="266">
        <f>Travail!F20</f>
        <v>0</v>
      </c>
      <c r="D254" s="169">
        <f>Travail!G20</f>
        <v>0</v>
      </c>
      <c r="J254" s="14" t="s">
        <v>809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66">
        <f>Travail!F21</f>
        <v>0</v>
      </c>
      <c r="D255" s="169">
        <f>Travail!G21</f>
        <v>0</v>
      </c>
      <c r="J255" s="32" t="s">
        <v>811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586</v>
      </c>
      <c r="C256" s="266">
        <f>Travail!F22</f>
        <v>0</v>
      </c>
      <c r="D256" s="169">
        <f>Travail!G22</f>
        <v>0</v>
      </c>
      <c r="J256" s="32" t="s">
        <v>812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788</v>
      </c>
      <c r="B257" s="14" t="s">
        <v>565</v>
      </c>
      <c r="C257" s="266">
        <f>Travail!F31</f>
        <v>234</v>
      </c>
      <c r="D257" s="255">
        <f>ROUND(C257*D$82/C$82,0)</f>
        <v>0</v>
      </c>
      <c r="E257" s="17" t="s">
        <v>1397</v>
      </c>
      <c r="J257" s="32" t="s">
        <v>813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579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814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586</v>
      </c>
      <c r="C259" s="266">
        <f>Travail!F33</f>
        <v>0</v>
      </c>
      <c r="D259" s="255">
        <f t="shared" si="115"/>
        <v>0</v>
      </c>
      <c r="J259" s="32" t="s">
        <v>815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791</v>
      </c>
      <c r="B260" s="14" t="s">
        <v>565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1398</v>
      </c>
      <c r="J260" s="32" t="s">
        <v>816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796</v>
      </c>
      <c r="B261" s="14" t="s">
        <v>565</v>
      </c>
      <c r="C261" s="266">
        <f>Travail!F39</f>
        <v>0</v>
      </c>
      <c r="D261" s="255">
        <f>ROUND(C261*G63,0)</f>
        <v>0</v>
      </c>
      <c r="E261" s="17" t="s">
        <v>1399</v>
      </c>
      <c r="J261" s="32" t="s">
        <v>817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1400</v>
      </c>
      <c r="B262" s="14" t="s">
        <v>807</v>
      </c>
      <c r="C262" s="266">
        <f>Travail!F50</f>
        <v>0</v>
      </c>
      <c r="D262" s="260">
        <f t="shared" ref="D262:D271" si="116">ROUND(K253*L253,0)</f>
        <v>0</v>
      </c>
      <c r="E262" s="17" t="s">
        <v>1401</v>
      </c>
      <c r="J262" s="32" t="s">
        <v>819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809</v>
      </c>
      <c r="C263" s="266">
        <f>Travail!F51</f>
        <v>0</v>
      </c>
      <c r="D263" s="260">
        <f t="shared" si="116"/>
        <v>0</v>
      </c>
    </row>
    <row r="264" spans="1:15" x14ac:dyDescent="0.25">
      <c r="B264" s="32" t="s">
        <v>811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812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813</v>
      </c>
      <c r="C266" s="266">
        <f>Travail!F54</f>
        <v>34</v>
      </c>
      <c r="D266" s="260">
        <f t="shared" si="116"/>
        <v>0</v>
      </c>
    </row>
    <row r="267" spans="1:15" x14ac:dyDescent="0.25">
      <c r="B267" s="32" t="s">
        <v>814</v>
      </c>
      <c r="C267" s="266">
        <f>Travail!F55</f>
        <v>113</v>
      </c>
      <c r="D267" s="260">
        <f t="shared" si="116"/>
        <v>0</v>
      </c>
    </row>
    <row r="268" spans="1:15" x14ac:dyDescent="0.25">
      <c r="B268" s="32" t="s">
        <v>815</v>
      </c>
      <c r="C268" s="266">
        <f>Travail!F56</f>
        <v>130</v>
      </c>
      <c r="D268" s="260">
        <f t="shared" si="116"/>
        <v>0</v>
      </c>
    </row>
    <row r="269" spans="1:15" x14ac:dyDescent="0.25">
      <c r="B269" s="32" t="s">
        <v>816</v>
      </c>
      <c r="C269" s="266">
        <f>Travail!F57</f>
        <v>26</v>
      </c>
      <c r="D269" s="260">
        <f t="shared" si="116"/>
        <v>0</v>
      </c>
    </row>
    <row r="270" spans="1:15" x14ac:dyDescent="0.25">
      <c r="B270" s="32" t="s">
        <v>817</v>
      </c>
      <c r="C270" s="266">
        <f>Travail!F58</f>
        <v>30</v>
      </c>
      <c r="D270" s="260">
        <f t="shared" si="116"/>
        <v>0</v>
      </c>
    </row>
    <row r="271" spans="1:15" x14ac:dyDescent="0.25">
      <c r="B271" s="32" t="s">
        <v>819</v>
      </c>
      <c r="C271" s="266">
        <f>Travail!F59</f>
        <v>16</v>
      </c>
      <c r="D271" s="260">
        <f t="shared" si="116"/>
        <v>0</v>
      </c>
    </row>
    <row r="272" spans="1:15" x14ac:dyDescent="0.25">
      <c r="A272" s="23" t="s">
        <v>1402</v>
      </c>
      <c r="B272" s="32" t="s">
        <v>823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824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1403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1404</v>
      </c>
      <c r="B275" s="32" t="s">
        <v>1405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1406</v>
      </c>
      <c r="C276" s="266">
        <f>C192*8</f>
        <v>0</v>
      </c>
      <c r="D276" s="260">
        <f>D192*8</f>
        <v>0</v>
      </c>
    </row>
    <row r="277" spans="1:4" x14ac:dyDescent="0.25">
      <c r="B277" s="32" t="s">
        <v>1407</v>
      </c>
      <c r="C277" s="266">
        <f>Travail!F75+Travail!F81</f>
        <v>0</v>
      </c>
      <c r="D277" s="169">
        <f>C277</f>
        <v>0</v>
      </c>
    </row>
    <row r="278" spans="1:4" x14ac:dyDescent="0.25">
      <c r="B278" s="32" t="s">
        <v>1408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1409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1410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1411</v>
      </c>
      <c r="B281" s="14" t="s">
        <v>1412</v>
      </c>
      <c r="C281" s="169">
        <f>ROUND(C245+C248+C251+C254+C257+C260+C261,0)</f>
        <v>1519</v>
      </c>
      <c r="D281" s="260">
        <f>ROUND(D245+D248+D251+D254+D257+D260+D261,0)</f>
        <v>327</v>
      </c>
    </row>
    <row r="282" spans="1:4" x14ac:dyDescent="0.25">
      <c r="B282" s="14" t="s">
        <v>1413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1414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1415</v>
      </c>
      <c r="C284" s="169">
        <f>ROUND(C281/Troupeau!$B$17,2)</f>
        <v>33.020000000000003</v>
      </c>
      <c r="D284" s="169" t="e">
        <f>ROUND(D281/(Troupeau!$B$17*G63),2)</f>
        <v>#DIV/0!</v>
      </c>
    </row>
    <row r="285" spans="1:4" x14ac:dyDescent="0.25">
      <c r="B285" s="14" t="s">
        <v>1416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1417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1418</v>
      </c>
      <c r="C287" s="169">
        <f>SUM(C281:C283)</f>
        <v>1519</v>
      </c>
      <c r="D287" s="260">
        <f>SUM(D281:D283)</f>
        <v>327</v>
      </c>
    </row>
    <row r="288" spans="1:4" x14ac:dyDescent="0.25">
      <c r="B288" s="14" t="s">
        <v>1419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1420</v>
      </c>
      <c r="C289" s="169">
        <f>SUM(C262:C271)</f>
        <v>349</v>
      </c>
      <c r="D289" s="260">
        <f>SUM(D262:D271)</f>
        <v>0</v>
      </c>
    </row>
    <row r="290" spans="2:4" x14ac:dyDescent="0.25">
      <c r="B290" s="14" t="s">
        <v>1421</v>
      </c>
      <c r="C290" s="266">
        <f>C275+C276+C277</f>
        <v>0</v>
      </c>
      <c r="D290" s="267">
        <f>D275+D276+D277</f>
        <v>0</v>
      </c>
    </row>
    <row r="291" spans="2:4" x14ac:dyDescent="0.25">
      <c r="B291" s="14" t="s">
        <v>1422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900</v>
      </c>
      <c r="C292" s="169">
        <f>ROUND(SUM(C287:C291),0)</f>
        <v>2268</v>
      </c>
      <c r="D292" s="260">
        <f>ROUND(SUM(D287:D291),0)</f>
        <v>727</v>
      </c>
    </row>
    <row r="293" spans="2:4" x14ac:dyDescent="0.25">
      <c r="B293" s="14" t="s">
        <v>901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902</v>
      </c>
      <c r="C294" s="169">
        <f>ROUND((C292-C293)/C83,0)</f>
        <v>2268</v>
      </c>
      <c r="D294" s="169" t="e">
        <f>ROUND((D292-D293)/D83,0)</f>
        <v>#DIV/0!</v>
      </c>
    </row>
    <row r="295" spans="2:4" x14ac:dyDescent="0.25">
      <c r="B295" s="14" t="s">
        <v>1436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1437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1438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1439</v>
      </c>
      <c r="C298" s="169">
        <f>IF(Troupeau!$B$3="OL",CdTrp1!AA220,0)</f>
        <v>0</v>
      </c>
    </row>
    <row r="299" spans="2:4" x14ac:dyDescent="0.25">
      <c r="B299" s="14" t="s">
        <v>1440</v>
      </c>
      <c r="C299" s="169">
        <f>IF(Troupeau!$B$3="OL",CdTrp1!AA221,0)</f>
        <v>0</v>
      </c>
    </row>
    <row r="300" spans="2:4" x14ac:dyDescent="0.25">
      <c r="B300" s="14" t="s">
        <v>1441</v>
      </c>
      <c r="C300" s="169">
        <f>IF(Troupeau!$B$3="BV",CdTrp1!AA220,0)+IF(Troupeau!$C$3="BV",CdTrp2!AA220,0)</f>
        <v>51.524426162790689</v>
      </c>
    </row>
    <row r="301" spans="2:4" x14ac:dyDescent="0.25">
      <c r="B301" s="14" t="s">
        <v>1442</v>
      </c>
      <c r="C301" s="169">
        <f>IF(Troupeau!$B$3="BV",CdTrp1!AA221,0)+IF(Troupeau!$C$3="BV",CdTrp2!AA221,0)</f>
        <v>66.531377906976729</v>
      </c>
    </row>
    <row r="302" spans="2:4" x14ac:dyDescent="0.25">
      <c r="B302" s="14" t="s">
        <v>1443</v>
      </c>
      <c r="C302" s="169">
        <f>IF(Troupeau!$B$3="VL",CdTrp1!AA220,0)</f>
        <v>0</v>
      </c>
    </row>
    <row r="303" spans="2:4" x14ac:dyDescent="0.25">
      <c r="B303" s="14" t="s">
        <v>1444</v>
      </c>
      <c r="C303" s="169">
        <f>'Alim -Surf'!H10</f>
        <v>0</v>
      </c>
    </row>
    <row r="304" spans="2:4" x14ac:dyDescent="0.25">
      <c r="B304" s="14" t="s">
        <v>1445</v>
      </c>
      <c r="C304" s="169">
        <f>Protection!BL31</f>
        <v>8.5</v>
      </c>
    </row>
    <row r="305" spans="2:3" x14ac:dyDescent="0.25">
      <c r="B305" s="14" t="s">
        <v>1446</v>
      </c>
      <c r="C305" s="169">
        <f>Protection!BJ31</f>
        <v>2.2000000000000002</v>
      </c>
    </row>
    <row r="306" spans="2:3" x14ac:dyDescent="0.25">
      <c r="B306" s="14" t="s">
        <v>1447</v>
      </c>
      <c r="C306" s="169">
        <f>'Calcul éco'!X233</f>
        <v>0</v>
      </c>
    </row>
    <row r="307" spans="2:3" x14ac:dyDescent="0.25">
      <c r="B307" s="14" t="s">
        <v>1448</v>
      </c>
      <c r="C307" s="169">
        <f>'Calcul éco'!X234</f>
        <v>0</v>
      </c>
    </row>
    <row r="308" spans="2:3" x14ac:dyDescent="0.25">
      <c r="B308" s="14" t="s">
        <v>1449</v>
      </c>
      <c r="C308" s="169">
        <f>'Calcul éco'!X235</f>
        <v>0</v>
      </c>
    </row>
    <row r="309" spans="2:3" x14ac:dyDescent="0.25">
      <c r="B309" s="14" t="s">
        <v>1450</v>
      </c>
      <c r="C309" s="169">
        <f>'Calcul éco'!X236</f>
        <v>0</v>
      </c>
    </row>
    <row r="310" spans="2:3" x14ac:dyDescent="0.25">
      <c r="B310" s="14" t="s">
        <v>1451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452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46</v>
      </c>
      <c r="C17" s="60"/>
      <c r="D17" s="60"/>
      <c r="E17" s="60"/>
      <c r="H17" s="2" t="s">
        <v>152</v>
      </c>
      <c r="I17" s="22"/>
      <c r="J17" s="60">
        <v>23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39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39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11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11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11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10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7.5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18.5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58.350000000000009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39.1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3.8499999999999996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6.6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8.8000000000000007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11260.8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3753.6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5544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1108.8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8" activePane="bottomLeft" state="frozen"/>
      <selection pane="bottomLeft" activeCell="B201" sqref="B201:Y210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176</v>
      </c>
      <c r="AK1" t="s">
        <v>1453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1452</v>
      </c>
      <c r="AI2" s="1">
        <v>43</v>
      </c>
      <c r="AK2" s="50" t="s">
        <v>226</v>
      </c>
      <c r="AL2" s="60"/>
      <c r="AM2" s="60"/>
      <c r="AN2" s="60"/>
      <c r="AO2" s="60"/>
      <c r="AP2" s="60"/>
      <c r="AQ2" s="60"/>
      <c r="AR2" s="60">
        <v>15</v>
      </c>
      <c r="AS2" s="60">
        <v>13</v>
      </c>
      <c r="AT2" s="60">
        <v>8</v>
      </c>
      <c r="AU2" s="60">
        <v>4</v>
      </c>
      <c r="AV2" s="60">
        <v>2</v>
      </c>
      <c r="AW2" s="60">
        <v>0</v>
      </c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79">
        <f>+Troupeau!J17</f>
        <v>23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454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455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451</v>
      </c>
      <c r="B15" s="278"/>
      <c r="C15" s="278"/>
      <c r="D15" s="278"/>
      <c r="E15" s="278"/>
      <c r="F15" s="278"/>
      <c r="G15" s="278"/>
      <c r="H15" s="278">
        <f>CdTrp1!AR2*Troupeau!$B$17/$AI$2</f>
        <v>16.046511627906977</v>
      </c>
      <c r="I15" s="278">
        <f>CdTrp1!AS2*Troupeau!$B$17/$AI$2</f>
        <v>13.906976744186046</v>
      </c>
      <c r="J15" s="278">
        <f>CdTrp1!AT2*Troupeau!$B$17/$AI$2</f>
        <v>8.5581395348837201</v>
      </c>
      <c r="K15" s="278">
        <f>CdTrp1!AU2*Troupeau!$B$17/$AI$2</f>
        <v>4.2790697674418601</v>
      </c>
      <c r="L15" s="278">
        <f>CdTrp1!AV2*Troupeau!$B$17/$AI$2</f>
        <v>2.13953488372093</v>
      </c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52"/>
    </row>
    <row r="16" spans="1:61" x14ac:dyDescent="0.25">
      <c r="A16" s="50" t="s">
        <v>450</v>
      </c>
      <c r="B16" s="278">
        <f>CdTrp1!AL3*Troupeau!$B$17/$AI$2</f>
        <v>32.093023255813954</v>
      </c>
      <c r="C16" s="278">
        <f>CdTrp1!AM3*Troupeau!$B$17/$AI$2</f>
        <v>35.302325581395351</v>
      </c>
      <c r="D16" s="278">
        <f>CdTrp1!AN3*Troupeau!$B$17/$AI$2</f>
        <v>35.302325581395351</v>
      </c>
      <c r="E16" s="278">
        <f>CdTrp1!AO3*Troupeau!$B$17/$AI$2</f>
        <v>35.302325581395351</v>
      </c>
      <c r="F16" s="278">
        <f>CdTrp1!AP3*Troupeau!$B$17/$AI$2</f>
        <v>35.302325581395351</v>
      </c>
      <c r="G16" s="278">
        <f>CdTrp1!AQ3*Troupeau!$B$17/$AI$2</f>
        <v>35.302325581395351</v>
      </c>
      <c r="H16" s="278">
        <f>CdTrp1!AR3*Troupeau!$B$17/$AI$2</f>
        <v>19.255813953488371</v>
      </c>
      <c r="I16" s="278">
        <f>CdTrp1!AS3*Troupeau!$B$17/$AI$2</f>
        <v>21.395348837209301</v>
      </c>
      <c r="J16" s="278">
        <f>CdTrp1!AT3*Troupeau!$B$17/$AI$2</f>
        <v>26.744186046511629</v>
      </c>
      <c r="K16" s="278">
        <f>CdTrp1!AU3*Troupeau!$B$17/$AI$2</f>
        <v>31.023255813953487</v>
      </c>
      <c r="L16" s="278">
        <f>CdTrp1!AV3*Troupeau!$B$17/$AI$2</f>
        <v>33.162790697674417</v>
      </c>
      <c r="M16" s="278">
        <f>CdTrp1!AW3*Troupeau!$B$17/$AI$2</f>
        <v>35.302325581395351</v>
      </c>
      <c r="N16" s="278">
        <f>CdTrp1!AX3*Troupeau!$B$17/$AI$2</f>
        <v>35.302325581395351</v>
      </c>
      <c r="O16" s="278">
        <f>CdTrp1!AY3*Troupeau!$B$17/$AI$2</f>
        <v>35.302325581395351</v>
      </c>
      <c r="P16" s="278">
        <f>CdTrp1!AZ3*Troupeau!$B$17/$AI$2</f>
        <v>35.302325581395351</v>
      </c>
      <c r="Q16" s="278">
        <f>CdTrp1!BA3*Troupeau!$B$17/$AI$2</f>
        <v>34.232558139534881</v>
      </c>
      <c r="R16" s="278">
        <f>CdTrp1!BB3*Troupeau!$B$17/$AI$2</f>
        <v>22.465116279069768</v>
      </c>
      <c r="S16" s="278">
        <f>CdTrp1!BC3*Troupeau!$B$17/$AI$2</f>
        <v>22.465116279069768</v>
      </c>
      <c r="T16" s="278">
        <f>CdTrp1!BD3*Troupeau!$B$17/$AI$2</f>
        <v>22.465116279069768</v>
      </c>
      <c r="U16" s="278">
        <f>CdTrp1!BE3*Troupeau!$B$17/$AI$2</f>
        <v>23.534883720930232</v>
      </c>
      <c r="V16" s="278">
        <f>CdTrp1!BF3*Troupeau!$B$17/$AI$2</f>
        <v>23.534883720930232</v>
      </c>
      <c r="W16" s="278">
        <f>CdTrp1!BG3*Troupeau!$B$17/$AI$2</f>
        <v>24.604651162790699</v>
      </c>
      <c r="X16" s="278">
        <f>CdTrp1!BH3*Troupeau!$B$17/$AI$2</f>
        <v>24.604651162790699</v>
      </c>
      <c r="Y16" s="278">
        <f>CdTrp1!BI3*Troupeau!$B$17/$AI$2</f>
        <v>27.813953488372093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8">
        <f>CdTrp1!AL4*Troupeau!$B$17/$AI$2</f>
        <v>11.767441860465116</v>
      </c>
      <c r="C17" s="278">
        <f>CdTrp1!AM4*Troupeau!$B$17/$AI$2</f>
        <v>13.906976744186046</v>
      </c>
      <c r="D17" s="278">
        <f>CdTrp1!AN4*Troupeau!$B$17/$AI$2</f>
        <v>18.186046511627907</v>
      </c>
      <c r="E17" s="278">
        <f>CdTrp1!AO4*Troupeau!$B$17/$AI$2</f>
        <v>21.395348837209301</v>
      </c>
      <c r="F17" s="278">
        <f>CdTrp1!AP4*Troupeau!$B$17/$AI$2</f>
        <v>21.395348837209301</v>
      </c>
      <c r="G17" s="278">
        <f>CdTrp1!AQ4*Troupeau!$B$17/$AI$2</f>
        <v>21.395348837209301</v>
      </c>
      <c r="H17" s="278">
        <f>CdTrp1!AR4*Troupeau!$B$17/$AI$2</f>
        <v>21.395348837209301</v>
      </c>
      <c r="I17" s="278">
        <f>CdTrp1!AS4*Troupeau!$B$17/$AI$2</f>
        <v>21.395348837209301</v>
      </c>
      <c r="J17" s="278">
        <f>CdTrp1!AT4*Troupeau!$B$17/$AI$2</f>
        <v>21.395348837209301</v>
      </c>
      <c r="K17" s="278">
        <f>CdTrp1!AU4*Troupeau!$B$17/$AI$2</f>
        <v>21.395348837209301</v>
      </c>
      <c r="L17" s="278">
        <f>CdTrp1!AV4*Troupeau!$B$17/$AI$2</f>
        <v>21.395348837209301</v>
      </c>
      <c r="M17" s="278">
        <f>CdTrp1!AW4*Troupeau!$B$17/$AI$2</f>
        <v>21.395348837209301</v>
      </c>
      <c r="N17" s="278">
        <f>CdTrp1!AX4*Troupeau!$B$17/$AI$2</f>
        <v>21.395348837209301</v>
      </c>
      <c r="O17" s="278">
        <f>CdTrp1!AY4*Troupeau!$B$17/$AI$2</f>
        <v>21.395348837209301</v>
      </c>
      <c r="P17" s="278">
        <f>CdTrp1!AZ4*Troupeau!$B$17/$AI$2</f>
        <v>21.395348837209301</v>
      </c>
      <c r="Q17" s="278">
        <f>CdTrp1!BA4*Troupeau!$B$17/$AI$2</f>
        <v>21.395348837209301</v>
      </c>
      <c r="R17" s="278">
        <f>CdTrp1!BB4*Troupeau!$B$17/$AI$2</f>
        <v>20.325581395348838</v>
      </c>
      <c r="S17" s="278">
        <f>CdTrp1!BC4*Troupeau!$B$17/$AI$2</f>
        <v>20.325581395348838</v>
      </c>
      <c r="T17" s="278">
        <f>CdTrp1!BD4*Troupeau!$B$17/$AI$2</f>
        <v>18.186046511627907</v>
      </c>
      <c r="U17" s="278">
        <f>CdTrp1!BE4*Troupeau!$B$17/$AI$2</f>
        <v>16.046511627906977</v>
      </c>
      <c r="V17" s="278">
        <f>CdTrp1!BF4*Troupeau!$B$17/$AI$2</f>
        <v>13.906976744186046</v>
      </c>
      <c r="W17" s="278">
        <f>CdTrp1!BG4*Troupeau!$B$17/$AI$2</f>
        <v>11.767441860465116</v>
      </c>
      <c r="X17" s="278">
        <f>CdTrp1!BH4*Troupeau!$B$17/$AI$2</f>
        <v>10.697674418604651</v>
      </c>
      <c r="Y17" s="278">
        <f>CdTrp1!BI4*Troupeau!$B$17/$AI$2</f>
        <v>10.697674418604651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8">
        <f>CdTrp1!AL5*Troupeau!$B$17/$AI$2</f>
        <v>10.697674418604651</v>
      </c>
      <c r="C18" s="278">
        <f>CdTrp1!AM5*Troupeau!$B$17/$AI$2</f>
        <v>10.697674418604651</v>
      </c>
      <c r="D18" s="278">
        <f>CdTrp1!AN5*Troupeau!$B$17/$AI$2</f>
        <v>10.697674418604651</v>
      </c>
      <c r="E18" s="278">
        <f>CdTrp1!AO5*Troupeau!$B$17/$AI$2</f>
        <v>10.697674418604651</v>
      </c>
      <c r="F18" s="278">
        <f>CdTrp1!AP5*Troupeau!$B$17/$AI$2</f>
        <v>10.697674418604651</v>
      </c>
      <c r="G18" s="278">
        <f>CdTrp1!AQ5*Troupeau!$B$17/$AI$2</f>
        <v>10.697674418604651</v>
      </c>
      <c r="H18" s="278">
        <f>CdTrp1!AR5*Troupeau!$B$17/$AI$2</f>
        <v>10.697674418604651</v>
      </c>
      <c r="I18" s="278">
        <f>CdTrp1!AS5*Troupeau!$B$17/$AI$2</f>
        <v>10.697674418604651</v>
      </c>
      <c r="J18" s="278">
        <f>CdTrp1!AT5*Troupeau!$B$17/$AI$2</f>
        <v>10.697674418604651</v>
      </c>
      <c r="K18" s="278">
        <f>CdTrp1!AU5*Troupeau!$B$17/$AI$2</f>
        <v>10.697674418604651</v>
      </c>
      <c r="L18" s="278">
        <f>CdTrp1!AV5*Troupeau!$B$17/$AI$2</f>
        <v>10.697674418604651</v>
      </c>
      <c r="M18" s="278">
        <f>CdTrp1!AW5*Troupeau!$B$17/$AI$2</f>
        <v>10.697674418604651</v>
      </c>
      <c r="N18" s="278">
        <f>CdTrp1!AX5*Troupeau!$B$17/$AI$2</f>
        <v>10.697674418604651</v>
      </c>
      <c r="O18" s="278">
        <f>CdTrp1!AY5*Troupeau!$B$17/$AI$2</f>
        <v>10.697674418604651</v>
      </c>
      <c r="P18" s="278">
        <f>CdTrp1!AZ5*Troupeau!$B$17/$AI$2</f>
        <v>10.697674418604651</v>
      </c>
      <c r="Q18" s="278">
        <f>CdTrp1!BA5*Troupeau!$B$17/$AI$2</f>
        <v>10.697674418604651</v>
      </c>
      <c r="R18" s="278">
        <f>CdTrp1!BB5*Troupeau!$B$17/$AI$2</f>
        <v>10.697674418604651</v>
      </c>
      <c r="S18" s="278">
        <f>CdTrp1!BC5*Troupeau!$B$17/$AI$2</f>
        <v>10.697674418604651</v>
      </c>
      <c r="T18" s="278">
        <f>CdTrp1!BD5*Troupeau!$B$17/$AI$2</f>
        <v>10.697674418604651</v>
      </c>
      <c r="U18" s="278">
        <f>CdTrp1!BE5*Troupeau!$B$17/$AI$2</f>
        <v>10.697674418604651</v>
      </c>
      <c r="V18" s="278">
        <f>CdTrp1!BF5*Troupeau!$B$17/$AI$2</f>
        <v>10.697674418604651</v>
      </c>
      <c r="W18" s="278">
        <f>CdTrp1!BG5*Troupeau!$B$17/$AI$2</f>
        <v>10.697674418604651</v>
      </c>
      <c r="X18" s="278">
        <f>CdTrp1!BH5*Troupeau!$B$17/$AI$2</f>
        <v>10.697674418604651</v>
      </c>
      <c r="Y18" s="278">
        <f>CdTrp1!BI5*Troupeau!$B$17/$AI$2</f>
        <v>10.697674418604651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11260.8</v>
      </c>
      <c r="AK18" s="54">
        <f>IF($AH18=AK$17,ROUND($AI18/1000,1),0)</f>
        <v>11.3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8">
        <f>CdTrp1!AL6*Troupeau!$B$17/$AI$2</f>
        <v>3.2093023255813953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>
        <f>CdTrp1!BB6*Troupeau!$B$17/$AI$2</f>
        <v>11.767441860465116</v>
      </c>
      <c r="S19" s="278">
        <f>CdTrp1!BC6*Troupeau!$B$17/$AI$2</f>
        <v>11.767441860465116</v>
      </c>
      <c r="T19" s="278">
        <f>CdTrp1!BD6*Troupeau!$B$17/$AI$2</f>
        <v>11.767441860465116</v>
      </c>
      <c r="U19" s="278">
        <f>CdTrp1!BE6*Troupeau!$B$17/$AI$2</f>
        <v>11.767441860465116</v>
      </c>
      <c r="V19" s="278">
        <f>CdTrp1!BF6*Troupeau!$B$17/$AI$2</f>
        <v>11.767441860465116</v>
      </c>
      <c r="W19" s="278">
        <f>CdTrp1!BG6*Troupeau!$B$17/$AI$2</f>
        <v>11.767441860465116</v>
      </c>
      <c r="X19" s="278">
        <f>CdTrp1!BH6*Troupeau!$B$17/$AI$2</f>
        <v>11.767441860465116</v>
      </c>
      <c r="Y19" s="278">
        <f>CdTrp1!BI6*Troupeau!$B$17/$AI$2</f>
        <v>7.4883720930232558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3753.6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3.8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5544</v>
      </c>
      <c r="AK23" s="54">
        <f t="shared" si="3"/>
        <v>0</v>
      </c>
      <c r="AL23" s="54">
        <f t="shared" si="4"/>
        <v>5.5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1108.8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1.1000000000000001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renouvellement</v>
      </c>
      <c r="B29" s="60">
        <v>0.57727272727272727</v>
      </c>
      <c r="C29" s="60">
        <v>0.54230769230769227</v>
      </c>
      <c r="D29" s="60">
        <v>0.49705882352941172</v>
      </c>
      <c r="E29" s="60">
        <v>0.47499999999999998</v>
      </c>
      <c r="F29" s="60">
        <v>0.47499999999999998</v>
      </c>
      <c r="G29" s="60">
        <v>0.47499999999999998</v>
      </c>
      <c r="H29" s="60">
        <v>0.47499999999999998</v>
      </c>
      <c r="I29" s="60">
        <v>0.47499999999999998</v>
      </c>
      <c r="J29" s="60">
        <v>0.47499999999999998</v>
      </c>
      <c r="K29" s="60">
        <v>0.47499999999999998</v>
      </c>
      <c r="L29" s="60">
        <v>0.47499999999999998</v>
      </c>
      <c r="M29" s="60">
        <v>0.47499999999999998</v>
      </c>
      <c r="N29" s="60">
        <v>0.47499999999999998</v>
      </c>
      <c r="O29" s="60">
        <v>0.47499999999999998</v>
      </c>
      <c r="P29" s="60">
        <v>0.47499999999999998</v>
      </c>
      <c r="Q29" s="60">
        <v>0.47499999999999998</v>
      </c>
      <c r="R29" s="60">
        <v>0.48157894736842105</v>
      </c>
      <c r="S29" s="60">
        <v>0.48157894736842105</v>
      </c>
      <c r="T29" s="60">
        <v>0.49705882352941172</v>
      </c>
      <c r="U29" s="60">
        <v>0.51666666666666672</v>
      </c>
      <c r="V29" s="60">
        <v>0.54230769230769227</v>
      </c>
      <c r="W29" s="60">
        <v>0.57727272727272727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1">C15*C27</f>
        <v>0</v>
      </c>
      <c r="D39" s="61">
        <f t="shared" si="11"/>
        <v>0</v>
      </c>
      <c r="E39" s="61">
        <f t="shared" si="11"/>
        <v>0</v>
      </c>
      <c r="F39" s="61">
        <f t="shared" si="11"/>
        <v>0</v>
      </c>
      <c r="G39" s="61">
        <f t="shared" si="11"/>
        <v>0</v>
      </c>
      <c r="H39" s="61">
        <f t="shared" si="11"/>
        <v>16.046511627906977</v>
      </c>
      <c r="I39" s="61">
        <f t="shared" si="11"/>
        <v>13.906976744186046</v>
      </c>
      <c r="J39" s="61">
        <f t="shared" si="11"/>
        <v>8.5581395348837201</v>
      </c>
      <c r="K39" s="61">
        <f t="shared" si="11"/>
        <v>4.2790697674418601</v>
      </c>
      <c r="L39" s="61">
        <f t="shared" si="11"/>
        <v>2.13953488372093</v>
      </c>
      <c r="M39" s="61">
        <f t="shared" si="11"/>
        <v>0</v>
      </c>
      <c r="N39" s="61">
        <f t="shared" si="11"/>
        <v>0</v>
      </c>
      <c r="O39" s="61">
        <f t="shared" si="11"/>
        <v>0</v>
      </c>
      <c r="P39" s="61">
        <f t="shared" si="11"/>
        <v>0</v>
      </c>
      <c r="Q39" s="61">
        <f t="shared" si="11"/>
        <v>0</v>
      </c>
      <c r="R39" s="61">
        <f t="shared" si="11"/>
        <v>0</v>
      </c>
      <c r="S39" s="61">
        <f t="shared" si="11"/>
        <v>0</v>
      </c>
      <c r="T39" s="61">
        <f t="shared" si="11"/>
        <v>0</v>
      </c>
      <c r="U39" s="61">
        <f t="shared" si="11"/>
        <v>0</v>
      </c>
      <c r="V39" s="61">
        <f t="shared" si="11"/>
        <v>0</v>
      </c>
      <c r="W39" s="61">
        <f t="shared" si="11"/>
        <v>0</v>
      </c>
      <c r="X39" s="61">
        <f t="shared" si="11"/>
        <v>0</v>
      </c>
      <c r="Y39" s="61">
        <f t="shared" si="11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2">B16*B28</f>
        <v>32.093023255813954</v>
      </c>
      <c r="C40" s="61">
        <f t="shared" si="12"/>
        <v>35.302325581395351</v>
      </c>
      <c r="D40" s="61">
        <f t="shared" si="12"/>
        <v>35.302325581395351</v>
      </c>
      <c r="E40" s="61">
        <f t="shared" si="12"/>
        <v>35.302325581395351</v>
      </c>
      <c r="F40" s="61">
        <f t="shared" si="12"/>
        <v>35.302325581395351</v>
      </c>
      <c r="G40" s="61">
        <f t="shared" si="12"/>
        <v>35.302325581395351</v>
      </c>
      <c r="H40" s="61">
        <f t="shared" si="12"/>
        <v>16.367441860465114</v>
      </c>
      <c r="I40" s="61">
        <f t="shared" si="12"/>
        <v>18.186046511627907</v>
      </c>
      <c r="J40" s="61">
        <f t="shared" si="12"/>
        <v>22.732558139534884</v>
      </c>
      <c r="K40" s="61">
        <f t="shared" si="12"/>
        <v>26.369767441860464</v>
      </c>
      <c r="L40" s="61">
        <f t="shared" si="12"/>
        <v>28.188372093023254</v>
      </c>
      <c r="M40" s="61">
        <f t="shared" si="12"/>
        <v>30.006976744186048</v>
      </c>
      <c r="N40" s="61">
        <f t="shared" si="12"/>
        <v>30.006976744186048</v>
      </c>
      <c r="O40" s="61">
        <f t="shared" si="12"/>
        <v>30.006976744186048</v>
      </c>
      <c r="P40" s="61">
        <f t="shared" si="12"/>
        <v>30.006976744186048</v>
      </c>
      <c r="Q40" s="61">
        <f t="shared" si="12"/>
        <v>29.097674418604647</v>
      </c>
      <c r="R40" s="61">
        <f t="shared" si="11"/>
        <v>19.095348837209304</v>
      </c>
      <c r="S40" s="61">
        <f t="shared" si="11"/>
        <v>19.095348837209304</v>
      </c>
      <c r="T40" s="61">
        <f t="shared" si="11"/>
        <v>19.095348837209304</v>
      </c>
      <c r="U40" s="61">
        <f t="shared" si="11"/>
        <v>20.004651162790697</v>
      </c>
      <c r="V40" s="61">
        <f t="shared" si="11"/>
        <v>20.004651162790697</v>
      </c>
      <c r="W40" s="61">
        <f t="shared" si="11"/>
        <v>24.604651162790699</v>
      </c>
      <c r="X40" s="61">
        <f t="shared" si="11"/>
        <v>24.604651162790699</v>
      </c>
      <c r="Y40" s="61">
        <f t="shared" si="11"/>
        <v>27.813953488372093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renouvellement</v>
      </c>
      <c r="B41" s="61">
        <f t="shared" si="12"/>
        <v>6.7930232558139529</v>
      </c>
      <c r="C41" s="61">
        <f t="shared" si="11"/>
        <v>7.5418604651162786</v>
      </c>
      <c r="D41" s="61">
        <f t="shared" si="11"/>
        <v>9.0395348837209291</v>
      </c>
      <c r="E41" s="61">
        <f t="shared" si="11"/>
        <v>10.162790697674417</v>
      </c>
      <c r="F41" s="61">
        <f t="shared" si="11"/>
        <v>10.162790697674417</v>
      </c>
      <c r="G41" s="61">
        <f t="shared" si="11"/>
        <v>10.162790697674417</v>
      </c>
      <c r="H41" s="61">
        <f t="shared" si="11"/>
        <v>10.162790697674417</v>
      </c>
      <c r="I41" s="61">
        <f t="shared" si="11"/>
        <v>10.162790697674417</v>
      </c>
      <c r="J41" s="61">
        <f t="shared" si="11"/>
        <v>10.162790697674417</v>
      </c>
      <c r="K41" s="61">
        <f t="shared" si="11"/>
        <v>10.162790697674417</v>
      </c>
      <c r="L41" s="61">
        <f t="shared" si="11"/>
        <v>10.162790697674417</v>
      </c>
      <c r="M41" s="61">
        <f t="shared" si="11"/>
        <v>10.162790697674417</v>
      </c>
      <c r="N41" s="61">
        <f t="shared" si="11"/>
        <v>10.162790697674417</v>
      </c>
      <c r="O41" s="61">
        <f t="shared" si="11"/>
        <v>10.162790697674417</v>
      </c>
      <c r="P41" s="61">
        <f t="shared" si="11"/>
        <v>10.162790697674417</v>
      </c>
      <c r="Q41" s="61">
        <f t="shared" si="11"/>
        <v>10.162790697674417</v>
      </c>
      <c r="R41" s="61">
        <f t="shared" si="11"/>
        <v>9.7883720930232556</v>
      </c>
      <c r="S41" s="61">
        <f t="shared" si="11"/>
        <v>9.7883720930232556</v>
      </c>
      <c r="T41" s="61">
        <f t="shared" si="11"/>
        <v>9.0395348837209291</v>
      </c>
      <c r="U41" s="61">
        <f t="shared" si="11"/>
        <v>8.2906976744186061</v>
      </c>
      <c r="V41" s="61">
        <f t="shared" si="11"/>
        <v>7.5418604651162786</v>
      </c>
      <c r="W41" s="61">
        <f t="shared" si="11"/>
        <v>6.7930232558139529</v>
      </c>
      <c r="X41" s="61">
        <f t="shared" si="11"/>
        <v>6.4186046511627906</v>
      </c>
      <c r="Y41" s="61">
        <f t="shared" si="11"/>
        <v>6.4186046511627906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2/3 ans</v>
      </c>
      <c r="B42" s="61">
        <f t="shared" si="12"/>
        <v>8.5581395348837201</v>
      </c>
      <c r="C42" s="61">
        <f t="shared" si="11"/>
        <v>8.5581395348837201</v>
      </c>
      <c r="D42" s="61">
        <f t="shared" si="11"/>
        <v>8.5581395348837201</v>
      </c>
      <c r="E42" s="61">
        <f t="shared" si="11"/>
        <v>8.5581395348837201</v>
      </c>
      <c r="F42" s="61">
        <f t="shared" si="11"/>
        <v>8.5581395348837201</v>
      </c>
      <c r="G42" s="61">
        <f t="shared" si="11"/>
        <v>8.5581395348837201</v>
      </c>
      <c r="H42" s="61">
        <f t="shared" si="11"/>
        <v>8.5581395348837201</v>
      </c>
      <c r="I42" s="61">
        <f t="shared" si="11"/>
        <v>8.5581395348837201</v>
      </c>
      <c r="J42" s="61">
        <f t="shared" si="11"/>
        <v>8.5581395348837201</v>
      </c>
      <c r="K42" s="61">
        <f t="shared" si="11"/>
        <v>8.5581395348837201</v>
      </c>
      <c r="L42" s="61">
        <f t="shared" si="11"/>
        <v>8.5581395348837201</v>
      </c>
      <c r="M42" s="61">
        <f t="shared" si="11"/>
        <v>8.5581395348837201</v>
      </c>
      <c r="N42" s="61">
        <f t="shared" si="11"/>
        <v>8.5581395348837201</v>
      </c>
      <c r="O42" s="61">
        <f t="shared" si="11"/>
        <v>8.5581395348837201</v>
      </c>
      <c r="P42" s="61">
        <f t="shared" si="11"/>
        <v>8.5581395348837201</v>
      </c>
      <c r="Q42" s="61">
        <f t="shared" si="11"/>
        <v>8.5581395348837201</v>
      </c>
      <c r="R42" s="61">
        <f t="shared" si="11"/>
        <v>8.5581395348837201</v>
      </c>
      <c r="S42" s="61">
        <f t="shared" si="11"/>
        <v>8.5581395348837201</v>
      </c>
      <c r="T42" s="61">
        <f t="shared" si="11"/>
        <v>8.5581395348837201</v>
      </c>
      <c r="U42" s="61">
        <f t="shared" si="11"/>
        <v>8.5581395348837201</v>
      </c>
      <c r="V42" s="61">
        <f t="shared" si="11"/>
        <v>8.5581395348837201</v>
      </c>
      <c r="W42" s="61">
        <f t="shared" si="11"/>
        <v>8.5581395348837201</v>
      </c>
      <c r="X42" s="61">
        <f t="shared" si="11"/>
        <v>8.5581395348837201</v>
      </c>
      <c r="Y42" s="61">
        <f t="shared" si="11"/>
        <v>8.5581395348837201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2"/>
        <v>2.7279069767441859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10.002325581395349</v>
      </c>
      <c r="S43" s="61">
        <f t="shared" si="11"/>
        <v>10.002325581395349</v>
      </c>
      <c r="T43" s="61">
        <f t="shared" si="11"/>
        <v>10.002325581395349</v>
      </c>
      <c r="U43" s="61">
        <f t="shared" si="11"/>
        <v>10.002325581395349</v>
      </c>
      <c r="V43" s="61">
        <f t="shared" si="11"/>
        <v>10.002325581395349</v>
      </c>
      <c r="W43" s="61">
        <f t="shared" si="11"/>
        <v>10.002325581395349</v>
      </c>
      <c r="X43" s="61">
        <f t="shared" si="11"/>
        <v>10.002325581395349</v>
      </c>
      <c r="Y43" s="61">
        <f t="shared" si="11"/>
        <v>6.3651162790697668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50.172093023255819</v>
      </c>
      <c r="C49" s="62">
        <f t="shared" ref="C49:Y49" si="13">SUM(C39:C48)</f>
        <v>51.402325581395353</v>
      </c>
      <c r="D49" s="62">
        <f t="shared" si="13"/>
        <v>52.900000000000006</v>
      </c>
      <c r="E49" s="62">
        <f t="shared" si="13"/>
        <v>54.02325581395349</v>
      </c>
      <c r="F49" s="62">
        <f t="shared" si="13"/>
        <v>54.02325581395349</v>
      </c>
      <c r="G49" s="62">
        <f t="shared" si="13"/>
        <v>54.02325581395349</v>
      </c>
      <c r="H49" s="62">
        <f t="shared" si="13"/>
        <v>51.134883720930226</v>
      </c>
      <c r="I49" s="62">
        <f t="shared" si="13"/>
        <v>50.813953488372093</v>
      </c>
      <c r="J49" s="62">
        <f t="shared" si="13"/>
        <v>50.011627906976742</v>
      </c>
      <c r="K49" s="62">
        <f t="shared" si="13"/>
        <v>49.369767441860461</v>
      </c>
      <c r="L49" s="62">
        <f t="shared" si="13"/>
        <v>49.04883720930232</v>
      </c>
      <c r="M49" s="62">
        <f t="shared" si="13"/>
        <v>48.727906976744187</v>
      </c>
      <c r="N49" s="62">
        <f t="shared" si="13"/>
        <v>48.727906976744187</v>
      </c>
      <c r="O49" s="62">
        <f t="shared" si="13"/>
        <v>48.727906976744187</v>
      </c>
      <c r="P49" s="62">
        <f t="shared" si="13"/>
        <v>48.727906976744187</v>
      </c>
      <c r="Q49" s="62">
        <f t="shared" si="13"/>
        <v>47.818604651162786</v>
      </c>
      <c r="R49" s="62">
        <f t="shared" si="13"/>
        <v>47.444186046511625</v>
      </c>
      <c r="S49" s="62">
        <f t="shared" si="13"/>
        <v>47.444186046511625</v>
      </c>
      <c r="T49" s="62">
        <f t="shared" si="13"/>
        <v>46.695348837209302</v>
      </c>
      <c r="U49" s="62">
        <f t="shared" si="13"/>
        <v>46.855813953488372</v>
      </c>
      <c r="V49" s="62">
        <f t="shared" si="13"/>
        <v>46.106976744186042</v>
      </c>
      <c r="W49" s="62">
        <f t="shared" si="13"/>
        <v>49.958139534883721</v>
      </c>
      <c r="X49" s="62">
        <f t="shared" si="13"/>
        <v>49.583720930232559</v>
      </c>
      <c r="Y49" s="62">
        <f t="shared" si="13"/>
        <v>49.155813953488369</v>
      </c>
      <c r="Z49" s="23"/>
      <c r="AA49" s="46">
        <f>AVERAGE(B49:Y49)</f>
        <v>49.704069767441858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0.5</v>
      </c>
      <c r="I52" s="60">
        <v>0.5</v>
      </c>
      <c r="J52" s="60">
        <v>0.5</v>
      </c>
      <c r="K52" s="60">
        <v>0.5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11.3</v>
      </c>
      <c r="AL54" s="84">
        <f t="shared" si="16"/>
        <v>5.5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4.9000000000000004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60.935000000000002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120.34883720930233</v>
      </c>
      <c r="I63" s="61">
        <f t="shared" si="17"/>
        <v>104.30232558139535</v>
      </c>
      <c r="J63" s="61">
        <f t="shared" si="17"/>
        <v>66.325581395348834</v>
      </c>
      <c r="K63" s="61">
        <f t="shared" si="17"/>
        <v>33.162790697674417</v>
      </c>
      <c r="L63" s="61">
        <f t="shared" si="17"/>
        <v>3177.2093023255811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18">B40*B53*B$3</f>
        <v>497.44186046511629</v>
      </c>
      <c r="C64" s="61">
        <f t="shared" si="18"/>
        <v>547.18604651162798</v>
      </c>
      <c r="D64" s="61">
        <f t="shared" si="18"/>
        <v>494.23255813953494</v>
      </c>
      <c r="E64" s="61">
        <f t="shared" si="18"/>
        <v>494.23255813953494</v>
      </c>
      <c r="F64" s="61">
        <f t="shared" si="18"/>
        <v>547.18604651162798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310.07209302325583</v>
      </c>
      <c r="V64" s="61">
        <f t="shared" si="18"/>
        <v>300.06976744186045</v>
      </c>
      <c r="W64" s="61">
        <f t="shared" si="18"/>
        <v>369.06976744186051</v>
      </c>
      <c r="X64" s="61">
        <f t="shared" si="18"/>
        <v>381.37209302325584</v>
      </c>
      <c r="Y64" s="61">
        <f t="shared" si="18"/>
        <v>431.11627906976742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19">B41*B54*B$3</f>
        <v>105.29186046511627</v>
      </c>
      <c r="C65" s="61">
        <f t="shared" si="19"/>
        <v>116.89883720930231</v>
      </c>
      <c r="D65" s="61">
        <f t="shared" si="19"/>
        <v>126.553488372093</v>
      </c>
      <c r="E65" s="61">
        <f t="shared" si="19"/>
        <v>142.27906976744185</v>
      </c>
      <c r="F65" s="61">
        <f t="shared" si="19"/>
        <v>157.52325581395345</v>
      </c>
      <c r="G65" s="61">
        <f t="shared" si="19"/>
        <v>157.52325581395345</v>
      </c>
      <c r="H65" s="61">
        <f t="shared" si="19"/>
        <v>152.44186046511626</v>
      </c>
      <c r="I65" s="61">
        <f t="shared" si="19"/>
        <v>152.44186046511626</v>
      </c>
      <c r="J65" s="61">
        <f t="shared" si="19"/>
        <v>157.52325581395345</v>
      </c>
      <c r="K65" s="61">
        <f t="shared" si="19"/>
        <v>78.761627906976727</v>
      </c>
      <c r="L65" s="61">
        <f t="shared" si="19"/>
        <v>76.220930232558132</v>
      </c>
      <c r="M65" s="61">
        <f t="shared" si="19"/>
        <v>76.220930232558132</v>
      </c>
      <c r="N65" s="61">
        <f t="shared" si="19"/>
        <v>78.761627906976727</v>
      </c>
      <c r="O65" s="61">
        <f t="shared" si="19"/>
        <v>78.761627906976727</v>
      </c>
      <c r="P65" s="61">
        <f t="shared" si="19"/>
        <v>78.761627906976727</v>
      </c>
      <c r="Q65" s="61">
        <f t="shared" si="19"/>
        <v>78.761627906976727</v>
      </c>
      <c r="R65" s="61">
        <f t="shared" si="19"/>
        <v>73.41279069767441</v>
      </c>
      <c r="S65" s="61">
        <f t="shared" si="19"/>
        <v>73.41279069767441</v>
      </c>
      <c r="T65" s="61">
        <f t="shared" si="19"/>
        <v>70.056395348837199</v>
      </c>
      <c r="U65" s="61">
        <f t="shared" si="19"/>
        <v>128.5058139534884</v>
      </c>
      <c r="V65" s="61">
        <f t="shared" si="19"/>
        <v>113.12790697674419</v>
      </c>
      <c r="W65" s="61">
        <f t="shared" si="19"/>
        <v>101.8953488372093</v>
      </c>
      <c r="X65" s="61">
        <f t="shared" si="19"/>
        <v>99.488372093023258</v>
      </c>
      <c r="Y65" s="61">
        <f t="shared" si="19"/>
        <v>99.488372093023258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0">B42*B55*B$3</f>
        <v>132.65116279069767</v>
      </c>
      <c r="C66" s="61">
        <f t="shared" si="20"/>
        <v>132.65116279069767</v>
      </c>
      <c r="D66" s="61">
        <f t="shared" si="20"/>
        <v>119.81395348837208</v>
      </c>
      <c r="E66" s="61">
        <f t="shared" si="20"/>
        <v>119.81395348837208</v>
      </c>
      <c r="F66" s="61">
        <f t="shared" si="20"/>
        <v>132.65116279069767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132.65116279069767</v>
      </c>
      <c r="V66" s="61">
        <f t="shared" si="20"/>
        <v>128.37209302325581</v>
      </c>
      <c r="W66" s="61">
        <f t="shared" si="20"/>
        <v>128.37209302325581</v>
      </c>
      <c r="X66" s="61">
        <f t="shared" si="20"/>
        <v>132.65116279069767</v>
      </c>
      <c r="Y66" s="61">
        <f t="shared" si="20"/>
        <v>132.65116279069767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1">B43*B56*B$3</f>
        <v>42.282558139534885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150.03488372093022</v>
      </c>
      <c r="X67" s="61">
        <f t="shared" si="21"/>
        <v>155.03604651162792</v>
      </c>
      <c r="Y67" s="61">
        <f t="shared" si="21"/>
        <v>98.659302325581393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778</v>
      </c>
      <c r="C73" s="64">
        <f t="shared" ref="C73:Y73" si="27">ROUND(SUM(C63:C72),0)</f>
        <v>797</v>
      </c>
      <c r="D73" s="64">
        <f t="shared" si="27"/>
        <v>741</v>
      </c>
      <c r="E73" s="64">
        <f t="shared" si="27"/>
        <v>756</v>
      </c>
      <c r="F73" s="64">
        <f t="shared" si="27"/>
        <v>837</v>
      </c>
      <c r="G73" s="64">
        <f t="shared" si="27"/>
        <v>158</v>
      </c>
      <c r="H73" s="64">
        <f t="shared" si="27"/>
        <v>273</v>
      </c>
      <c r="I73" s="64">
        <f t="shared" si="27"/>
        <v>257</v>
      </c>
      <c r="J73" s="64">
        <f t="shared" si="27"/>
        <v>224</v>
      </c>
      <c r="K73" s="64">
        <f t="shared" si="27"/>
        <v>112</v>
      </c>
      <c r="L73" s="64">
        <f>ROUND(SUM(L63:L72),0)</f>
        <v>3253</v>
      </c>
      <c r="M73" s="64">
        <f t="shared" si="27"/>
        <v>76</v>
      </c>
      <c r="N73" s="64">
        <f t="shared" si="27"/>
        <v>79</v>
      </c>
      <c r="O73" s="64">
        <f t="shared" si="27"/>
        <v>79</v>
      </c>
      <c r="P73" s="64">
        <f t="shared" si="27"/>
        <v>79</v>
      </c>
      <c r="Q73" s="64">
        <f t="shared" si="27"/>
        <v>79</v>
      </c>
      <c r="R73" s="64">
        <f t="shared" si="27"/>
        <v>73</v>
      </c>
      <c r="S73" s="64">
        <f t="shared" si="27"/>
        <v>73</v>
      </c>
      <c r="T73" s="64">
        <f t="shared" si="27"/>
        <v>70</v>
      </c>
      <c r="U73" s="64">
        <f t="shared" si="27"/>
        <v>571</v>
      </c>
      <c r="V73" s="64">
        <f t="shared" si="27"/>
        <v>542</v>
      </c>
      <c r="W73" s="64">
        <f t="shared" si="27"/>
        <v>749</v>
      </c>
      <c r="X73" s="64">
        <f t="shared" si="27"/>
        <v>769</v>
      </c>
      <c r="Y73" s="64">
        <f t="shared" si="27"/>
        <v>762</v>
      </c>
      <c r="Z73" s="52"/>
      <c r="AA73" s="56">
        <f>ROUND(SUM(B73:Y73),0)</f>
        <v>12187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477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439</v>
      </c>
      <c r="AD76" t="s">
        <v>440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>
        <v>2</v>
      </c>
      <c r="H77" s="60">
        <v>2</v>
      </c>
      <c r="I77" s="60">
        <v>2</v>
      </c>
      <c r="J77" s="60">
        <v>5</v>
      </c>
      <c r="K77" s="60">
        <v>5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1</v>
      </c>
      <c r="U77" s="60"/>
      <c r="V77" s="60"/>
      <c r="W77" s="60"/>
      <c r="X77" s="60"/>
      <c r="Y77" s="60"/>
      <c r="AB77" t="s">
        <v>438</v>
      </c>
      <c r="AC77">
        <f>COUNTIF($B$76:$Y$85,"&gt;0")/2</f>
        <v>23.5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A78" t="s">
        <v>441</v>
      </c>
      <c r="AB78">
        <v>1</v>
      </c>
      <c r="AC78">
        <f>COUNTIF($B$76:$Y$85,AB78)/2</f>
        <v>9.5</v>
      </c>
      <c r="AD78" s="156">
        <f>AC78/$AC$77</f>
        <v>0.40425531914893614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>
        <v>1</v>
      </c>
      <c r="H79" s="60">
        <v>2</v>
      </c>
      <c r="I79" s="60">
        <v>2</v>
      </c>
      <c r="J79" s="60">
        <v>5</v>
      </c>
      <c r="K79" s="60">
        <v>5</v>
      </c>
      <c r="L79" s="60">
        <v>5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5</v>
      </c>
      <c r="T79" s="60">
        <v>1</v>
      </c>
      <c r="U79" s="60"/>
      <c r="V79" s="60"/>
      <c r="W79" s="60"/>
      <c r="X79" s="60"/>
      <c r="Y79" s="60"/>
      <c r="AA79" t="s">
        <v>442</v>
      </c>
      <c r="AB79">
        <v>2</v>
      </c>
      <c r="AC79">
        <f t="shared" ref="AC79:AC81" si="28">COUNTIF($B$76:$Y$85,AB79)/2</f>
        <v>4</v>
      </c>
      <c r="AD79" s="156">
        <f t="shared" ref="AD79:AD81" si="29">AC79/$AC$77</f>
        <v>0.1702127659574468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>
        <v>2</v>
      </c>
      <c r="S80" s="60">
        <v>2</v>
      </c>
      <c r="T80" s="60">
        <v>2</v>
      </c>
      <c r="U80" s="60">
        <v>1</v>
      </c>
      <c r="V80" s="60">
        <v>1</v>
      </c>
      <c r="W80" s="60"/>
      <c r="X80" s="60"/>
      <c r="Y80" s="60"/>
      <c r="AA80" t="s">
        <v>443</v>
      </c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444</v>
      </c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0">VLOOKUP(C88,$AD$6:$AF$10,3)</f>
        <v>14</v>
      </c>
      <c r="D99" s="61">
        <f t="shared" si="30"/>
        <v>14</v>
      </c>
      <c r="E99" s="61">
        <f t="shared" si="30"/>
        <v>14</v>
      </c>
      <c r="F99" s="61">
        <f t="shared" si="30"/>
        <v>14</v>
      </c>
      <c r="G99" s="61">
        <f t="shared" si="30"/>
        <v>14</v>
      </c>
      <c r="H99" s="61">
        <f t="shared" si="30"/>
        <v>14</v>
      </c>
      <c r="I99" s="61">
        <f t="shared" si="30"/>
        <v>14</v>
      </c>
      <c r="J99" s="61">
        <f t="shared" si="30"/>
        <v>14</v>
      </c>
      <c r="K99" s="61">
        <f t="shared" si="30"/>
        <v>14</v>
      </c>
      <c r="L99" s="61">
        <f t="shared" si="30"/>
        <v>14</v>
      </c>
      <c r="M99" s="61">
        <f t="shared" si="30"/>
        <v>14</v>
      </c>
      <c r="N99" s="61">
        <f t="shared" si="30"/>
        <v>14</v>
      </c>
      <c r="O99" s="61">
        <f t="shared" si="30"/>
        <v>14</v>
      </c>
      <c r="P99" s="61">
        <f t="shared" si="30"/>
        <v>14</v>
      </c>
      <c r="Q99" s="61">
        <f t="shared" si="30"/>
        <v>14</v>
      </c>
      <c r="R99" s="61">
        <f t="shared" si="30"/>
        <v>14</v>
      </c>
      <c r="S99" s="61">
        <f t="shared" si="30"/>
        <v>14</v>
      </c>
      <c r="T99" s="61">
        <f t="shared" si="30"/>
        <v>14</v>
      </c>
      <c r="U99" s="61">
        <f t="shared" si="30"/>
        <v>14</v>
      </c>
      <c r="V99" s="61">
        <f t="shared" si="30"/>
        <v>14</v>
      </c>
      <c r="W99" s="61">
        <f t="shared" si="30"/>
        <v>14</v>
      </c>
      <c r="X99" s="61">
        <f t="shared" si="30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1">VLOOKUP(B89,$AD$6:$AF$10,3)</f>
        <v>10.8</v>
      </c>
      <c r="C100" s="61">
        <f t="shared" si="31"/>
        <v>10.8</v>
      </c>
      <c r="D100" s="61">
        <f t="shared" si="31"/>
        <v>10.8</v>
      </c>
      <c r="E100" s="61">
        <f t="shared" si="31"/>
        <v>10.8</v>
      </c>
      <c r="F100" s="61">
        <f t="shared" si="31"/>
        <v>10.8</v>
      </c>
      <c r="G100" s="61">
        <f t="shared" si="31"/>
        <v>14</v>
      </c>
      <c r="H100" s="61">
        <f t="shared" si="31"/>
        <v>12.25</v>
      </c>
      <c r="I100" s="61">
        <f t="shared" si="31"/>
        <v>12.25</v>
      </c>
      <c r="J100" s="61">
        <f t="shared" si="31"/>
        <v>12.25</v>
      </c>
      <c r="K100" s="61">
        <f t="shared" si="31"/>
        <v>12.25</v>
      </c>
      <c r="L100" s="61">
        <f t="shared" si="31"/>
        <v>12.25</v>
      </c>
      <c r="M100" s="61">
        <f t="shared" si="31"/>
        <v>12.25</v>
      </c>
      <c r="N100" s="61">
        <f t="shared" si="31"/>
        <v>12.25</v>
      </c>
      <c r="O100" s="61">
        <f t="shared" si="31"/>
        <v>12.25</v>
      </c>
      <c r="P100" s="61">
        <f t="shared" si="31"/>
        <v>11</v>
      </c>
      <c r="Q100" s="61">
        <f t="shared" si="31"/>
        <v>11</v>
      </c>
      <c r="R100" s="61">
        <f t="shared" si="31"/>
        <v>14</v>
      </c>
      <c r="S100" s="61">
        <f t="shared" si="31"/>
        <v>14</v>
      </c>
      <c r="T100" s="61">
        <f t="shared" si="31"/>
        <v>14</v>
      </c>
      <c r="U100" s="61">
        <f t="shared" si="31"/>
        <v>10.8</v>
      </c>
      <c r="V100" s="61">
        <f t="shared" si="31"/>
        <v>10.8</v>
      </c>
      <c r="W100" s="61">
        <f t="shared" si="31"/>
        <v>10.8</v>
      </c>
      <c r="X100" s="61">
        <f t="shared" si="31"/>
        <v>10.8</v>
      </c>
      <c r="Y100" s="61">
        <f t="shared" si="31"/>
        <v>10.8</v>
      </c>
    </row>
    <row r="101" spans="1:33" x14ac:dyDescent="0.25">
      <c r="A101" s="128" t="str">
        <f>A$17</f>
        <v>Génisses renouvellement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génisses 2/3 ans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tardive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0">(B39*B$3*B99)/1000</f>
        <v>0</v>
      </c>
      <c r="C110" s="61">
        <f t="shared" si="40"/>
        <v>0</v>
      </c>
      <c r="D110" s="61">
        <f t="shared" si="40"/>
        <v>0</v>
      </c>
      <c r="E110" s="61">
        <f t="shared" si="40"/>
        <v>0</v>
      </c>
      <c r="F110" s="61">
        <f t="shared" si="40"/>
        <v>0</v>
      </c>
      <c r="G110" s="61">
        <f t="shared" si="40"/>
        <v>0</v>
      </c>
      <c r="H110" s="61">
        <f t="shared" si="40"/>
        <v>3.3697674418604651</v>
      </c>
      <c r="I110" s="61">
        <f t="shared" si="40"/>
        <v>2.9204651162790696</v>
      </c>
      <c r="J110" s="61">
        <f t="shared" si="40"/>
        <v>1.8571162790697675</v>
      </c>
      <c r="K110" s="61">
        <f t="shared" si="40"/>
        <v>0.92855813953488375</v>
      </c>
      <c r="L110" s="61">
        <f t="shared" si="40"/>
        <v>0.44930232558139532</v>
      </c>
      <c r="M110" s="61">
        <f t="shared" si="40"/>
        <v>0</v>
      </c>
      <c r="N110" s="61">
        <f t="shared" si="40"/>
        <v>0</v>
      </c>
      <c r="O110" s="61">
        <f t="shared" si="40"/>
        <v>0</v>
      </c>
      <c r="P110" s="61">
        <f t="shared" si="40"/>
        <v>0</v>
      </c>
      <c r="Q110" s="61">
        <f t="shared" si="40"/>
        <v>0</v>
      </c>
      <c r="R110" s="61">
        <f t="shared" si="40"/>
        <v>0</v>
      </c>
      <c r="S110" s="61">
        <f t="shared" si="40"/>
        <v>0</v>
      </c>
      <c r="T110" s="61">
        <f t="shared" si="40"/>
        <v>0</v>
      </c>
      <c r="U110" s="61">
        <f t="shared" si="40"/>
        <v>0</v>
      </c>
      <c r="V110" s="61">
        <f t="shared" si="40"/>
        <v>0</v>
      </c>
      <c r="W110" s="61">
        <f t="shared" si="40"/>
        <v>0</v>
      </c>
      <c r="X110" s="61">
        <f t="shared" si="40"/>
        <v>0</v>
      </c>
      <c r="Y110" s="61">
        <f t="shared" si="40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1">(B40*B$3*B100)/1000</f>
        <v>5.372372093023257</v>
      </c>
      <c r="C111" s="61">
        <f t="shared" si="41"/>
        <v>5.9096093023255829</v>
      </c>
      <c r="D111" s="61">
        <f t="shared" si="41"/>
        <v>5.3377116279069776</v>
      </c>
      <c r="E111" s="61">
        <f t="shared" si="41"/>
        <v>5.3377116279069776</v>
      </c>
      <c r="F111" s="61">
        <f t="shared" si="41"/>
        <v>5.9096093023255829</v>
      </c>
      <c r="G111" s="61">
        <f t="shared" si="41"/>
        <v>7.6606046511627923</v>
      </c>
      <c r="H111" s="61">
        <f t="shared" si="41"/>
        <v>3.0075174418604647</v>
      </c>
      <c r="I111" s="61">
        <f t="shared" si="41"/>
        <v>3.341686046511628</v>
      </c>
      <c r="J111" s="61">
        <f t="shared" si="41"/>
        <v>4.3163444767441863</v>
      </c>
      <c r="K111" s="61">
        <f t="shared" si="41"/>
        <v>5.0069595930232556</v>
      </c>
      <c r="L111" s="61">
        <f t="shared" si="41"/>
        <v>5.1796133720930229</v>
      </c>
      <c r="M111" s="61">
        <f t="shared" si="41"/>
        <v>5.5137819767441858</v>
      </c>
      <c r="N111" s="61">
        <f t="shared" si="41"/>
        <v>5.6975747093023257</v>
      </c>
      <c r="O111" s="61">
        <f t="shared" si="41"/>
        <v>5.6975747093023257</v>
      </c>
      <c r="P111" s="61">
        <f t="shared" si="41"/>
        <v>5.1161895348837207</v>
      </c>
      <c r="Q111" s="61">
        <f t="shared" si="41"/>
        <v>4.9611534883720925</v>
      </c>
      <c r="R111" s="61">
        <f t="shared" si="41"/>
        <v>4.0100232558139535</v>
      </c>
      <c r="S111" s="61">
        <f t="shared" si="41"/>
        <v>4.0100232558139535</v>
      </c>
      <c r="T111" s="61">
        <f t="shared" si="41"/>
        <v>4.143690697674419</v>
      </c>
      <c r="U111" s="61">
        <f t="shared" si="41"/>
        <v>3.3487786046511632</v>
      </c>
      <c r="V111" s="61">
        <f t="shared" si="41"/>
        <v>3.2407534883720932</v>
      </c>
      <c r="W111" s="61">
        <f t="shared" si="41"/>
        <v>3.9859534883720937</v>
      </c>
      <c r="X111" s="61">
        <f t="shared" si="41"/>
        <v>4.1188186046511639</v>
      </c>
      <c r="Y111" s="61">
        <f t="shared" si="41"/>
        <v>4.6560558139534889</v>
      </c>
    </row>
    <row r="112" spans="1:33" x14ac:dyDescent="0.25">
      <c r="A112" s="128" t="str">
        <f>A$17</f>
        <v>Génisses renouvellement</v>
      </c>
      <c r="B112" s="61">
        <f t="shared" ref="B112:Y112" si="42">(B41*B$3*B101)/1000</f>
        <v>1.3687941860465116</v>
      </c>
      <c r="C112" s="61">
        <f t="shared" si="42"/>
        <v>1.51968488372093</v>
      </c>
      <c r="D112" s="61">
        <f t="shared" si="42"/>
        <v>1.6451953488372089</v>
      </c>
      <c r="E112" s="61">
        <f t="shared" si="42"/>
        <v>1.8496279069767441</v>
      </c>
      <c r="F112" s="61">
        <f t="shared" si="42"/>
        <v>2.0478023255813946</v>
      </c>
      <c r="G112" s="61">
        <f t="shared" si="42"/>
        <v>2.0478023255813946</v>
      </c>
      <c r="H112" s="61">
        <f t="shared" si="42"/>
        <v>1.9817441860465115</v>
      </c>
      <c r="I112" s="61">
        <f t="shared" si="42"/>
        <v>1.9817441860465115</v>
      </c>
      <c r="J112" s="61">
        <f t="shared" si="42"/>
        <v>2.0478023255813946</v>
      </c>
      <c r="K112" s="61">
        <f t="shared" si="42"/>
        <v>2.0478023255813946</v>
      </c>
      <c r="L112" s="61">
        <f t="shared" si="42"/>
        <v>1.9817441860465115</v>
      </c>
      <c r="M112" s="61">
        <f t="shared" si="42"/>
        <v>1.9817441860465115</v>
      </c>
      <c r="N112" s="61">
        <f t="shared" si="42"/>
        <v>2.0478023255813946</v>
      </c>
      <c r="O112" s="61">
        <f t="shared" si="42"/>
        <v>2.0478023255813946</v>
      </c>
      <c r="P112" s="61">
        <f t="shared" si="42"/>
        <v>2.0478023255813946</v>
      </c>
      <c r="Q112" s="61">
        <f t="shared" si="42"/>
        <v>2.0478023255813946</v>
      </c>
      <c r="R112" s="61">
        <f t="shared" si="42"/>
        <v>1.9087325581395347</v>
      </c>
      <c r="S112" s="61">
        <f t="shared" si="42"/>
        <v>1.9087325581395347</v>
      </c>
      <c r="T112" s="61">
        <f t="shared" si="42"/>
        <v>1.8214662790697671</v>
      </c>
      <c r="U112" s="61">
        <f t="shared" si="42"/>
        <v>1.6705755813953491</v>
      </c>
      <c r="V112" s="61">
        <f t="shared" si="42"/>
        <v>1.4706627906976744</v>
      </c>
      <c r="W112" s="61">
        <f t="shared" si="42"/>
        <v>1.324639534883721</v>
      </c>
      <c r="X112" s="61">
        <f t="shared" si="42"/>
        <v>1.2933488372093025</v>
      </c>
      <c r="Y112" s="61">
        <f t="shared" si="42"/>
        <v>1.2933488372093025</v>
      </c>
    </row>
    <row r="113" spans="1:29" x14ac:dyDescent="0.25">
      <c r="A113" s="127" t="str">
        <f>A$18</f>
        <v>génisses 2/3 ans</v>
      </c>
      <c r="B113" s="61">
        <f t="shared" ref="B113:Y113" si="43">(B42*B$3*B102)/1000</f>
        <v>1.7244651162790696</v>
      </c>
      <c r="C113" s="61">
        <f t="shared" si="43"/>
        <v>1.7244651162790696</v>
      </c>
      <c r="D113" s="61">
        <f t="shared" si="43"/>
        <v>1.5575813953488371</v>
      </c>
      <c r="E113" s="61">
        <f t="shared" si="43"/>
        <v>1.5575813953488371</v>
      </c>
      <c r="F113" s="61">
        <f t="shared" si="43"/>
        <v>1.7244651162790696</v>
      </c>
      <c r="G113" s="61">
        <f t="shared" si="43"/>
        <v>1.7244651162790696</v>
      </c>
      <c r="H113" s="61">
        <f t="shared" si="43"/>
        <v>1.6688372093023256</v>
      </c>
      <c r="I113" s="61">
        <f t="shared" si="43"/>
        <v>1.6688372093023256</v>
      </c>
      <c r="J113" s="61">
        <f t="shared" si="43"/>
        <v>1.7244651162790696</v>
      </c>
      <c r="K113" s="61">
        <f t="shared" si="43"/>
        <v>1.7244651162790696</v>
      </c>
      <c r="L113" s="61">
        <f t="shared" si="43"/>
        <v>1.6688372093023256</v>
      </c>
      <c r="M113" s="61">
        <f t="shared" si="43"/>
        <v>1.6688372093023256</v>
      </c>
      <c r="N113" s="61">
        <f t="shared" si="43"/>
        <v>1.7244651162790696</v>
      </c>
      <c r="O113" s="61">
        <f t="shared" si="43"/>
        <v>1.7244651162790696</v>
      </c>
      <c r="P113" s="61">
        <f t="shared" si="43"/>
        <v>1.7244651162790696</v>
      </c>
      <c r="Q113" s="61">
        <f t="shared" si="43"/>
        <v>1.7244651162790696</v>
      </c>
      <c r="R113" s="61">
        <f t="shared" si="43"/>
        <v>1.6688372093023256</v>
      </c>
      <c r="S113" s="61">
        <f t="shared" si="43"/>
        <v>1.6688372093023256</v>
      </c>
      <c r="T113" s="61">
        <f t="shared" si="43"/>
        <v>1.7244651162790696</v>
      </c>
      <c r="U113" s="61">
        <f t="shared" si="43"/>
        <v>1.7244651162790696</v>
      </c>
      <c r="V113" s="61">
        <f t="shared" si="43"/>
        <v>1.6688372093023256</v>
      </c>
      <c r="W113" s="61">
        <f t="shared" si="43"/>
        <v>1.6688372093023256</v>
      </c>
      <c r="X113" s="61">
        <f t="shared" si="43"/>
        <v>1.7244651162790696</v>
      </c>
      <c r="Y113" s="61">
        <f t="shared" si="43"/>
        <v>1.7244651162790696</v>
      </c>
    </row>
    <row r="114" spans="1:29" x14ac:dyDescent="0.25">
      <c r="A114" s="128" t="str">
        <f>A$19</f>
        <v>tardive</v>
      </c>
      <c r="B114" s="61">
        <f t="shared" ref="B114:Y114" si="44">(B43*B$3*B103)/1000</f>
        <v>0.51796133720930226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1.8379273255813953</v>
      </c>
      <c r="S114" s="61">
        <f t="shared" si="44"/>
        <v>1.8379273255813953</v>
      </c>
      <c r="T114" s="61">
        <f t="shared" si="44"/>
        <v>1.899191569767442</v>
      </c>
      <c r="U114" s="61">
        <f t="shared" si="44"/>
        <v>1.899191569767442</v>
      </c>
      <c r="V114" s="61">
        <f t="shared" si="44"/>
        <v>1.8379273255813953</v>
      </c>
      <c r="W114" s="61">
        <f t="shared" si="44"/>
        <v>1.8379273255813953</v>
      </c>
      <c r="X114" s="61">
        <f t="shared" si="44"/>
        <v>1.899191569767442</v>
      </c>
      <c r="Y114" s="61">
        <f t="shared" si="44"/>
        <v>1.2085764534883721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9</v>
      </c>
      <c r="C120" s="61">
        <f t="shared" ref="C120:Y120" si="50">SUM(C110:C119)</f>
        <v>9.1537593023255823</v>
      </c>
      <c r="D120" s="61">
        <f t="shared" si="50"/>
        <v>8.5404883720930229</v>
      </c>
      <c r="E120" s="61">
        <f t="shared" si="50"/>
        <v>8.7449209302325599</v>
      </c>
      <c r="F120" s="61">
        <f t="shared" si="50"/>
        <v>9.6818767441860469</v>
      </c>
      <c r="G120" s="61">
        <f t="shared" si="50"/>
        <v>11.432872093023256</v>
      </c>
      <c r="H120" s="61">
        <f t="shared" si="50"/>
        <v>10.027866279069766</v>
      </c>
      <c r="I120" s="61">
        <f t="shared" si="50"/>
        <v>9.9127325581395347</v>
      </c>
      <c r="J120" s="61">
        <f t="shared" si="50"/>
        <v>9.9457281976744198</v>
      </c>
      <c r="K120" s="61">
        <f t="shared" si="50"/>
        <v>9.7077851744186034</v>
      </c>
      <c r="L120" s="61">
        <f t="shared" si="50"/>
        <v>9.2794970930232559</v>
      </c>
      <c r="M120" s="61">
        <f t="shared" si="50"/>
        <v>9.1643633720930229</v>
      </c>
      <c r="N120" s="61">
        <f t="shared" si="50"/>
        <v>9.4698421511627906</v>
      </c>
      <c r="O120" s="61">
        <f t="shared" si="50"/>
        <v>9.4698421511627906</v>
      </c>
      <c r="P120" s="61">
        <f t="shared" si="50"/>
        <v>8.8884569767441857</v>
      </c>
      <c r="Q120" s="61">
        <f t="shared" si="50"/>
        <v>8.7334209302325565</v>
      </c>
      <c r="R120" s="61">
        <f t="shared" si="50"/>
        <v>9.4255203488372103</v>
      </c>
      <c r="S120" s="61">
        <f t="shared" si="50"/>
        <v>9.4255203488372103</v>
      </c>
      <c r="T120" s="61">
        <f t="shared" si="50"/>
        <v>9.588813662790697</v>
      </c>
      <c r="U120" s="61">
        <f t="shared" si="50"/>
        <v>8.6430108720930239</v>
      </c>
      <c r="V120" s="61">
        <f t="shared" si="50"/>
        <v>8.218180813953488</v>
      </c>
      <c r="W120" s="61">
        <f t="shared" si="50"/>
        <v>8.8173575581395358</v>
      </c>
      <c r="X120" s="61">
        <f t="shared" si="50"/>
        <v>9.0358241279069773</v>
      </c>
      <c r="Y120" s="61">
        <f t="shared" si="50"/>
        <v>8.8824462209302339</v>
      </c>
      <c r="AA120" s="57">
        <f>SUM(B120:Y120)</f>
        <v>223.1901262790698</v>
      </c>
      <c r="AB120" t="s">
        <v>38</v>
      </c>
      <c r="AC120" t="s">
        <v>206</v>
      </c>
    </row>
    <row r="121" spans="1:29" x14ac:dyDescent="0.25">
      <c r="AA121">
        <f>AA49*4.75</f>
        <v>236.09433139534883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>
        <v>1</v>
      </c>
      <c r="I123" s="158">
        <v>1</v>
      </c>
      <c r="J123" s="158">
        <v>1</v>
      </c>
      <c r="K123" s="158">
        <v>1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0.5</v>
      </c>
      <c r="L125" s="60">
        <v>0.5</v>
      </c>
      <c r="M125" s="60">
        <v>0.5</v>
      </c>
      <c r="N125" s="60">
        <v>0.5</v>
      </c>
      <c r="O125" s="60">
        <v>0.5</v>
      </c>
      <c r="P125" s="60">
        <v>0.5</v>
      </c>
      <c r="Q125" s="60">
        <v>0.5</v>
      </c>
      <c r="R125" s="60">
        <v>0.5</v>
      </c>
      <c r="S125" s="60">
        <v>0.5</v>
      </c>
      <c r="T125" s="60">
        <v>0.5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>
        <v>1</v>
      </c>
      <c r="S127" s="60">
        <v>1</v>
      </c>
      <c r="T127" s="60">
        <v>1</v>
      </c>
      <c r="U127" s="60">
        <v>1</v>
      </c>
      <c r="V127" s="60">
        <v>1</v>
      </c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1">C110*(1-C123)</f>
        <v>0</v>
      </c>
      <c r="D136" s="61">
        <f t="shared" si="51"/>
        <v>0</v>
      </c>
      <c r="E136" s="61">
        <f t="shared" si="51"/>
        <v>0</v>
      </c>
      <c r="F136" s="61">
        <f t="shared" si="51"/>
        <v>0</v>
      </c>
      <c r="G136" s="61">
        <f t="shared" si="51"/>
        <v>0</v>
      </c>
      <c r="H136" s="61">
        <f t="shared" si="51"/>
        <v>0</v>
      </c>
      <c r="I136" s="61">
        <f t="shared" si="51"/>
        <v>0</v>
      </c>
      <c r="J136" s="61">
        <f t="shared" si="51"/>
        <v>0</v>
      </c>
      <c r="K136" s="61">
        <f t="shared" si="51"/>
        <v>0</v>
      </c>
      <c r="L136" s="61">
        <f t="shared" si="51"/>
        <v>0.44930232558139532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0</v>
      </c>
      <c r="V136" s="61">
        <f t="shared" si="51"/>
        <v>0</v>
      </c>
      <c r="W136" s="61">
        <f t="shared" si="51"/>
        <v>0</v>
      </c>
      <c r="X136" s="61">
        <f t="shared" si="51"/>
        <v>0</v>
      </c>
      <c r="Y136" s="61">
        <f t="shared" si="51"/>
        <v>0</v>
      </c>
      <c r="AA136" s="61">
        <f>SUM(B136:Y136)</f>
        <v>0.44930232558139532</v>
      </c>
    </row>
    <row r="137" spans="1:31" x14ac:dyDescent="0.25">
      <c r="A137" s="128" t="str">
        <f>A$16</f>
        <v xml:space="preserve">Vaches lot principal </v>
      </c>
      <c r="B137" s="61">
        <f t="shared" ref="B137:Y144" si="52">B111*(1-B124)</f>
        <v>5.372372093023257</v>
      </c>
      <c r="C137" s="61">
        <f t="shared" si="52"/>
        <v>5.9096093023255829</v>
      </c>
      <c r="D137" s="61">
        <f t="shared" si="52"/>
        <v>5.3377116279069776</v>
      </c>
      <c r="E137" s="61">
        <f t="shared" si="52"/>
        <v>5.3377116279069776</v>
      </c>
      <c r="F137" s="61">
        <f t="shared" si="52"/>
        <v>5.9096093023255829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3.3487786046511632</v>
      </c>
      <c r="V137" s="61">
        <f t="shared" si="52"/>
        <v>3.2407534883720932</v>
      </c>
      <c r="W137" s="61">
        <f t="shared" si="52"/>
        <v>3.9859534883720937</v>
      </c>
      <c r="X137" s="61">
        <f t="shared" si="52"/>
        <v>4.1188186046511639</v>
      </c>
      <c r="Y137" s="61">
        <f t="shared" si="52"/>
        <v>4.6560558139534889</v>
      </c>
      <c r="AA137" s="61">
        <f>SUM(B137:Y137)</f>
        <v>47.217373953488377</v>
      </c>
    </row>
    <row r="138" spans="1:31" x14ac:dyDescent="0.25">
      <c r="A138" s="128" t="str">
        <f>A$17</f>
        <v>Génisses renouvellement</v>
      </c>
      <c r="B138" s="61">
        <f t="shared" si="52"/>
        <v>1.3687941860465116</v>
      </c>
      <c r="C138" s="61">
        <f t="shared" si="52"/>
        <v>1.51968488372093</v>
      </c>
      <c r="D138" s="61">
        <f t="shared" si="52"/>
        <v>1.6451953488372089</v>
      </c>
      <c r="E138" s="61">
        <f t="shared" si="52"/>
        <v>1.8496279069767441</v>
      </c>
      <c r="F138" s="61">
        <f t="shared" si="52"/>
        <v>2.0478023255813946</v>
      </c>
      <c r="G138" s="61">
        <f t="shared" si="52"/>
        <v>2.0478023255813946</v>
      </c>
      <c r="H138" s="61">
        <f t="shared" si="52"/>
        <v>1.9817441860465115</v>
      </c>
      <c r="I138" s="61">
        <f t="shared" si="52"/>
        <v>1.9817441860465115</v>
      </c>
      <c r="J138" s="61">
        <f t="shared" si="52"/>
        <v>2.0478023255813946</v>
      </c>
      <c r="K138" s="61">
        <f t="shared" si="52"/>
        <v>1.0239011627906973</v>
      </c>
      <c r="L138" s="61">
        <f t="shared" si="52"/>
        <v>0.99087209302325574</v>
      </c>
      <c r="M138" s="61">
        <f t="shared" si="52"/>
        <v>0.99087209302325574</v>
      </c>
      <c r="N138" s="61">
        <f t="shared" si="52"/>
        <v>1.0239011627906973</v>
      </c>
      <c r="O138" s="61">
        <f t="shared" si="52"/>
        <v>1.0239011627906973</v>
      </c>
      <c r="P138" s="61">
        <f t="shared" si="52"/>
        <v>1.0239011627906973</v>
      </c>
      <c r="Q138" s="61">
        <f t="shared" si="52"/>
        <v>1.0239011627906973</v>
      </c>
      <c r="R138" s="61">
        <f t="shared" si="52"/>
        <v>0.95436627906976734</v>
      </c>
      <c r="S138" s="61">
        <f t="shared" si="52"/>
        <v>0.95436627906976734</v>
      </c>
      <c r="T138" s="61">
        <f t="shared" si="52"/>
        <v>0.91073313953488355</v>
      </c>
      <c r="U138" s="61">
        <f t="shared" si="52"/>
        <v>1.6705755813953491</v>
      </c>
      <c r="V138" s="61">
        <f t="shared" si="52"/>
        <v>1.4706627906976744</v>
      </c>
      <c r="W138" s="61">
        <f t="shared" si="52"/>
        <v>1.324639534883721</v>
      </c>
      <c r="X138" s="61">
        <f t="shared" si="52"/>
        <v>1.2933488372093025</v>
      </c>
      <c r="Y138" s="61">
        <f t="shared" si="52"/>
        <v>1.2933488372093025</v>
      </c>
      <c r="AA138" s="61">
        <f t="shared" ref="AA138:AA144" si="53">SUM(B138:Y138)</f>
        <v>33.463488953488365</v>
      </c>
    </row>
    <row r="139" spans="1:31" x14ac:dyDescent="0.25">
      <c r="A139" s="127" t="str">
        <f>A$18</f>
        <v>génisses 2/3 ans</v>
      </c>
      <c r="B139" s="61">
        <f t="shared" si="52"/>
        <v>1.7244651162790696</v>
      </c>
      <c r="C139" s="61">
        <f t="shared" si="52"/>
        <v>1.7244651162790696</v>
      </c>
      <c r="D139" s="61">
        <f t="shared" si="52"/>
        <v>1.5575813953488371</v>
      </c>
      <c r="E139" s="61">
        <f t="shared" si="52"/>
        <v>1.5575813953488371</v>
      </c>
      <c r="F139" s="61">
        <f t="shared" si="52"/>
        <v>1.7244651162790696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1.7244651162790696</v>
      </c>
      <c r="U139" s="61">
        <f t="shared" si="52"/>
        <v>1.7244651162790696</v>
      </c>
      <c r="V139" s="61">
        <f t="shared" si="52"/>
        <v>1.6688372093023256</v>
      </c>
      <c r="W139" s="61">
        <f t="shared" si="52"/>
        <v>1.6688372093023256</v>
      </c>
      <c r="X139" s="61">
        <f t="shared" si="52"/>
        <v>1.7244651162790696</v>
      </c>
      <c r="Y139" s="61">
        <f t="shared" si="52"/>
        <v>1.7244651162790696</v>
      </c>
      <c r="AA139" s="61">
        <f t="shared" si="53"/>
        <v>18.524093023255816</v>
      </c>
    </row>
    <row r="140" spans="1:31" x14ac:dyDescent="0.25">
      <c r="A140" s="128" t="str">
        <f>A$19</f>
        <v>tardive</v>
      </c>
      <c r="B140" s="61">
        <f t="shared" si="52"/>
        <v>0.51796133720930226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1.8379273255813953</v>
      </c>
      <c r="X140" s="61">
        <f t="shared" si="52"/>
        <v>1.899191569767442</v>
      </c>
      <c r="Y140" s="61">
        <f t="shared" si="52"/>
        <v>1.2085764534883721</v>
      </c>
      <c r="AA140" s="61">
        <f t="shared" si="53"/>
        <v>5.4636566860465114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105.11791494186046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115.62970643604652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3.3697674418604651</v>
      </c>
      <c r="I149" s="61">
        <f t="shared" si="55"/>
        <v>2.9204651162790696</v>
      </c>
      <c r="J149" s="61">
        <f t="shared" si="55"/>
        <v>1.8571162790697675</v>
      </c>
      <c r="K149" s="61">
        <f t="shared" si="55"/>
        <v>0.92855813953488375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7.6606046511627923</v>
      </c>
      <c r="H150" s="61">
        <f t="shared" si="56"/>
        <v>3.0075174418604647</v>
      </c>
      <c r="I150" s="61">
        <f t="shared" si="56"/>
        <v>3.341686046511628</v>
      </c>
      <c r="J150" s="61">
        <f t="shared" si="56"/>
        <v>4.3163444767441863</v>
      </c>
      <c r="K150" s="61">
        <f t="shared" si="56"/>
        <v>5.0069595930232556</v>
      </c>
      <c r="L150" s="61">
        <f t="shared" si="56"/>
        <v>5.1796133720930229</v>
      </c>
      <c r="M150" s="61">
        <f t="shared" si="56"/>
        <v>5.5137819767441858</v>
      </c>
      <c r="N150" s="61">
        <f t="shared" si="56"/>
        <v>5.6975747093023257</v>
      </c>
      <c r="O150" s="61">
        <f t="shared" si="56"/>
        <v>5.6975747093023257</v>
      </c>
      <c r="P150" s="61">
        <f t="shared" si="56"/>
        <v>5.1161895348837207</v>
      </c>
      <c r="Q150" s="61">
        <f t="shared" si="56"/>
        <v>4.9611534883720925</v>
      </c>
      <c r="R150" s="61">
        <f t="shared" si="56"/>
        <v>4.0100232558139535</v>
      </c>
      <c r="S150" s="61">
        <f t="shared" si="56"/>
        <v>4.0100232558139535</v>
      </c>
      <c r="T150" s="61">
        <f t="shared" si="56"/>
        <v>4.143690697674419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renouvellement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1.0239011627906973</v>
      </c>
      <c r="L151" s="61">
        <f t="shared" si="57"/>
        <v>0.99087209302325574</v>
      </c>
      <c r="M151" s="61">
        <f t="shared" si="57"/>
        <v>0.99087209302325574</v>
      </c>
      <c r="N151" s="61">
        <f t="shared" si="57"/>
        <v>1.0239011627906973</v>
      </c>
      <c r="O151" s="61">
        <f t="shared" si="57"/>
        <v>1.0239011627906973</v>
      </c>
      <c r="P151" s="61">
        <f t="shared" si="57"/>
        <v>1.0239011627906973</v>
      </c>
      <c r="Q151" s="61">
        <f t="shared" si="57"/>
        <v>1.0239011627906973</v>
      </c>
      <c r="R151" s="61">
        <f t="shared" si="57"/>
        <v>0.95436627906976734</v>
      </c>
      <c r="S151" s="61">
        <f t="shared" si="57"/>
        <v>0.95436627906976734</v>
      </c>
      <c r="T151" s="61">
        <f t="shared" si="57"/>
        <v>0.91073313953488355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2/3 ans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1.7244651162790696</v>
      </c>
      <c r="H152" s="61">
        <f t="shared" si="58"/>
        <v>1.6688372093023256</v>
      </c>
      <c r="I152" s="61">
        <f t="shared" si="58"/>
        <v>1.6688372093023256</v>
      </c>
      <c r="J152" s="61">
        <f t="shared" si="58"/>
        <v>1.7244651162790696</v>
      </c>
      <c r="K152" s="61">
        <f t="shared" si="58"/>
        <v>1.7244651162790696</v>
      </c>
      <c r="L152" s="61">
        <f t="shared" si="58"/>
        <v>1.6688372093023256</v>
      </c>
      <c r="M152" s="61">
        <f t="shared" si="58"/>
        <v>1.6688372093023256</v>
      </c>
      <c r="N152" s="61">
        <f t="shared" si="58"/>
        <v>1.7244651162790696</v>
      </c>
      <c r="O152" s="61">
        <f t="shared" si="58"/>
        <v>1.7244651162790696</v>
      </c>
      <c r="P152" s="61">
        <f t="shared" si="58"/>
        <v>1.7244651162790696</v>
      </c>
      <c r="Q152" s="61">
        <f t="shared" si="58"/>
        <v>1.7244651162790696</v>
      </c>
      <c r="R152" s="61">
        <f t="shared" si="58"/>
        <v>1.6688372093023256</v>
      </c>
      <c r="S152" s="61">
        <f t="shared" si="58"/>
        <v>1.6688372093023256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tardive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1.8379273255813953</v>
      </c>
      <c r="S153" s="61">
        <f t="shared" si="59"/>
        <v>1.8379273255813953</v>
      </c>
      <c r="T153" s="61">
        <f t="shared" si="59"/>
        <v>1.899191569767442</v>
      </c>
      <c r="U153" s="61">
        <f t="shared" si="59"/>
        <v>1.899191569767442</v>
      </c>
      <c r="V153" s="61">
        <f t="shared" si="59"/>
        <v>1.8379273255813953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118.05580406976735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3.3697674418604651</v>
      </c>
      <c r="I162" s="61">
        <f t="shared" si="65"/>
        <v>2.9204651162790696</v>
      </c>
      <c r="J162" s="61">
        <f t="shared" si="65"/>
        <v>1.8571162790697675</v>
      </c>
      <c r="K162" s="61">
        <f t="shared" si="65"/>
        <v>0.92855813953488375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4.143690697674419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renouvellement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1.0239011627906973</v>
      </c>
      <c r="L164" s="61">
        <f t="shared" si="67"/>
        <v>0.99087209302325574</v>
      </c>
      <c r="M164" s="61">
        <f t="shared" si="67"/>
        <v>0.99087209302325574</v>
      </c>
      <c r="N164" s="61">
        <f t="shared" si="67"/>
        <v>1.0239011627906973</v>
      </c>
      <c r="O164" s="61">
        <f t="shared" si="67"/>
        <v>1.0239011627906973</v>
      </c>
      <c r="P164" s="61">
        <f t="shared" si="67"/>
        <v>1.0239011627906973</v>
      </c>
      <c r="Q164" s="61">
        <f t="shared" si="67"/>
        <v>1.0239011627906973</v>
      </c>
      <c r="R164" s="61">
        <f t="shared" si="67"/>
        <v>0.95436627906976734</v>
      </c>
      <c r="S164" s="61">
        <f t="shared" si="67"/>
        <v>0.95436627906976734</v>
      </c>
      <c r="T164" s="61">
        <f t="shared" si="67"/>
        <v>0.91073313953488355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2/3 ans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1.7244651162790696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tardive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1.899191569767442</v>
      </c>
      <c r="V166" s="61">
        <f t="shared" si="69"/>
        <v>1.8379273255813953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1.7244651162790696</v>
      </c>
      <c r="H172" s="61">
        <f t="shared" si="75"/>
        <v>3.3697674418604651</v>
      </c>
      <c r="I172" s="61">
        <f t="shared" si="75"/>
        <v>2.9204651162790696</v>
      </c>
      <c r="J172" s="61">
        <f t="shared" si="75"/>
        <v>1.8571162790697675</v>
      </c>
      <c r="K172" s="61">
        <f t="shared" si="75"/>
        <v>1.9524593023255812</v>
      </c>
      <c r="L172" s="61">
        <f t="shared" si="75"/>
        <v>0.99087209302325574</v>
      </c>
      <c r="M172" s="61">
        <f t="shared" si="75"/>
        <v>0.99087209302325574</v>
      </c>
      <c r="N172" s="61">
        <f t="shared" si="75"/>
        <v>1.0239011627906973</v>
      </c>
      <c r="O172" s="61">
        <f t="shared" si="75"/>
        <v>1.0239011627906973</v>
      </c>
      <c r="P172" s="61">
        <f t="shared" si="75"/>
        <v>1.0239011627906973</v>
      </c>
      <c r="Q172" s="61">
        <f t="shared" si="75"/>
        <v>1.0239011627906973</v>
      </c>
      <c r="R172" s="61">
        <f t="shared" si="75"/>
        <v>0.95436627906976734</v>
      </c>
      <c r="S172" s="61">
        <f t="shared" si="75"/>
        <v>0.95436627906976734</v>
      </c>
      <c r="T172" s="61">
        <f t="shared" si="75"/>
        <v>5.0544238372093027</v>
      </c>
      <c r="U172" s="61">
        <f t="shared" si="75"/>
        <v>1.899191569767442</v>
      </c>
      <c r="V172" s="61">
        <f t="shared" si="75"/>
        <v>1.8379273255813953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28.601897383720924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7.6606046511627923</v>
      </c>
      <c r="H176" s="61">
        <f t="shared" si="77"/>
        <v>3.0075174418604647</v>
      </c>
      <c r="I176" s="61">
        <f t="shared" si="77"/>
        <v>3.341686046511628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renouvellement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2/3 ans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1.6688372093023256</v>
      </c>
      <c r="I178" s="61">
        <f t="shared" si="79"/>
        <v>1.6688372093023256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tardive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1.8379273255813953</v>
      </c>
      <c r="S179" s="61">
        <f t="shared" si="80"/>
        <v>1.8379273255813953</v>
      </c>
      <c r="T179" s="61">
        <f t="shared" si="80"/>
        <v>1.899191569767442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7.6606046511627923</v>
      </c>
      <c r="H185" s="61">
        <f>SUM(CdTrp1!H175:H184)</f>
        <v>4.6763546511627903</v>
      </c>
      <c r="I185" s="61">
        <f>SUM(CdTrp1!I175:I184)</f>
        <v>5.0105232558139541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1.8379273255813953</v>
      </c>
      <c r="S185" s="61">
        <f>SUM(CdTrp1!S175:S184)</f>
        <v>1.8379273255813953</v>
      </c>
      <c r="T185" s="61">
        <f>SUM(CdTrp1!T175:T184)</f>
        <v>1.899191569767442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22.922528779069768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renouvellement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2/3 ans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tardive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4.3163444767441863</v>
      </c>
      <c r="K202" s="61">
        <f t="shared" si="98"/>
        <v>5.0069595930232556</v>
      </c>
      <c r="L202" s="61">
        <f t="shared" si="98"/>
        <v>5.1796133720930229</v>
      </c>
      <c r="M202" s="61">
        <f t="shared" si="98"/>
        <v>5.5137819767441858</v>
      </c>
      <c r="N202" s="61">
        <f t="shared" si="98"/>
        <v>5.6975747093023257</v>
      </c>
      <c r="O202" s="61">
        <f t="shared" si="98"/>
        <v>5.6975747093023257</v>
      </c>
      <c r="P202" s="61">
        <f t="shared" si="98"/>
        <v>5.1161895348837207</v>
      </c>
      <c r="Q202" s="61">
        <f t="shared" si="98"/>
        <v>4.9611534883720925</v>
      </c>
      <c r="R202" s="61">
        <f t="shared" si="98"/>
        <v>4.0100232558139535</v>
      </c>
      <c r="S202" s="61">
        <f t="shared" si="98"/>
        <v>4.0100232558139535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renouvellement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2/3 ans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1.7244651162790696</v>
      </c>
      <c r="K204" s="61">
        <f t="shared" si="100"/>
        <v>1.7244651162790696</v>
      </c>
      <c r="L204" s="61">
        <f t="shared" si="100"/>
        <v>1.6688372093023256</v>
      </c>
      <c r="M204" s="61">
        <f t="shared" si="100"/>
        <v>1.6688372093023256</v>
      </c>
      <c r="N204" s="61">
        <f t="shared" si="100"/>
        <v>1.7244651162790696</v>
      </c>
      <c r="O204" s="61">
        <f t="shared" si="100"/>
        <v>1.7244651162790696</v>
      </c>
      <c r="P204" s="61">
        <f t="shared" si="100"/>
        <v>1.7244651162790696</v>
      </c>
      <c r="Q204" s="61">
        <f t="shared" si="100"/>
        <v>1.7244651162790696</v>
      </c>
      <c r="R204" s="61">
        <f t="shared" si="100"/>
        <v>1.6688372093023256</v>
      </c>
      <c r="S204" s="61">
        <f t="shared" si="100"/>
        <v>1.6688372093023256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tardive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6.0408095930232557</v>
      </c>
      <c r="K211" s="61">
        <f t="shared" si="107"/>
        <v>6.7314247093023249</v>
      </c>
      <c r="L211" s="61">
        <f t="shared" si="107"/>
        <v>6.8484505813953485</v>
      </c>
      <c r="M211" s="61">
        <f t="shared" si="107"/>
        <v>7.1826191860465114</v>
      </c>
      <c r="N211" s="61">
        <f t="shared" si="107"/>
        <v>7.4220398255813951</v>
      </c>
      <c r="O211" s="61">
        <f t="shared" si="107"/>
        <v>7.4220398255813951</v>
      </c>
      <c r="P211" s="61">
        <f t="shared" si="107"/>
        <v>6.8406546511627901</v>
      </c>
      <c r="Q211" s="61">
        <f t="shared" si="107"/>
        <v>6.6856186046511619</v>
      </c>
      <c r="R211" s="61">
        <f t="shared" si="107"/>
        <v>5.6788604651162791</v>
      </c>
      <c r="S211" s="61">
        <f t="shared" si="107"/>
        <v>5.6788604651162791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66.531377906976729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1.7244651162790696</v>
      </c>
      <c r="H215" s="61">
        <f t="shared" si="108"/>
        <v>3.3697674418604651</v>
      </c>
      <c r="I215" s="61">
        <f t="shared" si="108"/>
        <v>2.9204651162790696</v>
      </c>
      <c r="J215" s="61">
        <f t="shared" si="108"/>
        <v>1.8571162790697675</v>
      </c>
      <c r="K215" s="61">
        <f t="shared" si="108"/>
        <v>1.9524593023255812</v>
      </c>
      <c r="L215" s="61">
        <f t="shared" si="108"/>
        <v>0.99087209302325574</v>
      </c>
      <c r="M215" s="61">
        <f t="shared" si="108"/>
        <v>0.99087209302325574</v>
      </c>
      <c r="N215" s="61">
        <f t="shared" si="108"/>
        <v>1.0239011627906973</v>
      </c>
      <c r="O215" s="61">
        <f t="shared" si="108"/>
        <v>1.0239011627906973</v>
      </c>
      <c r="P215" s="61">
        <f t="shared" si="108"/>
        <v>1.0239011627906973</v>
      </c>
      <c r="Q215" s="61">
        <f t="shared" si="108"/>
        <v>1.0239011627906973</v>
      </c>
      <c r="R215" s="61">
        <f t="shared" si="108"/>
        <v>0.95436627906976734</v>
      </c>
      <c r="S215" s="61">
        <f t="shared" si="108"/>
        <v>0.95436627906976734</v>
      </c>
      <c r="T215" s="61">
        <f t="shared" si="108"/>
        <v>5.0544238372093027</v>
      </c>
      <c r="U215" s="61">
        <f t="shared" si="108"/>
        <v>1.899191569767442</v>
      </c>
      <c r="V215" s="61">
        <f t="shared" si="108"/>
        <v>1.8379273255813953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7.6606046511627923</v>
      </c>
      <c r="H216" s="61">
        <f t="shared" si="109"/>
        <v>4.6763546511627903</v>
      </c>
      <c r="I216" s="61">
        <f t="shared" si="109"/>
        <v>5.0105232558139541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1.8379273255813953</v>
      </c>
      <c r="S216" s="61">
        <f t="shared" si="109"/>
        <v>1.8379273255813953</v>
      </c>
      <c r="T216" s="61">
        <f t="shared" si="109"/>
        <v>1.899191569767442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6.0408095930232557</v>
      </c>
      <c r="K218" s="61">
        <f t="shared" si="111"/>
        <v>6.7314247093023249</v>
      </c>
      <c r="L218" s="61">
        <f t="shared" si="111"/>
        <v>6.8484505813953485</v>
      </c>
      <c r="M218" s="61">
        <f t="shared" si="111"/>
        <v>7.1826191860465114</v>
      </c>
      <c r="N218" s="61">
        <f t="shared" si="111"/>
        <v>7.4220398255813951</v>
      </c>
      <c r="O218" s="61">
        <f t="shared" si="111"/>
        <v>7.4220398255813951</v>
      </c>
      <c r="P218" s="61">
        <f t="shared" si="111"/>
        <v>6.8406546511627901</v>
      </c>
      <c r="Q218" s="61">
        <f t="shared" si="111"/>
        <v>6.6856186046511619</v>
      </c>
      <c r="R218" s="61">
        <f t="shared" si="111"/>
        <v>5.6788604651162791</v>
      </c>
      <c r="S218" s="61">
        <f t="shared" si="111"/>
        <v>5.6788604651162791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118.05580406976743</v>
      </c>
      <c r="AB219" t="s">
        <v>222</v>
      </c>
    </row>
    <row r="220" spans="1:28" x14ac:dyDescent="0.25">
      <c r="AA220" s="30">
        <f>SUM(B215:Y217)</f>
        <v>51.524426162790689</v>
      </c>
      <c r="AB220" t="s">
        <v>223</v>
      </c>
    </row>
    <row r="221" spans="1:28" x14ac:dyDescent="0.25">
      <c r="AA221" s="30">
        <f>SUM(B218:Y218)</f>
        <v>66.531377906976729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2023-01-17T13:26:05Z</dcterms:modified>
</cp:coreProperties>
</file>