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19200" windowHeight="7515" tabRatio="734" activeTab="7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40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5" i="29" l="1"/>
  <c r="BK13" i="29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E26" i="29" s="1"/>
  <c r="BF26" i="29" s="1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K25" i="29"/>
  <c r="AH22" i="29"/>
  <c r="AE22" i="29"/>
  <c r="AD22" i="29"/>
  <c r="AD20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AL207" i="32"/>
  <c r="D210" i="32" s="1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P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J90" i="32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V263" i="31"/>
  <c r="J46" i="31" s="1"/>
  <c r="C210" i="32" s="1"/>
  <c r="T246" i="31"/>
  <c r="B166" i="31" s="1"/>
  <c r="T245" i="31"/>
  <c r="X245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B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BQ29" i="30"/>
  <c r="BG29" i="30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M20" i="30"/>
  <c r="BK20" i="30"/>
  <c r="BJ20" i="30"/>
  <c r="BI20" i="30"/>
  <c r="BI76" i="30" s="1"/>
  <c r="BG20" i="30"/>
  <c r="BF20" i="30"/>
  <c r="BF65" i="30" s="1"/>
  <c r="BE20" i="30"/>
  <c r="BC20" i="30"/>
  <c r="BB20" i="30"/>
  <c r="BA20" i="30"/>
  <c r="BA76" i="30" s="1"/>
  <c r="AY20" i="30"/>
  <c r="AX20" i="30"/>
  <c r="AX65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AK21" i="29"/>
  <c r="AK20" i="29"/>
  <c r="AF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AJ8" i="29"/>
  <c r="B81" i="30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223" i="32" l="1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L110" i="31"/>
  <c r="C189" i="32"/>
  <c r="D189" i="32" s="1"/>
  <c r="AK189" i="32" s="1"/>
  <c r="AO189" i="32" s="1"/>
  <c r="J141" i="31"/>
  <c r="C219" i="32" s="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Z201" i="29"/>
  <c r="Z212" i="29" s="1"/>
  <c r="F69" i="30"/>
  <c r="B109" i="30" s="1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R100" i="30" s="1"/>
  <c r="BR101" i="30" s="1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AF22" i="29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J167" i="31"/>
  <c r="C235" i="32" s="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BG76" i="30"/>
  <c r="BG65" i="30"/>
  <c r="BO76" i="30"/>
  <c r="BO65" i="30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F81" i="30"/>
  <c r="B114" i="30" s="1"/>
  <c r="F76" i="30"/>
  <c r="N15" i="29"/>
  <c r="Y15" i="29"/>
  <c r="C183" i="32"/>
  <c r="C185" i="32" s="1"/>
  <c r="D185" i="32" s="1"/>
  <c r="T234" i="31"/>
  <c r="T272" i="31" s="1"/>
  <c r="D25" i="29"/>
  <c r="L25" i="29"/>
  <c r="T25" i="29"/>
  <c r="J26" i="29"/>
  <c r="J30" i="29" s="1"/>
  <c r="R26" i="29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F75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BE76" i="30"/>
  <c r="BE65" i="30"/>
  <c r="BM76" i="30"/>
  <c r="BM65" i="30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F77" i="30"/>
  <c r="BB77" i="30"/>
  <c r="CO77" i="30"/>
  <c r="DY77" i="30"/>
  <c r="CD78" i="30"/>
  <c r="DN78" i="30"/>
  <c r="BL79" i="30"/>
  <c r="CY79" i="30"/>
  <c r="BA80" i="30"/>
  <c r="CN80" i="30"/>
  <c r="DX80" i="30"/>
  <c r="B83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K76" i="30"/>
  <c r="BK65" i="30"/>
  <c r="BS76" i="30"/>
  <c r="BS65" i="30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76" i="30"/>
  <c r="BJ65" i="30"/>
  <c r="BJ76" i="30"/>
  <c r="BR65" i="30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76" i="30"/>
  <c r="BL65" i="30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29" i="30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CY161" i="32"/>
  <c r="CY162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E201" i="29" l="1"/>
  <c r="E212" i="29" s="1"/>
  <c r="M201" i="29"/>
  <c r="M212" i="29" s="1"/>
  <c r="D225" i="32"/>
  <c r="D187" i="32"/>
  <c r="AJ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F83" i="30"/>
  <c r="F84" i="30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193" i="32"/>
  <c r="D193" i="32" s="1"/>
  <c r="C277" i="32"/>
  <c r="D277" i="32" s="1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C278" i="32"/>
  <c r="B113" i="30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N218" i="32"/>
  <c r="AK226" i="32"/>
  <c r="AO226" i="32" s="1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X272" i="31"/>
  <c r="X234" i="3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O192" i="32" l="1"/>
  <c r="D251" i="32"/>
  <c r="AJ186" i="28"/>
  <c r="AI186" i="28"/>
  <c r="AJ186" i="31"/>
  <c r="AI186" i="31"/>
  <c r="X237" i="31"/>
  <c r="C243" i="32" s="1"/>
  <c r="C307" i="32"/>
  <c r="BO85" i="30"/>
  <c r="AH164" i="31"/>
  <c r="F203" i="29"/>
  <c r="AI164" i="28"/>
  <c r="AI228" i="28" s="1"/>
  <c r="AJ193" i="31"/>
  <c r="AJ228" i="31" s="1"/>
  <c r="C134" i="31" s="1"/>
  <c r="J134" i="31" s="1"/>
  <c r="AI164" i="31"/>
  <c r="AI228" i="31" s="1"/>
  <c r="C133" i="31" s="1"/>
  <c r="J133" i="31" s="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BO86" i="30"/>
  <c r="BO87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J142" i="31"/>
  <c r="C220" i="32" s="1"/>
  <c r="C275" i="32"/>
  <c r="D191" i="32"/>
  <c r="C95" i="32"/>
  <c r="J39" i="31"/>
  <c r="C204" i="32" s="1"/>
  <c r="C94" i="32"/>
  <c r="B40" i="31"/>
  <c r="J40" i="31" s="1"/>
  <c r="C205" i="32" s="1"/>
  <c r="D278" i="32"/>
  <c r="C293" i="32"/>
  <c r="C291" i="32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B125" i="30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192" i="32"/>
  <c r="C276" i="32" s="1"/>
  <c r="B115" i="30"/>
  <c r="B126" i="30" s="1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X248" i="31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D243" i="32" l="1"/>
  <c r="C71" i="32"/>
  <c r="C74" i="32" s="1"/>
  <c r="K48" i="28"/>
  <c r="B154" i="31" s="1"/>
  <c r="AA237" i="31"/>
  <c r="C244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N102" i="30" s="1"/>
  <c r="Y9" i="30" s="1"/>
  <c r="BL86" i="30"/>
  <c r="BL87" i="30"/>
  <c r="AY86" i="30"/>
  <c r="AY87" i="30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B155" i="31"/>
  <c r="I155" i="31" s="1"/>
  <c r="J154" i="31"/>
  <c r="C227" i="32" s="1"/>
  <c r="B149" i="31"/>
  <c r="J149" i="31" s="1"/>
  <c r="C87" i="32"/>
  <c r="W155" i="31"/>
  <c r="Y155" i="31" s="1"/>
  <c r="Z155" i="31" s="1"/>
  <c r="B160" i="31" s="1"/>
  <c r="J160" i="31" s="1"/>
  <c r="C232" i="32" s="1"/>
  <c r="O253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C290" i="32"/>
  <c r="D275" i="32"/>
  <c r="F52" i="30"/>
  <c r="C264" i="32" s="1"/>
  <c r="C97" i="32"/>
  <c r="F57" i="30"/>
  <c r="C269" i="32" s="1"/>
  <c r="D293" i="32"/>
  <c r="D291" i="32"/>
  <c r="AA24" i="18"/>
  <c r="AB237" i="31" l="1"/>
  <c r="AC237" i="31" s="1"/>
  <c r="AF237" i="31" s="1"/>
  <c r="B178" i="31" s="1"/>
  <c r="C240" i="32" s="1"/>
  <c r="AY102" i="30"/>
  <c r="J9" i="30" s="1"/>
  <c r="CI102" i="30"/>
  <c r="N10" i="30" s="1"/>
  <c r="BA102" i="30"/>
  <c r="L9" i="30" s="1"/>
  <c r="BC102" i="30"/>
  <c r="N9" i="30" s="1"/>
  <c r="CQ102" i="30"/>
  <c r="V10" i="30" s="1"/>
  <c r="D244" i="32"/>
  <c r="CL102" i="30"/>
  <c r="Q10" i="30" s="1"/>
  <c r="CE102" i="30"/>
  <c r="J10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222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J13" i="30" l="1"/>
  <c r="N13" i="30"/>
  <c r="V13" i="30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V265" i="31" l="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219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J170" i="3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G18" i="22" l="1"/>
  <c r="G19" i="22"/>
  <c r="V264" i="3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C236" i="32"/>
  <c r="O258" i="32"/>
  <c r="EA77" i="32"/>
  <c r="DS80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19" i="22" l="1"/>
  <c r="CC75" i="32"/>
  <c r="CC132" i="32" s="1"/>
  <c r="CG75" i="32"/>
  <c r="BQ77" i="32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BQ134" i="32"/>
  <c r="BQ123" i="32"/>
  <c r="BQ169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D122" i="32" l="1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185" i="24" l="1"/>
  <c r="AA172" i="24"/>
  <c r="AA219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AK26" i="29" s="1"/>
  <c r="C184" i="32" s="1"/>
  <c r="D184" i="32" s="1"/>
  <c r="D183" i="32" s="1"/>
  <c r="AJ216" i="32" s="1"/>
  <c r="AN216" i="32" s="1"/>
  <c r="D220" i="32" s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92" i="32" l="1"/>
  <c r="D235" i="32" s="1"/>
  <c r="D236" i="32" s="1"/>
  <c r="AK225" i="32"/>
  <c r="AO225" i="32" s="1"/>
  <c r="AO228" i="32" s="1"/>
  <c r="AR228" i="32" s="1"/>
  <c r="AS228" i="32" s="1"/>
  <c r="AT228" i="32" s="1"/>
  <c r="AW228" i="32" s="1"/>
  <c r="D240" i="32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D120" i="18" l="1"/>
  <c r="D276" i="32"/>
  <c r="D290" i="32" s="1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R201" i="18" l="1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31" i="23" l="1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AV22" i="23" l="1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G156" i="32" l="1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<sst xmlns="http://schemas.openxmlformats.org/spreadsheetml/2006/main" count="3020" uniqueCount="1471">
  <si>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</si>
  <si>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</si>
  <si>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</si>
  <si>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</si>
  <si>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</si>
  <si>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</si>
  <si>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</si>
  <si>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</si>
  <si>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</si>
  <si>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</si>
  <si>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</si>
  <si>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</si>
  <si>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</si>
  <si>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</si>
  <si>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</si>
  <si>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</si>
  <si>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</si>
  <si>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</si>
  <si>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</si>
  <si>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</si>
  <si>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</si>
  <si>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</si>
  <si>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</si>
  <si>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</si>
  <si>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</si>
  <si>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</si>
  <si>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</si>
  <si>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</si>
  <si>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</si>
  <si>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</si>
  <si>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</si>
  <si>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</si>
  <si>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</si>
  <si>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</si>
  <si>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</si>
  <si>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</si>
  <si>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</si>
  <si>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</si>
  <si>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</si>
  <si>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</si>
  <si>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</si>
  <si>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</si>
  <si>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</si>
  <si>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</si>
  <si>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</si>
  <si>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</si>
  <si>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</si>
  <si>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</si>
  <si>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</si>
  <si>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</si>
  <si>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</si>
  <si>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</si>
  <si>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</si>
  <si>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</si>
  <si>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</si>
  <si>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</si>
  <si>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</si>
  <si>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</si>
  <si>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</si>
  <si>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</si>
  <si>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</si>
  <si>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</si>
  <si>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</si>
  <si>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</si>
  <si>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</si>
  <si>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</si>
  <si>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</si>
  <si>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</si>
  <si>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</si>
  <si>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</si>
  <si>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</si>
  <si>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</si>
  <si>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</si>
  <si>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</si>
  <si>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</si>
  <si>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</si>
  <si>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</si>
  <si>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</si>
  <si>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</si>
  <si>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</si>
  <si>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</si>
  <si>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</si>
  <si>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</si>
  <si>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</si>
  <si>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</si>
  <si>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</si>
  <si>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</si>
  <si>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</si>
  <si>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</si>
  <si>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</si>
  <si>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</si>
  <si>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</si>
  <si>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</si>
  <si>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</si>
  <si>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</si>
  <si>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</si>
  <si>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</si>
  <si>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</si>
  <si>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</si>
  <si>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</si>
  <si>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</si>
  <si>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</si>
  <si>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</si>
  <si>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</si>
  <si>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</si>
  <si>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</si>
  <si>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</si>
  <si>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</si>
  <si>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</si>
  <si>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</si>
  <si>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</si>
  <si>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</si>
  <si>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</si>
  <si>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</si>
  <si>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</si>
  <si>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</si>
  <si>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</si>
  <si>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</si>
  <si>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</si>
  <si>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</si>
  <si>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</si>
  <si>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</si>
  <si>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</si>
  <si>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</si>
  <si>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</si>
  <si>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</si>
  <si>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</si>
  <si>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</si>
  <si>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</si>
  <si>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</si>
  <si>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</si>
  <si>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</si>
  <si>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</si>
  <si>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</si>
  <si>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</si>
  <si>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</si>
  <si>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</si>
  <si>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</si>
  <si>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</si>
  <si>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</si>
  <si>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</si>
  <si>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</si>
  <si>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</si>
  <si>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</si>
  <si>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</si>
  <si>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</si>
  <si>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</si>
  <si>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</si>
  <si>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</si>
  <si>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</si>
  <si>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</si>
  <si>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</si>
  <si>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</si>
  <si>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</si>
  <si>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</si>
  <si>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</si>
  <si>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</si>
  <si>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</si>
  <si>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</si>
  <si>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</si>
  <si>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</si>
  <si>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</si>
  <si>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</si>
  <si>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</si>
  <si>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</si>
  <si>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</si>
  <si>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</si>
  <si>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</si>
  <si>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</si>
  <si>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</si>
  <si>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</si>
  <si>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</si>
  <si>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</si>
  <si>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</si>
  <si>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</si>
  <si>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</si>
  <si>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</si>
  <si>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</si>
  <si>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</si>
  <si>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</si>
  <si>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</si>
  <si>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</si>
  <si>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</si>
  <si>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</si>
  <si>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</si>
  <si>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</si>
  <si>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</si>
  <si>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</si>
  <si>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</si>
  <si>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</si>
  <si>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</si>
  <si>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</si>
  <si>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</si>
  <si>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</si>
  <si>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</si>
  <si>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</si>
  <si>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</si>
  <si>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</si>
  <si>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</si>
  <si>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</si>
  <si>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</si>
  <si>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</si>
  <si>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</si>
  <si>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</si>
  <si>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</si>
  <si>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</si>
  <si>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</si>
  <si>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</si>
  <si>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</si>
  <si>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</si>
  <si>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</si>
  <si>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</si>
  <si>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</si>
  <si>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</si>
  <si>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</si>
  <si>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</si>
  <si>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</si>
  <si>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</si>
  <si>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</si>
  <si>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</si>
  <si>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</si>
  <si>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</si>
  <si>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</si>
  <si>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</si>
  <si>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</si>
  <si>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</si>
  <si>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</si>
  <si>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</si>
  <si>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</si>
  <si>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</si>
  <si>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</si>
  <si>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</si>
  <si>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</si>
  <si>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</si>
  <si>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</si>
  <si>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</si>
  <si>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</si>
  <si>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</si>
  <si>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</si>
  <si>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</si>
  <si>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</si>
  <si>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</si>
  <si>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</si>
  <si>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</si>
  <si>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</si>
  <si>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</si>
  <si>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</si>
  <si>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</si>
  <si>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</si>
  <si>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</si>
  <si>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</si>
  <si>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</si>
  <si>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</si>
  <si>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</si>
  <si>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</si>
  <si>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</si>
  <si>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</si>
  <si>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</si>
  <si>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</si>
  <si>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</si>
  <si>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</si>
  <si>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</si>
  <si>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</si>
  <si>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</si>
  <si>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</si>
  <si>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</si>
  <si>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</si>
  <si>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</si>
  <si>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</si>
  <si>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</si>
  <si>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</si>
  <si>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</si>
  <si>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</si>
  <si>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</si>
  <si>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</si>
  <si>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</si>
  <si>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</si>
  <si>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</si>
  <si>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</si>
  <si>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</si>
  <si>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</si>
  <si>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</si>
  <si>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</si>
  <si>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</si>
  <si>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</si>
  <si>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</si>
  <si>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</si>
  <si>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</si>
  <si>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</si>
  <si>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</si>
  <si>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</si>
  <si>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</si>
  <si>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</si>
  <si>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</si>
  <si>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</si>
  <si>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</si>
  <si>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</si>
  <si>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</si>
  <si>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</si>
  <si>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</si>
  <si>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</si>
  <si>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</si>
  <si>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</si>
  <si>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</si>
  <si>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</si>
  <si>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</si>
  <si>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</si>
  <si>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</si>
  <si>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</si>
  <si>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</si>
  <si>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</si>
  <si>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</si>
  <si>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</si>
  <si>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</si>
  <si>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</si>
  <si>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</si>
  <si>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</si>
  <si>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</si>
  <si>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</si>
  <si>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</si>
  <si>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</si>
  <si>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</si>
  <si>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</si>
  <si>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</si>
  <si>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</si>
  <si>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</si>
  <si>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</si>
  <si>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</si>
  <si>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</si>
  <si>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</si>
  <si>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</si>
  <si>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</si>
  <si>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</si>
  <si>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</si>
  <si>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</si>
  <si>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</si>
  <si>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</si>
  <si>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</si>
  <si>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</si>
  <si>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</si>
  <si>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</si>
  <si>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</si>
  <si>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</si>
  <si>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</si>
  <si>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</si>
  <si>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</si>
  <si>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</si>
  <si>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</si>
  <si>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</si>
  <si>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</si>
  <si>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</si>
  <si>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</si>
  <si>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</si>
  <si>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</si>
  <si>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</si>
  <si>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</si>
  <si>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</si>
  <si>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</si>
  <si>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</si>
  <si>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</si>
  <si>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</si>
  <si>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</si>
  <si>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</si>
  <si>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</si>
  <si>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</si>
  <si>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</si>
  <si>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</si>
  <si>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</si>
  <si>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</si>
  <si>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</si>
  <si>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</si>
  <si>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</si>
  <si>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</si>
  <si>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</si>
  <si>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</si>
  <si>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</si>
  <si>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</si>
  <si>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</si>
  <si>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</si>
  <si>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</si>
  <si>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</si>
  <si>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</si>
  <si>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</si>
  <si>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</si>
  <si>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</si>
  <si>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</si>
  <si>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</si>
  <si>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</si>
  <si>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</si>
  <si>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</si>
  <si>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</si>
  <si>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</si>
  <si>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</si>
  <si>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</si>
  <si>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</si>
  <si>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</si>
  <si>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</si>
  <si>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</si>
  <si>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</si>
  <si>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</si>
  <si>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</si>
  <si>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</si>
  <si>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</si>
  <si>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</si>
  <si>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</si>
  <si>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</si>
  <si>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</si>
  <si>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</si>
  <si>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</si>
  <si>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</si>
  <si>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</si>
  <si>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</si>
  <si>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</si>
  <si>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</si>
  <si>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</si>
  <si>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</si>
  <si>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</si>
  <si>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</si>
  <si>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</si>
  <si>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</si>
  <si>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</si>
  <si>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</si>
  <si>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</si>
  <si>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</si>
  <si>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</si>
  <si>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</si>
  <si>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</si>
  <si>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</si>
  <si>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</si>
  <si>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</si>
  <si>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</si>
  <si>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</si>
  <si>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</si>
  <si>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</si>
  <si>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</si>
  <si>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</si>
  <si>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</si>
  <si>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</si>
  <si>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</si>
  <si>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</si>
  <si>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</si>
  <si>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</si>
  <si>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</si>
  <si>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</si>
  <si>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</si>
  <si>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</si>
  <si>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</si>
  <si>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</si>
  <si>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</si>
  <si>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</si>
  <si>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</si>
  <si>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</si>
  <si>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</si>
  <si>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</si>
  <si>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</si>
  <si>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</si>
  <si>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</si>
  <si>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</si>
  <si>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</si>
  <si>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</si>
  <si>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</si>
  <si>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</si>
  <si>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</si>
  <si>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</si>
  <si>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</si>
  <si>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</si>
  <si>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</si>
  <si>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</si>
  <si>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</si>
  <si>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</si>
  <si>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</si>
  <si>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</si>
  <si>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</si>
  <si>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</si>
  <si>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</si>
  <si>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</si>
  <si>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</si>
  <si>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</si>
  <si>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</si>
  <si>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</si>
  <si>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</si>
  <si>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</si>
  <si>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</si>
  <si>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</si>
  <si>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</si>
  <si>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</si>
  <si>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</si>
  <si>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</si>
  <si>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</si>
  <si>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</si>
  <si>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</si>
  <si>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</si>
  <si>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</si>
  <si>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</si>
  <si>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</si>
  <si>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</si>
  <si>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</si>
  <si>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</si>
  <si>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</si>
  <si>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</si>
  <si>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</si>
  <si>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</si>
  <si>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</si>
  <si>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</si>
  <si>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</si>
  <si>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</si>
  <si>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</si>
  <si>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</si>
  <si>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</si>
  <si>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</si>
  <si>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</si>
  <si>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</si>
  <si>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</si>
  <si>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</si>
  <si>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</si>
  <si>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</si>
  <si>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</si>
  <si>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</si>
  <si>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</si>
  <si>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</si>
  <si>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</si>
  <si>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</si>
  <si>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</si>
  <si>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</si>
  <si>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</si>
  <si>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</si>
  <si>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</si>
  <si>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</si>
  <si>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</si>
  <si>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</si>
  <si>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</si>
  <si>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</si>
  <si>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</si>
  <si>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</si>
  <si>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</si>
  <si>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</si>
  <si>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</si>
  <si>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</si>
  <si>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</si>
  <si>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</si>
  <si>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</si>
  <si>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</si>
  <si>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</si>
  <si>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</si>
  <si>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</si>
  <si>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</si>
  <si>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</si>
  <si>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</si>
  <si>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</si>
  <si>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</si>
  <si>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</si>
  <si>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</si>
  <si>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</si>
  <si>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</si>
  <si>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</si>
  <si>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</si>
  <si>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</si>
  <si>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</si>
  <si>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</si>
  <si>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</si>
  <si>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</si>
  <si>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</si>
  <si>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</si>
  <si>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</si>
  <si>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</si>
  <si>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</si>
  <si>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</si>
  <si>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</si>
  <si>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</si>
  <si>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</si>
  <si>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</si>
  <si>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</si>
  <si>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</si>
  <si>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</si>
  <si>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</si>
  <si>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</si>
  <si>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</si>
  <si>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</si>
  <si>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</si>
  <si>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</si>
  <si>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</si>
  <si>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</si>
  <si>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</si>
  <si>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</si>
  <si>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</si>
  <si>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</si>
  <si>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</si>
  <si>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</si>
  <si>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</si>
  <si>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</si>
  <si>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</si>
  <si>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</si>
  <si>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</si>
  <si>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</si>
  <si>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</si>
  <si>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</si>
  <si>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</si>
  <si>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</si>
  <si>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</si>
  <si>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</si>
  <si>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</si>
  <si>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</si>
  <si>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</si>
  <si>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</si>
  <si>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</si>
  <si>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</si>
  <si>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</si>
  <si>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</si>
  <si>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</si>
  <si>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</si>
  <si>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</si>
  <si>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</si>
  <si>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</si>
  <si>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</si>
  <si>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</si>
  <si>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</si>
  <si>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</si>
  <si>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</si>
  <si>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</si>
  <si>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</si>
  <si>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</si>
  <si>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</si>
  <si>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</si>
  <si>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</si>
  <si>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</si>
  <si>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</si>
  <si>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</si>
  <si>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</si>
  <si>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</si>
  <si>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</si>
  <si>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</si>
  <si>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</si>
  <si>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</si>
  <si>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</si>
  <si>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</si>
  <si>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</si>
  <si>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</si>
  <si>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</si>
  <si>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</si>
  <si>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</si>
  <si>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</si>
  <si>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</si>
  <si>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</si>
  <si>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</si>
  <si>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</si>
  <si>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</si>
  <si>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</si>
  <si>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</si>
  <si>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</si>
  <si>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</si>
  <si>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</si>
  <si>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</si>
  <si>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</si>
  <si>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</si>
  <si>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</si>
  <si>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</si>
  <si>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</si>
  <si>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</si>
  <si>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</si>
  <si>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</si>
  <si>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</si>
  <si>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</si>
  <si>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</si>
  <si>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</si>
  <si>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</si>
  <si>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</si>
  <si>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</si>
  <si>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</si>
  <si>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</si>
  <si>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</si>
  <si>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</si>
  <si>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</si>
  <si>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</si>
  <si>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</si>
  <si>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</si>
  <si>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</si>
  <si>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</si>
  <si>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</si>
  <si>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</si>
  <si>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</si>
  <si>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</si>
  <si>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</si>
  <si>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</si>
  <si>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</si>
  <si>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</si>
  <si>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</si>
  <si>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</si>
  <si>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</si>
  <si>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</si>
  <si>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</si>
  <si>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</si>
  <si>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</si>
  <si>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</si>
  <si>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</si>
  <si>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</si>
  <si>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</si>
  <si>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</si>
  <si>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</si>
  <si>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</si>
  <si>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</si>
  <si>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</si>
  <si>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</si>
  <si>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</si>
  <si>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</si>
  <si>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</si>
  <si>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</si>
  <si>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</si>
  <si>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</si>
  <si>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</si>
  <si>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</si>
  <si>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</si>
  <si>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</si>
  <si>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</si>
  <si>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</si>
  <si>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</si>
  <si>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</si>
  <si>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</si>
  <si>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</si>
  <si>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</si>
  <si>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</si>
  <si>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</si>
  <si>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</si>
  <si>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</si>
  <si>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</si>
  <si>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</si>
  <si>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</si>
  <si>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</si>
  <si>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</si>
  <si>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</si>
  <si>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</si>
  <si>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</si>
  <si>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</si>
  <si>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</si>
  <si>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</si>
  <si>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</si>
  <si>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</si>
  <si>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</si>
  <si>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</si>
  <si>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</si>
  <si>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</si>
  <si>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</si>
  <si>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</si>
  <si>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</si>
  <si>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</si>
  <si>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</si>
  <si>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</si>
  <si>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</si>
  <si>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</si>
  <si>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</si>
  <si>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</si>
  <si>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</si>
  <si>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</si>
  <si>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</si>
  <si>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</si>
  <si>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</si>
  <si>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</si>
  <si>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</si>
  <si>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</si>
  <si>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</si>
  <si>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</si>
  <si>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</si>
  <si>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</si>
  <si>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</si>
  <si>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</si>
  <si>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</si>
  <si>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</si>
  <si>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</si>
  <si>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</si>
  <si>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</si>
  <si>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</si>
  <si>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</si>
  <si>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</si>
  <si>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</si>
  <si>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</si>
  <si>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</si>
  <si>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</si>
  <si>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</si>
  <si>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</si>
  <si>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</si>
  <si>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</si>
  <si>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</si>
  <si>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</si>
  <si>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</si>
  <si>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</si>
  <si>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</si>
  <si>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</si>
  <si>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</si>
  <si>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</si>
  <si>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</si>
  <si>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</si>
  <si>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</si>
  <si>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</si>
  <si>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</si>
  <si>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</si>
  <si>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</si>
  <si>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</si>
  <si>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</si>
  <si>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</si>
  <si>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</si>
  <si>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</si>
  <si>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</si>
  <si>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</si>
  <si>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</si>
  <si>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</si>
  <si>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</si>
  <si>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</si>
  <si>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</si>
  <si>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</si>
  <si>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</si>
  <si>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</si>
  <si>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</si>
  <si>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</si>
  <si>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</si>
  <si>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</si>
  <si>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</si>
  <si>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</si>
  <si>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</si>
  <si>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</si>
  <si>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</si>
  <si>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</si>
  <si>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</si>
  <si>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</si>
  <si>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</si>
  <si>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</si>
  <si>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</si>
  <si>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</si>
  <si>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</si>
  <si>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</si>
  <si>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</si>
  <si>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</si>
  <si>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</si>
  <si>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</si>
  <si>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</si>
  <si>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</si>
  <si>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</si>
  <si>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</si>
  <si>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</si>
  <si>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</si>
  <si>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</si>
  <si>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</si>
  <si>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</si>
  <si>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</si>
  <si>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</si>
  <si>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</si>
  <si>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</si>
  <si>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</si>
  <si>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</si>
  <si>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</si>
  <si>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</si>
  <si>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</si>
  <si>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</si>
  <si>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</si>
  <si>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</si>
  <si>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</si>
  <si>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</si>
  <si>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</si>
  <si>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</si>
  <si>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</si>
  <si>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</si>
  <si>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</si>
  <si>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</si>
  <si>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</si>
  <si>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</si>
  <si>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</si>
  <si>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</si>
  <si>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</si>
  <si>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</si>
  <si>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</si>
  <si>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</si>
  <si>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</si>
  <si>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</si>
  <si>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</si>
  <si>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</si>
  <si>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</si>
  <si>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</si>
  <si>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</si>
  <si>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</si>
  <si>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</si>
  <si>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</si>
  <si>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</si>
  <si>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</si>
  <si>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</si>
  <si>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</si>
  <si>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</si>
  <si>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</si>
  <si>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</si>
  <si>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</si>
  <si>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</si>
  <si>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</si>
  <si>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</si>
  <si>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</si>
  <si>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</si>
  <si>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</si>
  <si>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</si>
  <si>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</si>
  <si>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</si>
  <si>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</si>
  <si>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</si>
  <si>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</si>
  <si>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</si>
  <si>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</si>
  <si>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</si>
  <si>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</si>
  <si>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</si>
  <si>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</si>
  <si>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</si>
  <si>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</si>
  <si>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</si>
  <si>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</si>
  <si>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</si>
  <si>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</si>
  <si>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</si>
  <si>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</si>
  <si>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</si>
  <si>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</si>
  <si>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</si>
  <si>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</si>
  <si>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</si>
  <si>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</si>
  <si>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</si>
  <si>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</si>
  <si>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</si>
  <si>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</si>
  <si>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</si>
  <si>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</si>
  <si>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</si>
  <si>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</si>
  <si>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</si>
  <si>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</si>
  <si>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</si>
  <si>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</si>
  <si>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</si>
  <si>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</si>
  <si>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</si>
  <si>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</si>
  <si>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</si>
  <si>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</si>
  <si>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</si>
  <si>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</si>
  <si>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</si>
  <si>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</si>
  <si>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</si>
  <si>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</si>
  <si>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</si>
  <si>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</si>
  <si>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</si>
  <si>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</si>
  <si>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</si>
  <si>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</si>
  <si>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</si>
  <si>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</si>
  <si>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</si>
  <si>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</si>
  <si>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</si>
  <si>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</si>
  <si>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</si>
  <si>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</si>
  <si>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</si>
  <si>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</si>
  <si>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</si>
  <si>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</si>
  <si>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</si>
  <si>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</si>
  <si>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</si>
  <si>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</si>
  <si>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</si>
  <si>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</si>
  <si>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</si>
  <si>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</si>
  <si>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</si>
  <si>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</si>
  <si>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</si>
  <si>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</si>
  <si>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</si>
  <si>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</si>
  <si>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</si>
  <si>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</si>
  <si>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</si>
  <si>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</si>
  <si>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</si>
  <si>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</si>
  <si>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</si>
  <si>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</si>
  <si>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</si>
  <si>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</si>
  <si>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</si>
  <si>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</si>
  <si>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</si>
  <si>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</si>
  <si>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</si>
  <si>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</si>
  <si>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</si>
  <si>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</si>
  <si>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</si>
  <si>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</si>
  <si>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</si>
  <si>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</si>
  <si>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</si>
  <si>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</si>
  <si>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</si>
  <si>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</si>
  <si>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</si>
  <si>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</si>
  <si>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</si>
  <si>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</si>
  <si>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</si>
  <si>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</si>
  <si>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</si>
  <si>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</si>
  <si>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</si>
  <si>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</si>
  <si>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</si>
  <si>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</si>
  <si>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</si>
  <si>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</si>
  <si>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</si>
  <si>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</si>
  <si>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</si>
  <si>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</si>
  <si>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</si>
  <si>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</si>
  <si>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</si>
  <si>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</si>
  <si>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</si>
  <si>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</si>
  <si>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</si>
  <si>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</si>
  <si>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</si>
  <si>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</si>
  <si>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</si>
  <si>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</si>
  <si>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</si>
  <si>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</si>
  <si>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</si>
  <si>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</si>
  <si>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</si>
  <si>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</si>
  <si>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</si>
  <si>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</si>
  <si>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</si>
  <si>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</si>
  <si>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</si>
  <si>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</si>
  <si>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</si>
  <si>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</si>
  <si>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</si>
  <si>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</si>
  <si>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</si>
  <si>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</si>
  <si>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</si>
  <si>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</si>
  <si>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</si>
  <si>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</si>
  <si>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</si>
  <si>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</si>
  <si>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</si>
  <si>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</si>
  <si>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</si>
  <si>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</si>
  <si>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</si>
  <si>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</si>
  <si>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</si>
  <si>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</si>
  <si>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</si>
  <si>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</si>
  <si>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</si>
  <si>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</si>
  <si>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</si>
  <si>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</si>
  <si>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</si>
  <si>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</si>
  <si>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</si>
  <si>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</si>
  <si>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</si>
  <si>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</si>
  <si>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</si>
  <si>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</si>
  <si>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</si>
  <si>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</si>
  <si>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</si>
  <si>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</si>
  <si>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</si>
  <si>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</si>
  <si>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</si>
  <si>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</si>
  <si>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</si>
  <si>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</si>
  <si>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</si>
  <si>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</si>
  <si>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</si>
  <si>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</si>
  <si>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</si>
  <si>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</si>
  <si>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</si>
  <si>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</si>
  <si>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</si>
  <si>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</si>
  <si>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</si>
  <si>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</si>
  <si>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</si>
  <si>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</si>
  <si>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</si>
  <si>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</si>
  <si>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</si>
  <si>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</si>
  <si>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</si>
  <si>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</si>
  <si>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</si>
  <si>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</si>
  <si>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</si>
  <si>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</si>
  <si>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</si>
  <si>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</si>
  <si>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</si>
  <si>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</si>
  <si>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</si>
  <si>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</si>
  <si>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</si>
  <si>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</si>
  <si>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</si>
  <si>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</si>
  <si>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</si>
  <si>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</si>
  <si>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</si>
  <si>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</si>
  <si>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</si>
  <si>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</si>
  <si>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</si>
  <si>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</si>
  <si>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</si>
  <si>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</si>
  <si>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</si>
  <si>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</si>
  <si>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</si>
  <si>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</si>
  <si>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</si>
  <si>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</si>
  <si>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</si>
  <si>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</si>
  <si>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</si>
  <si>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</si>
  <si>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</si>
  <si>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</si>
  <si>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</si>
  <si>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</si>
  <si>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</si>
  <si>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</si>
  <si>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</si>
  <si>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</si>
  <si>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</si>
  <si>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</si>
  <si>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</si>
  <si>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</si>
  <si>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</si>
  <si>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</si>
  <si>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</si>
  <si>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</si>
  <si>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</si>
  <si>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</si>
  <si>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</si>
  <si>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</si>
  <si>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</si>
  <si>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</si>
  <si>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</si>
  <si>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</si>
  <si>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</si>
  <si>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</si>
  <si>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</si>
  <si>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</si>
  <si>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</si>
  <si>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</si>
  <si>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</si>
  <si>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</si>
  <si>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</si>
  <si>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</si>
  <si>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</si>
  <si>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</si>
  <si>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</si>
  <si>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</si>
  <si>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</si>
  <si>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</si>
  <si>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</si>
  <si>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</si>
  <si>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</si>
  <si>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</si>
  <si>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</si>
  <si>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</si>
  <si>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</si>
  <si>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</si>
  <si>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</si>
  <si>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</si>
  <si>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</si>
  <si>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</si>
  <si>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</si>
  <si>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</si>
  <si>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</si>
  <si>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</si>
  <si>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</si>
  <si>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</si>
  <si>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</si>
  <si>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</si>
  <si>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</si>
  <si>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</si>
  <si>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</si>
  <si>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</si>
  <si>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</si>
  <si>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</si>
  <si>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</si>
  <si>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</si>
  <si>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</si>
  <si>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</si>
  <si>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</si>
  <si>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</si>
  <si>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</si>
  <si>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</si>
  <si>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</si>
  <si>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</si>
  <si>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</si>
  <si>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</si>
  <si>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</si>
  <si>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</si>
  <si>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</si>
  <si>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</si>
  <si>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</si>
  <si>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</si>
  <si>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</si>
  <si>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</si>
  <si>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</si>
  <si>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</si>
  <si>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</si>
  <si>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</si>
  <si>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</si>
  <si>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</si>
  <si>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</si>
  <si>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</si>
  <si>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</si>
  <si>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</si>
  <si>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</si>
  <si>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</si>
  <si>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</si>
  <si>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</si>
  <si>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</si>
  <si>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</si>
  <si>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</si>
  <si>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</si>
  <si>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</si>
  <si>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</si>
  <si>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</si>
  <si>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</si>
  <si>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</si>
  <si>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</si>
  <si>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</si>
  <si>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</si>
  <si>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</si>
  <si>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</si>
  <si>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</si>
  <si>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</si>
  <si>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</si>
  <si>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</si>
  <si>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</si>
  <si>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</si>
  <si>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</si>
  <si>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</si>
  <si>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</si>
  <si>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</si>
  <si>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</si>
  <si>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</si>
  <si>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</si>
  <si>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</si>
  <si>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</si>
  <si>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</si>
  <si>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</si>
  <si>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</si>
  <si>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</si>
  <si>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</si>
  <si>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</si>
  <si>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</si>
  <si>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</si>
  <si>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</si>
  <si>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</si>
  <si>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</si>
  <si>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</si>
  <si>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</si>
  <si>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</si>
  <si>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</si>
  <si>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</si>
  <si>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</si>
  <si>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</si>
  <si>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</si>
  <si>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</si>
  <si>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</si>
  <si>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</si>
  <si>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</si>
  <si>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</si>
  <si>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</si>
  <si>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</si>
  <si>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</si>
  <si>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</si>
  <si>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</si>
  <si>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</si>
  <si>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</si>
  <si>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</si>
  <si>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</si>
  <si>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</si>
  <si>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</si>
  <si>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</si>
  <si>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</si>
  <si>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</si>
  <si>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</si>
  <si>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</si>
  <si>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</si>
  <si>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</si>
  <si>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</si>
  <si>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</si>
  <si>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</si>
  <si>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</si>
  <si>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</si>
  <si>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</si>
  <si>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</si>
  <si>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</si>
  <si>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</si>
  <si>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</si>
  <si>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</si>
  <si>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</si>
  <si>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</si>
  <si>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</si>
  <si>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</si>
  <si>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</si>
  <si>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</si>
  <si>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</si>
  <si>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</si>
  <si>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</si>
  <si>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</si>
  <si>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</si>
  <si>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</si>
  <si>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</si>
  <si>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</si>
  <si>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</si>
  <si>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</si>
  <si>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</si>
  <si>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</si>
  <si>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</si>
  <si>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</si>
  <si>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</si>
  <si>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</si>
  <si>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</si>
  <si>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</si>
  <si>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</si>
  <si>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</si>
  <si>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</si>
  <si>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</si>
  <si>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</si>
  <si>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</si>
  <si>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</si>
  <si>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</si>
  <si>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</si>
  <si>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</si>
  <si>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</si>
  <si>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</si>
  <si>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</si>
  <si>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</si>
  <si>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</si>
  <si>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</si>
  <si>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</si>
  <si>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</si>
  <si>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</si>
  <si>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</si>
  <si>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</si>
  <si>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</si>
  <si>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</si>
  <si>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</si>
  <si>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</si>
  <si>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</si>
  <si>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</si>
  <si>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</si>
  <si>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</si>
  <si>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</si>
  <si>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</si>
  <si>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</si>
  <si>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</si>
  <si>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</si>
  <si>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</si>
  <si>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</si>
  <si>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</si>
  <si>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</si>
  <si>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</si>
  <si>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</si>
  <si>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</si>
  <si>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</si>
  <si>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</si>
  <si>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</si>
  <si>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</si>
  <si>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</si>
  <si>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</si>
  <si>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</si>
  <si>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</si>
  <si>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</si>
  <si>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</si>
  <si>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</si>
  <si>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</si>
  <si>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</si>
  <si>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</si>
  <si>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</si>
  <si>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</si>
  <si>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</si>
  <si>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</si>
  <si>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</si>
  <si>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</si>
  <si>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</si>
  <si>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</si>
  <si>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</si>
  <si>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</si>
  <si>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</si>
  <si>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</si>
  <si>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</si>
  <si>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</si>
  <si>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</si>
  <si>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</si>
  <si>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</si>
  <si>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</si>
  <si>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</si>
  <si>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</si>
  <si>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</si>
  <si>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</si>
  <si>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</si>
  <si>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</si>
  <si>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</si>
  <si>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</si>
  <si>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</si>
  <si>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</si>
  <si>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</si>
  <si>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</si>
  <si>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</si>
  <si>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</si>
  <si>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</si>
  <si>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</si>
  <si>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</si>
  <si>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</si>
  <si>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</si>
  <si>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</si>
  <si>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</si>
  <si>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</si>
  <si>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</si>
  <si>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</si>
  <si>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</si>
  <si>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</si>
  <si>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</si>
  <si>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</si>
  <si>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</si>
  <si>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</si>
  <si>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</si>
  <si>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</si>
  <si>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</si>
  <si>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</si>
  <si>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</si>
  <si>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</si>
  <si>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</si>
  <si>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</si>
  <si>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</si>
  <si>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</si>
  <si>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</si>
  <si>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</si>
  <si>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</si>
  <si>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</si>
  <si>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</si>
  <si>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</si>
  <si>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</si>
  <si>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</si>
  <si>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</si>
  <si>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</si>
  <si>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Z2_OLBV_T3_C2si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</si>
</sst>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4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174.56163784984182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4.5163425341496604</v>
      </c>
      <c r="L5" s="143">
        <f>CdTrp1!G215+CdTrp2!G215+CdTrp3!G215+CdTrp4!G215</f>
        <v>4.5310845904761905</v>
      </c>
      <c r="M5" s="143">
        <f>CdTrp1!H215+CdTrp2!H215+CdTrp3!H215+CdTrp4!H215</f>
        <v>4.3991870775510202</v>
      </c>
      <c r="N5" s="143">
        <f>CdTrp1!I215+CdTrp2!I215+CdTrp3!I215+CdTrp4!I215</f>
        <v>4.4217203959183671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2.5902146479591837</v>
      </c>
      <c r="Y5" s="143">
        <f>CdTrp1!T215+CdTrp2!T215+CdTrp3!T215+CdTrp4!T215</f>
        <v>2.6765551362244904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145.92530009493197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3.0416619047619053</v>
      </c>
      <c r="K6" s="143">
        <f>CdTrp1!F216+CdTrp2!F216+CdTrp3!F216+CdTrp4!F216</f>
        <v>2.4272209183673468</v>
      </c>
      <c r="L6" s="143">
        <f>CdTrp1!G216+CdTrp2!G216+CdTrp3!G216+CdTrp4!G216</f>
        <v>2.4272209183673468</v>
      </c>
      <c r="M6" s="143">
        <f>CdTrp1!H216+CdTrp2!H216+CdTrp3!H216+CdTrp4!H216</f>
        <v>2.4318979591836736</v>
      </c>
      <c r="N6" s="143">
        <f>CdTrp1!I216+CdTrp2!I216+CdTrp3!I216+CdTrp4!I216</f>
        <v>2.1168979591836736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3.2947445833333324</v>
      </c>
      <c r="Z6" s="143">
        <f>CdTrp1!U216+CdTrp2!U216+CdTrp3!U216+CdTrp4!U216</f>
        <v>3.1266935833333322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174.6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3.0416619047619053</v>
      </c>
      <c r="K8" s="143">
        <f t="shared" si="0"/>
        <v>6.9435634525170071</v>
      </c>
      <c r="L8" s="143">
        <f t="shared" si="0"/>
        <v>6.9583055088435373</v>
      </c>
      <c r="M8" s="143">
        <f t="shared" si="0"/>
        <v>6.8310850367346934</v>
      </c>
      <c r="N8" s="143">
        <f t="shared" si="0"/>
        <v>6.5386183551020407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3.8912546479591836</v>
      </c>
      <c r="Y8" s="143">
        <f t="shared" si="0"/>
        <v>5.9712997195578232</v>
      </c>
      <c r="Z8" s="143">
        <f t="shared" si="0"/>
        <v>5.8032487195578231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70.023082318061228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7.7925629387755109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75.902217776870742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53.5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20.5</v>
      </c>
      <c r="H18" s="157">
        <f>G18/$G$17</f>
        <v>0.38317757009345793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17</v>
      </c>
      <c r="H19" s="157">
        <f t="shared" ref="H19:H21" si="1">G19/$G$17</f>
        <v>0.31775700934579437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4</v>
      </c>
      <c r="H21" s="157">
        <f t="shared" si="1"/>
        <v>7.476635514018691E-2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3" zoomScale="90" zoomScaleNormal="90" workbookViewId="0">
      <selection activeCell="D35" sqref="D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3.0416619047619053</v>
      </c>
      <c r="AW5" s="13">
        <f>'Conduite Trp'!K8</f>
        <v>6.9435634525170071</v>
      </c>
      <c r="AX5" s="13">
        <f>'Conduite Trp'!L8</f>
        <v>6.9583055088435373</v>
      </c>
      <c r="AY5" s="13">
        <f>'Conduite Trp'!M8</f>
        <v>6.8310850367346934</v>
      </c>
      <c r="AZ5" s="13">
        <f>'Conduite Trp'!N8</f>
        <v>6.5386183551020407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3.8912546479591836</v>
      </c>
      <c r="BK5" s="13">
        <f>'Conduite Trp'!Y8</f>
        <v>5.9712997195578232</v>
      </c>
      <c r="BL5" s="13">
        <f>'Conduite Trp'!Z8</f>
        <v>5.8032487195578231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6.8310850367346934</v>
      </c>
      <c r="AZ7" s="61">
        <f t="shared" si="7"/>
        <v>6.5386183551020407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26.746208059591833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3.8912546479591836</v>
      </c>
      <c r="BK9" s="61">
        <f t="shared" si="10"/>
        <v>5.9712997195578232</v>
      </c>
      <c r="BL9" s="61">
        <f t="shared" si="10"/>
        <v>5.8032487195578231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24.223074395748299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3.0416619047619053</v>
      </c>
      <c r="AW11" s="61">
        <f t="shared" si="12"/>
        <v>6.9435634525170071</v>
      </c>
      <c r="AX11" s="61">
        <f t="shared" si="12"/>
        <v>6.9583055088435373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16.943530866122451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4.5163425341496604</v>
      </c>
      <c r="AX15" s="13">
        <f>'Conduite Trp'!L5</f>
        <v>4.5310845904761905</v>
      </c>
      <c r="AY15" s="13">
        <f>'Conduite Trp'!M5</f>
        <v>4.3991870775510202</v>
      </c>
      <c r="AZ15" s="13">
        <f>'Conduite Trp'!N5</f>
        <v>4.4217203959183671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2.5902146479591837</v>
      </c>
      <c r="BK15" s="13">
        <f>'Conduite Trp'!Y5</f>
        <v>2.6765551362244904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3.0416619047619053</v>
      </c>
      <c r="AW16" s="13">
        <f>'Conduite Trp'!K6</f>
        <v>2.4272209183673468</v>
      </c>
      <c r="AX16" s="13">
        <f>'Conduite Trp'!L6</f>
        <v>2.4272209183673468</v>
      </c>
      <c r="AY16" s="13">
        <f>'Conduite Trp'!M6</f>
        <v>2.4318979591836736</v>
      </c>
      <c r="AZ16" s="13">
        <f>'Conduite Trp'!N6</f>
        <v>2.1168979591836736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1.30104</v>
      </c>
      <c r="BK16" s="13">
        <f>'Conduite Trp'!Y6</f>
        <v>3.2947445833333324</v>
      </c>
      <c r="BL16" s="13">
        <f>'Conduite Trp'!Z6</f>
        <v>3.1266935833333322</v>
      </c>
      <c r="BM16" s="13">
        <f>'Conduite Trp'!AA6</f>
        <v>2.95289</v>
      </c>
      <c r="BN16" s="13">
        <f>'Conduite Trp'!AB6</f>
        <v>0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4.3991870775510202</v>
      </c>
      <c r="AZ19" s="61">
        <f t="shared" si="15"/>
        <v>4.4217203959183671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21.425749386122448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2.5902146479591837</v>
      </c>
      <c r="BK21" s="61">
        <f t="shared" si="18"/>
        <v>2.6765551362244904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13.547706229081633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4.5163425341496604</v>
      </c>
      <c r="AX23" s="61">
        <f t="shared" si="20"/>
        <v>4.5310845904761905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9.0474271246258517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26.75</v>
      </c>
      <c r="E24" s="61">
        <f t="shared" si="21"/>
        <v>0</v>
      </c>
      <c r="F24" s="61">
        <f t="shared" si="21"/>
        <v>26.475000000000001</v>
      </c>
      <c r="G24" s="61">
        <f t="shared" si="21"/>
        <v>4.375</v>
      </c>
      <c r="H24" s="61">
        <f t="shared" si="21"/>
        <v>22.875</v>
      </c>
      <c r="I24" s="61">
        <f t="shared" si="21"/>
        <v>0</v>
      </c>
      <c r="J24" s="63"/>
      <c r="K24" s="61">
        <f>AL27+AL49+AL71</f>
        <v>141.10000000000002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26.746208059591833</v>
      </c>
      <c r="E25" s="61">
        <f>BR8</f>
        <v>0</v>
      </c>
      <c r="F25" s="61">
        <f>BR9</f>
        <v>24.223074395748299</v>
      </c>
      <c r="G25" s="61">
        <f>BR10</f>
        <v>2.1102689965986396</v>
      </c>
      <c r="H25" s="61">
        <f>BR11</f>
        <v>16.943530866122451</v>
      </c>
      <c r="I25" s="61">
        <f>BR12</f>
        <v>0</v>
      </c>
      <c r="J25" s="63"/>
      <c r="K25" s="76">
        <f>'Conduite Trp'!C7</f>
        <v>174.6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3.7919404081669938E-3</v>
      </c>
      <c r="E27" s="93">
        <f t="shared" si="23"/>
        <v>0</v>
      </c>
      <c r="F27" s="93">
        <f t="shared" si="23"/>
        <v>2.2519256042517029</v>
      </c>
      <c r="G27" s="93">
        <f t="shared" si="23"/>
        <v>2.2647310034013604</v>
      </c>
      <c r="H27" s="93">
        <f t="shared" si="23"/>
        <v>5.9314691338775489</v>
      </c>
      <c r="I27" s="93">
        <f t="shared" si="23"/>
        <v>0</v>
      </c>
      <c r="J27" s="63"/>
      <c r="K27" s="93">
        <f>K24-K25</f>
        <v>-33.499999999999972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2.4318979591836736</v>
      </c>
      <c r="AZ27" s="61">
        <f t="shared" si="25"/>
        <v>2.1168979591836736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5.3204586734693882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3.2947445833333324</v>
      </c>
      <c r="BL29" s="61">
        <f t="shared" si="35"/>
        <v>3.1266935833333322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10.675368166666665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3.0416619047619053</v>
      </c>
      <c r="AW31" s="61">
        <f t="shared" si="37"/>
        <v>2.4272209183673468</v>
      </c>
      <c r="AX31" s="61">
        <f t="shared" si="37"/>
        <v>2.4272209183673468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7.8961037414965993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3.5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1.75</v>
      </c>
      <c r="AF32" s="61">
        <f t="shared" si="29"/>
        <v>0</v>
      </c>
      <c r="AG32" s="61">
        <f t="shared" si="30"/>
        <v>4.375</v>
      </c>
      <c r="AH32" s="61">
        <f t="shared" si="31"/>
        <v>0.875</v>
      </c>
      <c r="AI32" s="61">
        <f t="shared" si="32"/>
        <v>0.875</v>
      </c>
      <c r="AJ32" s="61">
        <f t="shared" si="33"/>
        <v>0</v>
      </c>
      <c r="AK32"/>
      <c r="AL32" s="61">
        <f t="shared" si="34"/>
        <v>14.700000000000001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5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5.5</v>
      </c>
      <c r="AF49" s="75">
        <f t="shared" ref="AF49" si="50">SUM(AF29:AF48)</f>
        <v>0</v>
      </c>
      <c r="AG49" s="75">
        <f t="shared" ref="AG49" si="51">SUM(AG29:AG48)</f>
        <v>11.850000000000001</v>
      </c>
      <c r="AH49" s="75">
        <f t="shared" ref="AH49" si="52">SUM(AH29:AH48)</f>
        <v>1.4</v>
      </c>
      <c r="AI49" s="75">
        <f t="shared" ref="AI49" si="53">SUM(AI29:AI48)</f>
        <v>9.375</v>
      </c>
      <c r="AJ49" s="75">
        <f t="shared" ref="AJ49" si="54">SUM(AJ29:AJ48)</f>
        <v>0</v>
      </c>
      <c r="AK49"/>
      <c r="AL49" s="75">
        <f>SUM(AL29:AL48)</f>
        <v>84.65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141.10000000000002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21.425749386122448</v>
      </c>
      <c r="E73" s="61">
        <f>BR20</f>
        <v>0</v>
      </c>
      <c r="F73" s="61">
        <f>BR21</f>
        <v>13.547706229081633</v>
      </c>
      <c r="G73" s="61">
        <f>BR22</f>
        <v>0</v>
      </c>
      <c r="H73" s="61">
        <f>BR23</f>
        <v>9.0474271246258517</v>
      </c>
      <c r="I73" s="61">
        <f>BR60</f>
        <v>0</v>
      </c>
      <c r="J73" s="63"/>
      <c r="K73" s="76">
        <f>+K25</f>
        <v>174.6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-0.1757493861224475</v>
      </c>
      <c r="E75" s="93">
        <f t="shared" ref="E75:I75" si="71">E72-E73</f>
        <v>0</v>
      </c>
      <c r="F75" s="93">
        <f t="shared" si="71"/>
        <v>1.0772937709183665</v>
      </c>
      <c r="G75" s="93">
        <f t="shared" si="71"/>
        <v>2.9749999999999996</v>
      </c>
      <c r="H75" s="93">
        <f t="shared" si="71"/>
        <v>4.4525728753741483</v>
      </c>
      <c r="I75" s="93">
        <f t="shared" si="71"/>
        <v>0</v>
      </c>
      <c r="J75" s="63"/>
      <c r="K75" s="93">
        <f>+K27</f>
        <v>-33.499999999999972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5.5</v>
      </c>
      <c r="E82" s="61">
        <f t="shared" ref="E82:H82" si="72">AF49</f>
        <v>0</v>
      </c>
      <c r="F82" s="61">
        <f t="shared" si="72"/>
        <v>11.850000000000001</v>
      </c>
      <c r="G82" s="61">
        <f t="shared" si="72"/>
        <v>1.4</v>
      </c>
      <c r="H82" s="61">
        <f t="shared" si="72"/>
        <v>9.375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5.3204586734693882</v>
      </c>
      <c r="E83" s="61">
        <f>BR28</f>
        <v>0</v>
      </c>
      <c r="F83" s="61">
        <f>BR29</f>
        <v>10.675368166666665</v>
      </c>
      <c r="G83" s="61">
        <f>BR30</f>
        <v>2.1102689965986396</v>
      </c>
      <c r="H83" s="61">
        <f>BR31</f>
        <v>7.8961037414965993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0.17954132653061183</v>
      </c>
      <c r="E85" s="93">
        <f t="shared" ref="E85:H85" si="73">E82-E83</f>
        <v>0</v>
      </c>
      <c r="F85" s="93">
        <f t="shared" si="73"/>
        <v>1.1746318333333363</v>
      </c>
      <c r="G85" s="93">
        <f t="shared" si="73"/>
        <v>-0.71026899659863973</v>
      </c>
      <c r="H85" s="93">
        <f t="shared" si="73"/>
        <v>1.4788962585034007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opLeftCell="A7" workbookViewId="0">
      <selection activeCell="H2" sqref="H2:H20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3" zoomScale="80" zoomScaleNormal="80" workbookViewId="0">
      <selection activeCell="L57" sqref="L5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3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2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>
        <v>3</v>
      </c>
      <c r="L61" s="30" t="str">
        <f>IF(COUNTIF(CdTrp2!B76:Y85,5)&gt;0, "OUI", "NON")</f>
        <v>OUI</v>
      </c>
      <c r="P61" t="s">
        <v>592</v>
      </c>
    </row>
    <row r="62" spans="10:132" x14ac:dyDescent="0.25">
      <c r="J62" s="14" t="s">
        <v>593</v>
      </c>
      <c r="K62" s="80">
        <v>20</v>
      </c>
    </row>
    <row r="63" spans="10:132" x14ac:dyDescent="0.25">
      <c r="J63"/>
      <c r="K63"/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60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60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609</v>
      </c>
    </row>
    <row r="77" spans="10:22" x14ac:dyDescent="0.25">
      <c r="J77" s="14" t="s">
        <v>610</v>
      </c>
      <c r="K77" s="80"/>
      <c r="R77">
        <v>2</v>
      </c>
      <c r="U77">
        <v>2</v>
      </c>
      <c r="V77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/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0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/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/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/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645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645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645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/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2</v>
      </c>
      <c r="Y2" s="174">
        <f t="shared" si="0"/>
        <v>2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1</v>
      </c>
      <c r="Y4" s="174">
        <f t="shared" si="2"/>
        <v>2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4</v>
      </c>
      <c r="Y8" s="174">
        <f>(Y3+Y4)*[1]Protect!$B$12</f>
        <v>4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4</v>
      </c>
      <c r="Y11" s="174">
        <f t="shared" si="13"/>
        <v>4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4</v>
      </c>
      <c r="Y13" s="174">
        <f t="shared" si="14"/>
        <v>4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2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2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2</v>
      </c>
      <c r="N28" s="174">
        <f t="shared" si="25"/>
        <v>2</v>
      </c>
      <c r="O28" s="174">
        <f t="shared" si="25"/>
        <v>2</v>
      </c>
      <c r="P28" s="174">
        <f t="shared" si="25"/>
        <v>2</v>
      </c>
      <c r="Q28" s="174">
        <f t="shared" si="25"/>
        <v>2</v>
      </c>
      <c r="R28" s="174">
        <f t="shared" si="25"/>
        <v>2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2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1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8</v>
      </c>
      <c r="N33" s="174">
        <f>N28*[1]Protect!$B$15</f>
        <v>8</v>
      </c>
      <c r="O33" s="174">
        <f>O28*[1]Protect!$B$15</f>
        <v>8</v>
      </c>
      <c r="P33" s="174">
        <f>P28*[1]Protect!$B$15</f>
        <v>8</v>
      </c>
      <c r="Q33" s="174">
        <f>Q28*[1]Protect!$B$15</f>
        <v>8</v>
      </c>
      <c r="R33" s="174">
        <f>R28*[1]Protect!$B$15</f>
        <v>8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8</v>
      </c>
      <c r="N34" s="174">
        <f t="shared" si="28"/>
        <v>8</v>
      </c>
      <c r="O34" s="174">
        <f t="shared" si="28"/>
        <v>8</v>
      </c>
      <c r="P34" s="174">
        <f t="shared" si="28"/>
        <v>8</v>
      </c>
      <c r="Q34" s="174">
        <f t="shared" si="28"/>
        <v>8</v>
      </c>
      <c r="R34" s="174">
        <f t="shared" si="28"/>
        <v>8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0</v>
      </c>
      <c r="BR51" s="179">
        <f>IF(CdTrp1!X79=1,1,IF(CdTrp1!X79=2,2,IF(CdTrp1!X79=3,2,0)))</f>
        <v>0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99</v>
      </c>
      <c r="Y71" s="170">
        <f>IF($AA71=0,99,IF(Y84&gt;3,CdTrp1!X79,CdTrp1!X55))</f>
        <v>99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0</v>
      </c>
      <c r="Y84" s="170">
        <f>CdTrp1!X79</f>
        <v>0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4</v>
      </c>
      <c r="Y201" s="170">
        <f>IF(Troupeau!$B$3="OL",Y8+Y9,0)</f>
        <v>4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4</v>
      </c>
      <c r="Y203" s="170">
        <f t="shared" si="50"/>
        <v>4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4</v>
      </c>
      <c r="Y212" s="170">
        <f t="shared" si="51"/>
        <v>4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4</v>
      </c>
      <c r="Y214" s="170">
        <f t="shared" si="52"/>
        <v>4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112" activePane="bottomLeft" state="frozen"/>
      <selection activeCell="L18" sqref="L18"/>
      <selection pane="bottomLeft" activeCell="B128" sqref="B128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2134.2725714285721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149.48914285714287</v>
      </c>
      <c r="K13" s="30">
        <f t="shared" si="8"/>
        <v>152.92957142857142</v>
      </c>
      <c r="L13" s="30">
        <f t="shared" si="8"/>
        <v>152.87</v>
      </c>
      <c r="M13" s="30">
        <f t="shared" si="8"/>
        <v>152.81042857142859</v>
      </c>
      <c r="N13" s="30">
        <f t="shared" si="8"/>
        <v>152.77071428571429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21.196000000000002</v>
      </c>
      <c r="X13" s="30">
        <f t="shared" si="8"/>
        <v>64.198428571428565</v>
      </c>
      <c r="Y13" s="30">
        <f t="shared" si="8"/>
        <v>74.698428571428565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92.198428571428565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6</v>
      </c>
      <c r="F17" s="170">
        <f t="shared" ref="F17:F18" si="15">IF(B17&gt;0,D17*E17/B17,0)</f>
        <v>0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faible</v>
      </c>
      <c r="AV27" s="170">
        <f t="shared" si="17"/>
        <v>1</v>
      </c>
      <c r="AW27" s="170">
        <f t="shared" si="17"/>
        <v>1</v>
      </c>
      <c r="AX27" s="170">
        <f t="shared" si="17"/>
        <v>1</v>
      </c>
      <c r="AY27" s="170">
        <f t="shared" si="17"/>
        <v>1</v>
      </c>
      <c r="AZ27" s="170">
        <f t="shared" si="17"/>
        <v>1</v>
      </c>
      <c r="BA27" s="170">
        <f t="shared" si="17"/>
        <v>1</v>
      </c>
      <c r="BB27" s="170">
        <f t="shared" si="17"/>
        <v>1</v>
      </c>
      <c r="BC27" s="170">
        <f t="shared" si="17"/>
        <v>1</v>
      </c>
      <c r="BD27" s="170">
        <f t="shared" si="17"/>
        <v>1</v>
      </c>
      <c r="BE27" s="170">
        <f t="shared" si="17"/>
        <v>1</v>
      </c>
      <c r="BF27" s="170">
        <f t="shared" si="17"/>
        <v>1</v>
      </c>
      <c r="BG27" s="170">
        <f t="shared" si="17"/>
        <v>1</v>
      </c>
      <c r="BH27" s="170">
        <f t="shared" si="17"/>
        <v>1</v>
      </c>
      <c r="BI27" s="170">
        <f t="shared" si="17"/>
        <v>1</v>
      </c>
      <c r="BJ27" s="170">
        <f t="shared" si="17"/>
        <v>1</v>
      </c>
      <c r="BK27" s="170">
        <f t="shared" si="17"/>
        <v>1</v>
      </c>
      <c r="BL27" s="170">
        <f t="shared" si="18"/>
        <v>1</v>
      </c>
      <c r="BM27" s="170">
        <f t="shared" si="18"/>
        <v>1</v>
      </c>
      <c r="BN27" s="170">
        <f t="shared" si="18"/>
        <v>1</v>
      </c>
      <c r="BO27" s="170">
        <f t="shared" si="18"/>
        <v>1</v>
      </c>
      <c r="BP27" s="170">
        <f t="shared" si="18"/>
        <v>1</v>
      </c>
      <c r="BQ27" s="170">
        <f t="shared" si="18"/>
        <v>1</v>
      </c>
      <c r="BR27" s="170">
        <f t="shared" si="18"/>
        <v>1</v>
      </c>
      <c r="BS27" s="170">
        <f t="shared" si="18"/>
        <v>1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faible</v>
      </c>
      <c r="AV28" s="170">
        <f t="shared" si="17"/>
        <v>1</v>
      </c>
      <c r="AW28" s="170">
        <f t="shared" si="17"/>
        <v>1</v>
      </c>
      <c r="AX28" s="170">
        <f t="shared" si="17"/>
        <v>1</v>
      </c>
      <c r="AY28" s="170">
        <f t="shared" si="17"/>
        <v>1</v>
      </c>
      <c r="AZ28" s="170">
        <f t="shared" si="17"/>
        <v>1</v>
      </c>
      <c r="BA28" s="170">
        <f t="shared" si="17"/>
        <v>1</v>
      </c>
      <c r="BB28" s="170">
        <f t="shared" si="17"/>
        <v>1</v>
      </c>
      <c r="BC28" s="170">
        <f t="shared" si="17"/>
        <v>1</v>
      </c>
      <c r="BD28" s="170">
        <f t="shared" si="17"/>
        <v>1</v>
      </c>
      <c r="BE28" s="170">
        <f t="shared" si="17"/>
        <v>1</v>
      </c>
      <c r="BF28" s="170">
        <f t="shared" si="17"/>
        <v>1</v>
      </c>
      <c r="BG28" s="170">
        <f t="shared" si="17"/>
        <v>1</v>
      </c>
      <c r="BH28" s="170">
        <f t="shared" si="17"/>
        <v>1</v>
      </c>
      <c r="BI28" s="170">
        <f t="shared" si="17"/>
        <v>1</v>
      </c>
      <c r="BJ28" s="170">
        <f t="shared" si="17"/>
        <v>1</v>
      </c>
      <c r="BK28" s="170">
        <f t="shared" si="17"/>
        <v>1</v>
      </c>
      <c r="BL28" s="170">
        <f t="shared" si="18"/>
        <v>1</v>
      </c>
      <c r="BM28" s="170">
        <f t="shared" si="18"/>
        <v>1</v>
      </c>
      <c r="BN28" s="170">
        <f t="shared" si="18"/>
        <v>1</v>
      </c>
      <c r="BO28" s="170">
        <f t="shared" si="18"/>
        <v>1</v>
      </c>
      <c r="BP28" s="170">
        <f t="shared" si="18"/>
        <v>1</v>
      </c>
      <c r="BQ28" s="170">
        <f t="shared" si="18"/>
        <v>1</v>
      </c>
      <c r="BR28" s="170">
        <f t="shared" si="18"/>
        <v>1</v>
      </c>
      <c r="BS28" s="170">
        <f t="shared" si="18"/>
        <v>1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faible</v>
      </c>
      <c r="AV30" s="170">
        <f t="shared" si="17"/>
        <v>1</v>
      </c>
      <c r="AW30" s="170">
        <f t="shared" si="17"/>
        <v>1</v>
      </c>
      <c r="AX30" s="170">
        <f t="shared" si="17"/>
        <v>1</v>
      </c>
      <c r="AY30" s="170">
        <f t="shared" si="17"/>
        <v>1</v>
      </c>
      <c r="AZ30" s="170">
        <f t="shared" si="17"/>
        <v>1</v>
      </c>
      <c r="BA30" s="170">
        <f t="shared" si="17"/>
        <v>1</v>
      </c>
      <c r="BB30" s="170">
        <f t="shared" si="17"/>
        <v>1</v>
      </c>
      <c r="BC30" s="170">
        <f t="shared" si="17"/>
        <v>1</v>
      </c>
      <c r="BD30" s="170">
        <f t="shared" si="17"/>
        <v>1</v>
      </c>
      <c r="BE30" s="170">
        <f t="shared" si="17"/>
        <v>1</v>
      </c>
      <c r="BF30" s="170">
        <f t="shared" si="17"/>
        <v>1</v>
      </c>
      <c r="BG30" s="170">
        <f t="shared" si="17"/>
        <v>1</v>
      </c>
      <c r="BH30" s="170">
        <f t="shared" si="17"/>
        <v>1</v>
      </c>
      <c r="BI30" s="170">
        <f t="shared" si="17"/>
        <v>1</v>
      </c>
      <c r="BJ30" s="170">
        <f t="shared" si="17"/>
        <v>1</v>
      </c>
      <c r="BK30" s="170">
        <f t="shared" si="17"/>
        <v>1</v>
      </c>
      <c r="BL30" s="170">
        <f t="shared" si="18"/>
        <v>1</v>
      </c>
      <c r="BM30" s="170">
        <f t="shared" si="18"/>
        <v>1</v>
      </c>
      <c r="BN30" s="170">
        <f t="shared" si="18"/>
        <v>1</v>
      </c>
      <c r="BO30" s="170">
        <f t="shared" si="18"/>
        <v>1</v>
      </c>
      <c r="BP30" s="170">
        <f t="shared" si="18"/>
        <v>1</v>
      </c>
      <c r="BQ30" s="170">
        <f t="shared" si="18"/>
        <v>1</v>
      </c>
      <c r="BR30" s="170">
        <f t="shared" si="18"/>
        <v>1</v>
      </c>
      <c r="BS30" s="170">
        <f t="shared" si="18"/>
        <v>1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0</v>
      </c>
      <c r="BR40" s="170">
        <f>IF(CdTrp1!X55=1,3,IF(CdTrp1!X55=0.5,2,IF(CdTrp1!X55=0,1,0)))</f>
        <v>0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0</v>
      </c>
      <c r="BR51" s="170">
        <f>IF(CdTrp1!X79=1,1,IF(CdTrp1!X79=2,2,IF(CdTrp1!X79=3,2,0)))</f>
        <v>0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121</v>
      </c>
      <c r="AW61" s="170">
        <f>IF(AW16=0,0,IF(AW38=3,0,VALUE(CONCATENATE(Travail!AW27,Travail!AW38,Travail!AW49))))</f>
        <v>121</v>
      </c>
      <c r="AX61" s="170">
        <f>IF(AX16=0,0,IF(AX38=3,0,VALUE(CONCATENATE(Travail!AX27,Travail!AX38,Travail!AX49))))</f>
        <v>121</v>
      </c>
      <c r="AY61" s="170">
        <f>IF(AY16=0,0,IF(AY38=3,0,VALUE(CONCATENATE(Travail!AY27,Travail!AY38,Travail!AY49))))</f>
        <v>121</v>
      </c>
      <c r="AZ61" s="170">
        <f>IF(AZ16=0,0,IF(AZ38=3,0,VALUE(CONCATENATE(Travail!AZ27,Travail!AZ38,Travail!AZ49))))</f>
        <v>121</v>
      </c>
      <c r="BA61" s="170">
        <f>IF(BA16=0,0,IF(BA38=3,0,VALUE(CONCATENATE(Travail!BA27,Travail!BA38,Travail!BA49))))</f>
        <v>121</v>
      </c>
      <c r="BB61" s="170">
        <f>IF(BB16=0,0,IF(BB38=3,0,VALUE(CONCATENATE(Travail!BB27,Travail!BB38,Travail!BB49))))</f>
        <v>121</v>
      </c>
      <c r="BC61" s="170">
        <f>IF(BC16=0,0,IF(BC38=3,0,VALUE(CONCATENATE(Travail!BC27,Travail!BC38,Travail!BC49))))</f>
        <v>121</v>
      </c>
      <c r="BD61" s="170">
        <f>IF(BD16=0,0,IF(BD38=3,0,VALUE(CONCATENATE(Travail!BD27,Travail!BD38,Travail!BD49))))</f>
        <v>121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122</v>
      </c>
      <c r="BS61" s="170">
        <f>IF(BS16=0,0,IF(BS38=3,0,VALUE(CONCATENATE(Travail!BS27,Travail!BS38,Travail!BS49))))</f>
        <v>122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122</v>
      </c>
      <c r="AW62" s="170">
        <f>IF(AW17=0,0,IF(AW39=3,0,VALUE(CONCATENATE(Travail!AW28,Travail!AW39,Travail!AW50))))</f>
        <v>122</v>
      </c>
      <c r="AX62" s="170">
        <f>IF(AX17=0,0,IF(AX39=3,0,VALUE(CONCATENATE(Travail!AX28,Travail!AX39,Travail!AX50))))</f>
        <v>122</v>
      </c>
      <c r="AY62" s="170">
        <f>IF(AY17=0,0,IF(AY39=3,0,VALUE(CONCATENATE(Travail!AY28,Travail!AY39,Travail!AY50))))</f>
        <v>122</v>
      </c>
      <c r="AZ62" s="170">
        <f>IF(AZ17=0,0,IF(AZ39=3,0,VALUE(CONCATENATE(Travail!AZ28,Travail!AZ39,Travail!AZ50))))</f>
        <v>122</v>
      </c>
      <c r="BA62" s="170">
        <f>IF(BA17=0,0,IF(BA39=3,0,VALUE(CONCATENATE(Travail!BA28,Travail!BA39,Travail!BA50))))</f>
        <v>122</v>
      </c>
      <c r="BB62" s="170">
        <f>IF(BB17=0,0,IF(BB39=3,0,VALUE(CONCATENATE(Travail!BB28,Travail!BB39,Travail!BB50))))</f>
        <v>122</v>
      </c>
      <c r="BC62" s="170">
        <f>IF(BC17=0,0,IF(BC39=3,0,VALUE(CONCATENATE(Travail!BC28,Travail!BC39,Travail!BC50))))</f>
        <v>122</v>
      </c>
      <c r="BD62" s="170">
        <f>IF(BD17=0,0,IF(BD39=3,0,VALUE(CONCATENATE(Travail!BD28,Travail!BD39,Travail!BD50))))</f>
        <v>122</v>
      </c>
      <c r="BE62" s="170">
        <f>IF(BE17=0,0,IF(BE39=3,0,VALUE(CONCATENATE(Travail!BE28,Travail!BE39,Travail!BE50))))</f>
        <v>122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122</v>
      </c>
      <c r="BR62" s="170">
        <f>IF(BR17=0,0,IF(BR39=3,0,VALUE(CONCATENATE(Travail!BR28,Travail!BR39,Travail!BR50))))</f>
        <v>122</v>
      </c>
      <c r="BS62" s="170">
        <f>IF(BS17=0,0,IF(BS39=3,0,VALUE(CONCATENATE(Travail!BS28,Travail!BS39,Travail!BS50))))</f>
        <v>122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121</v>
      </c>
      <c r="BA64" s="170">
        <f>IF(BA19=0,0,IF(BA41=3,0,VALUE(CONCATENATE(Travail!BA30,Travail!BA41,Travail!BA52))))</f>
        <v>121</v>
      </c>
      <c r="BB64" s="170">
        <f>IF(BB19=0,0,IF(BB41=3,0,VALUE(CONCATENATE(Travail!BB30,Travail!BB41,Travail!BB52))))</f>
        <v>121</v>
      </c>
      <c r="BC64" s="170">
        <f>IF(BC19=0,0,IF(BC41=3,0,VALUE(CONCATENATE(Travail!BC30,Travail!BC41,Travail!BC52))))</f>
        <v>121</v>
      </c>
      <c r="BD64" s="170">
        <f>IF(BD19=0,0,IF(BD41=3,0,VALUE(CONCATENATE(Travail!BD30,Travail!BD41,Travail!BD52))))</f>
        <v>121</v>
      </c>
      <c r="BE64" s="170">
        <f>IF(BE19=0,0,IF(BE41=3,0,VALUE(CONCATENATE(Travail!BE30,Travail!BE41,Travail!BE52))))</f>
        <v>121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12</v>
      </c>
      <c r="AW72" s="170">
        <f t="shared" si="36"/>
        <v>12</v>
      </c>
      <c r="AX72" s="170">
        <f t="shared" si="36"/>
        <v>12</v>
      </c>
      <c r="AY72" s="170">
        <f t="shared" si="36"/>
        <v>12</v>
      </c>
      <c r="AZ72" s="170">
        <f t="shared" si="36"/>
        <v>12</v>
      </c>
      <c r="BA72" s="170">
        <f t="shared" si="36"/>
        <v>12</v>
      </c>
      <c r="BB72" s="170">
        <f t="shared" si="36"/>
        <v>12</v>
      </c>
      <c r="BC72" s="170">
        <f t="shared" si="36"/>
        <v>12</v>
      </c>
      <c r="BD72" s="170">
        <f t="shared" si="36"/>
        <v>12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12</v>
      </c>
      <c r="BS72" s="170">
        <f t="shared" si="36"/>
        <v>12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12</v>
      </c>
      <c r="AW73" s="170">
        <f t="shared" si="36"/>
        <v>12</v>
      </c>
      <c r="AX73" s="170">
        <f t="shared" si="36"/>
        <v>12</v>
      </c>
      <c r="AY73" s="170">
        <f t="shared" si="36"/>
        <v>12</v>
      </c>
      <c r="AZ73" s="170">
        <f t="shared" si="36"/>
        <v>12</v>
      </c>
      <c r="BA73" s="170">
        <f t="shared" si="36"/>
        <v>12</v>
      </c>
      <c r="BB73" s="170">
        <f t="shared" si="36"/>
        <v>12</v>
      </c>
      <c r="BC73" s="170">
        <f t="shared" si="36"/>
        <v>12</v>
      </c>
      <c r="BD73" s="170">
        <f t="shared" si="36"/>
        <v>12</v>
      </c>
      <c r="BE73" s="170">
        <f t="shared" si="36"/>
        <v>12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12</v>
      </c>
      <c r="BR73" s="170">
        <f t="shared" si="36"/>
        <v>12</v>
      </c>
      <c r="BS73" s="170">
        <f t="shared" si="36"/>
        <v>12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13</v>
      </c>
      <c r="AW75" s="170">
        <f t="shared" si="36"/>
        <v>13</v>
      </c>
      <c r="AX75" s="170">
        <f t="shared" si="36"/>
        <v>13</v>
      </c>
      <c r="AY75" s="170">
        <f t="shared" si="36"/>
        <v>13</v>
      </c>
      <c r="AZ75" s="170">
        <f t="shared" si="36"/>
        <v>12</v>
      </c>
      <c r="BA75" s="170">
        <f t="shared" si="36"/>
        <v>12</v>
      </c>
      <c r="BB75" s="170">
        <f t="shared" si="36"/>
        <v>12</v>
      </c>
      <c r="BC75" s="170">
        <f t="shared" si="36"/>
        <v>12</v>
      </c>
      <c r="BD75" s="170">
        <f t="shared" si="36"/>
        <v>12</v>
      </c>
      <c r="BE75" s="170">
        <f t="shared" si="36"/>
        <v>12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13</v>
      </c>
      <c r="BR75" s="170">
        <f t="shared" si="36"/>
        <v>13</v>
      </c>
      <c r="BS75" s="170">
        <f t="shared" si="36"/>
        <v>13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0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0</v>
      </c>
      <c r="C81" s="185">
        <f>[1]Protect!$B$10</f>
        <v>4</v>
      </c>
      <c r="D81" s="169"/>
      <c r="E81" s="169"/>
      <c r="F81" s="170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1</v>
      </c>
      <c r="AW81" s="170">
        <f t="shared" ref="AW81:BS81" si="44">COUNTIF(AW$71:AW$80,23)</f>
        <v>1</v>
      </c>
      <c r="AX81" s="170">
        <f t="shared" si="44"/>
        <v>1</v>
      </c>
      <c r="AY81" s="170">
        <f t="shared" si="44"/>
        <v>1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0</v>
      </c>
      <c r="BR81" s="170">
        <f t="shared" si="44"/>
        <v>1</v>
      </c>
      <c r="BS81" s="170">
        <f t="shared" si="44"/>
        <v>2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1</v>
      </c>
      <c r="AW82" s="170">
        <f t="shared" ref="AW82:BS82" si="47">COUNTIF(AW$71:AW$80,13)</f>
        <v>1</v>
      </c>
      <c r="AX82" s="170">
        <f t="shared" si="47"/>
        <v>1</v>
      </c>
      <c r="AY82" s="170">
        <f t="shared" si="47"/>
        <v>1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1</v>
      </c>
      <c r="BR82" s="170">
        <f t="shared" si="47"/>
        <v>1</v>
      </c>
      <c r="BS82" s="170">
        <f t="shared" si="47"/>
        <v>1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1</v>
      </c>
      <c r="AW83" s="170">
        <f t="shared" ref="AW83:BS83" si="50">COUNTIF(AW$71:AW$80,22)</f>
        <v>1</v>
      </c>
      <c r="AX83" s="170">
        <f t="shared" si="50"/>
        <v>1</v>
      </c>
      <c r="AY83" s="170">
        <f t="shared" si="50"/>
        <v>1</v>
      </c>
      <c r="AZ83" s="170">
        <f t="shared" si="50"/>
        <v>1</v>
      </c>
      <c r="BA83" s="170">
        <f t="shared" si="50"/>
        <v>1</v>
      </c>
      <c r="BB83" s="170">
        <f t="shared" si="50"/>
        <v>1</v>
      </c>
      <c r="BC83" s="170">
        <f t="shared" si="50"/>
        <v>1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1</v>
      </c>
      <c r="BR83" s="170">
        <f t="shared" si="50"/>
        <v>0</v>
      </c>
      <c r="BS83" s="170">
        <f t="shared" si="50"/>
        <v>0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2</v>
      </c>
      <c r="AW84" s="170">
        <f t="shared" ref="AW84:BS84" si="53">COUNTIF(AW$71:AW$80,12)</f>
        <v>2</v>
      </c>
      <c r="AX84" s="170">
        <f t="shared" si="53"/>
        <v>2</v>
      </c>
      <c r="AY84" s="170">
        <f t="shared" si="53"/>
        <v>2</v>
      </c>
      <c r="AZ84" s="170">
        <f t="shared" si="53"/>
        <v>3</v>
      </c>
      <c r="BA84" s="170">
        <f t="shared" si="53"/>
        <v>3</v>
      </c>
      <c r="BB84" s="170">
        <f t="shared" si="53"/>
        <v>3</v>
      </c>
      <c r="BC84" s="170">
        <f t="shared" si="53"/>
        <v>3</v>
      </c>
      <c r="BD84" s="170">
        <f t="shared" si="53"/>
        <v>3</v>
      </c>
      <c r="BE84" s="170">
        <f t="shared" si="53"/>
        <v>2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1</v>
      </c>
      <c r="BR84" s="170">
        <f t="shared" si="53"/>
        <v>2</v>
      </c>
      <c r="BS84" s="170">
        <f t="shared" si="53"/>
        <v>2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2074.0725714285718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234.66666666666666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391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0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4502.9392380952386</v>
      </c>
      <c r="D118" s="198">
        <f>B118/Troupeau!$B$17</f>
        <v>16.197623158615965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543.29999999999995</v>
      </c>
      <c r="D119" s="198">
        <f>IF(B119=0,0,B119/Troupeau!$C$17)</f>
        <v>27.164999999999999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5046.2392380952388</v>
      </c>
    </row>
    <row r="123" spans="1:132" x14ac:dyDescent="0.25">
      <c r="A123" s="2" t="s">
        <v>894</v>
      </c>
      <c r="B123" s="30">
        <f>B108</f>
        <v>391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0</v>
      </c>
    </row>
    <row r="126" spans="1:132" x14ac:dyDescent="0.25">
      <c r="A126" s="2" t="s">
        <v>910</v>
      </c>
      <c r="B126" s="30">
        <f>B114+B115+B116</f>
        <v>0</v>
      </c>
    </row>
    <row r="128" spans="1:132" x14ac:dyDescent="0.25">
      <c r="A128" s="2" t="s">
        <v>911</v>
      </c>
      <c r="B128" s="197">
        <f>SUM(B122:B126)</f>
        <v>6037.2392380952388</v>
      </c>
    </row>
    <row r="129" spans="1:2" x14ac:dyDescent="0.25">
      <c r="A129" s="2" t="s">
        <v>912</v>
      </c>
      <c r="B129" s="30">
        <f>IF(Scénario!K129=1,Travail!F77+Travail!F86,F86)</f>
        <v>0</v>
      </c>
    </row>
    <row r="130" spans="1:2" x14ac:dyDescent="0.25">
      <c r="A130" s="2" t="s">
        <v>913</v>
      </c>
      <c r="B130" s="197">
        <f>ROUND((B128-B129)/(Scénario!K4+Scénario!K6),0)</f>
        <v>3019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125.44999999999999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125.44999999999999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96.35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125.44999999999999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147065.19999999998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0</v>
      </c>
      <c r="BR51" s="217">
        <f>IF(CdTrp1!X79=1,1,IF(CdTrp1!X79=2,2,IF(CdTrp1!X79=3,2,0)))</f>
        <v>0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69.333333333333343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33.499999999999972</v>
      </c>
      <c r="C118" s="185">
        <f>IF(Scénario!$K$12="BV",[1]Eco!$B$78,IF(Scénario!$K$12="BL",[1]Eco!$B$77,[1]Eco!$B$76))</f>
        <v>223</v>
      </c>
      <c r="J118" s="170">
        <f>B118*C118</f>
        <v>7470.4999999999936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0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42854.854999999996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50718.1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53492.244999999988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26746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42492.244999999988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21246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0</v>
      </c>
      <c r="U234" t="s">
        <v>1142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0</v>
      </c>
      <c r="X245" s="170">
        <f>ROUND((([1]Protect!$B$5/[1]Protect!$B$11)+[1]Protect!$B$8)*T245,0)</f>
        <v>0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1157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1158</v>
      </c>
      <c r="X248" s="170">
        <f>SUM(X245:X247)</f>
        <v>660.33333333333337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9703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840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0</v>
      </c>
      <c r="U257" s="170">
        <f>IF(T257=0,0,[1]Protect!$B77)</f>
        <v>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1</v>
      </c>
      <c r="U258" s="170">
        <f>IF(T258=0,0,[1]Protect!$B78)</f>
        <v>20000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7762.4000000000005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7762.4000000000005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Z2_OLBV_T3_C2si</v>
      </c>
      <c r="D1" s="253" t="str">
        <f>CONCATENATE(C1,"_corr")</f>
        <v>Z2_OLBV_T3_C2si_corr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2</v>
      </c>
      <c r="D28" s="174">
        <f t="shared" si="0"/>
        <v>2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593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0</v>
      </c>
      <c r="D51" s="174">
        <f t="shared" si="0"/>
        <v>0</v>
      </c>
      <c r="E51" s="14"/>
    </row>
    <row r="52" spans="1:132" x14ac:dyDescent="0.25">
      <c r="B52" s="19" t="s">
        <v>607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618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635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5.7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faible</v>
      </c>
      <c r="AV88" s="170">
        <f t="shared" si="15"/>
        <v>1</v>
      </c>
      <c r="AW88" s="170">
        <f t="shared" si="15"/>
        <v>1</v>
      </c>
      <c r="AX88" s="170">
        <f t="shared" si="15"/>
        <v>1</v>
      </c>
      <c r="AY88" s="170">
        <f t="shared" si="15"/>
        <v>1</v>
      </c>
      <c r="AZ88" s="170">
        <f t="shared" si="15"/>
        <v>1</v>
      </c>
      <c r="BA88" s="170">
        <f t="shared" si="15"/>
        <v>1</v>
      </c>
      <c r="BB88" s="170">
        <f t="shared" si="15"/>
        <v>1</v>
      </c>
      <c r="BC88" s="170">
        <f t="shared" si="15"/>
        <v>1</v>
      </c>
      <c r="BD88" s="170">
        <f t="shared" si="15"/>
        <v>1</v>
      </c>
      <c r="BE88" s="170">
        <f t="shared" si="15"/>
        <v>1</v>
      </c>
      <c r="BF88" s="170">
        <f t="shared" si="15"/>
        <v>1</v>
      </c>
      <c r="BG88" s="170">
        <f t="shared" si="15"/>
        <v>1</v>
      </c>
      <c r="BH88" s="170">
        <f t="shared" si="15"/>
        <v>1</v>
      </c>
      <c r="BI88" s="170">
        <f t="shared" si="15"/>
        <v>1</v>
      </c>
      <c r="BJ88" s="170">
        <f t="shared" si="15"/>
        <v>1</v>
      </c>
      <c r="BK88" s="170">
        <f t="shared" si="15"/>
        <v>1</v>
      </c>
      <c r="BL88" s="170">
        <f t="shared" si="16"/>
        <v>1</v>
      </c>
      <c r="BM88" s="170">
        <f t="shared" si="16"/>
        <v>1</v>
      </c>
      <c r="BN88" s="170">
        <f t="shared" si="16"/>
        <v>1</v>
      </c>
      <c r="BO88" s="170">
        <f t="shared" si="16"/>
        <v>1</v>
      </c>
      <c r="BP88" s="170">
        <f t="shared" si="16"/>
        <v>1</v>
      </c>
      <c r="BQ88" s="170">
        <f t="shared" si="16"/>
        <v>1</v>
      </c>
      <c r="BR88" s="170">
        <f t="shared" si="16"/>
        <v>1</v>
      </c>
      <c r="BS88" s="170">
        <f t="shared" si="16"/>
        <v>1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1</v>
      </c>
      <c r="CC88" s="170">
        <f t="shared" si="18"/>
        <v>1</v>
      </c>
      <c r="CD88" s="170">
        <f t="shared" si="18"/>
        <v>1</v>
      </c>
      <c r="CE88" s="170">
        <f t="shared" si="18"/>
        <v>1</v>
      </c>
      <c r="CF88" s="170">
        <f t="shared" si="18"/>
        <v>1</v>
      </c>
      <c r="CG88" s="170">
        <f t="shared" si="18"/>
        <v>1</v>
      </c>
      <c r="CH88" s="170">
        <f t="shared" si="18"/>
        <v>1</v>
      </c>
      <c r="CI88" s="170">
        <f t="shared" si="18"/>
        <v>1</v>
      </c>
      <c r="CJ88" s="170">
        <f t="shared" si="18"/>
        <v>1</v>
      </c>
      <c r="CK88" s="170">
        <f t="shared" si="18"/>
        <v>1</v>
      </c>
      <c r="CL88" s="170">
        <f t="shared" si="18"/>
        <v>1</v>
      </c>
      <c r="CM88" s="170">
        <f t="shared" si="18"/>
        <v>1</v>
      </c>
      <c r="CN88" s="170">
        <f t="shared" si="18"/>
        <v>1</v>
      </c>
      <c r="CO88" s="170">
        <f t="shared" si="18"/>
        <v>1</v>
      </c>
      <c r="CP88" s="170">
        <f t="shared" si="18"/>
        <v>1</v>
      </c>
      <c r="CQ88" s="170">
        <f t="shared" si="18"/>
        <v>1</v>
      </c>
      <c r="CR88" s="170">
        <f t="shared" si="18"/>
        <v>1</v>
      </c>
      <c r="CS88" s="170">
        <f t="shared" si="18"/>
        <v>1</v>
      </c>
      <c r="CT88" s="170">
        <f t="shared" si="18"/>
        <v>1</v>
      </c>
      <c r="CU88" s="170">
        <f t="shared" si="18"/>
        <v>1</v>
      </c>
      <c r="CV88" s="170">
        <f t="shared" si="18"/>
        <v>1</v>
      </c>
      <c r="CW88" s="170">
        <f t="shared" si="18"/>
        <v>1</v>
      </c>
      <c r="CX88" s="170">
        <f t="shared" si="18"/>
        <v>1</v>
      </c>
      <c r="CY88" s="170">
        <f t="shared" si="18"/>
        <v>1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faible</v>
      </c>
      <c r="AV89" s="170">
        <f t="shared" si="15"/>
        <v>1</v>
      </c>
      <c r="AW89" s="170">
        <f t="shared" si="15"/>
        <v>1</v>
      </c>
      <c r="AX89" s="170">
        <f t="shared" si="15"/>
        <v>1</v>
      </c>
      <c r="AY89" s="170">
        <f t="shared" si="15"/>
        <v>1</v>
      </c>
      <c r="AZ89" s="170">
        <f t="shared" si="15"/>
        <v>1</v>
      </c>
      <c r="BA89" s="170">
        <f t="shared" si="15"/>
        <v>1</v>
      </c>
      <c r="BB89" s="170">
        <f t="shared" si="15"/>
        <v>1</v>
      </c>
      <c r="BC89" s="170">
        <f t="shared" si="15"/>
        <v>1</v>
      </c>
      <c r="BD89" s="170">
        <f t="shared" si="15"/>
        <v>1</v>
      </c>
      <c r="BE89" s="170">
        <f t="shared" si="15"/>
        <v>1</v>
      </c>
      <c r="BF89" s="170">
        <f t="shared" si="15"/>
        <v>1</v>
      </c>
      <c r="BG89" s="170">
        <f t="shared" si="15"/>
        <v>1</v>
      </c>
      <c r="BH89" s="170">
        <f t="shared" si="15"/>
        <v>1</v>
      </c>
      <c r="BI89" s="170">
        <f t="shared" si="15"/>
        <v>1</v>
      </c>
      <c r="BJ89" s="170">
        <f t="shared" si="15"/>
        <v>1</v>
      </c>
      <c r="BK89" s="170">
        <f t="shared" si="15"/>
        <v>1</v>
      </c>
      <c r="BL89" s="170">
        <f t="shared" si="16"/>
        <v>1</v>
      </c>
      <c r="BM89" s="170">
        <f t="shared" si="16"/>
        <v>1</v>
      </c>
      <c r="BN89" s="170">
        <f t="shared" si="16"/>
        <v>1</v>
      </c>
      <c r="BO89" s="170">
        <f t="shared" si="16"/>
        <v>1</v>
      </c>
      <c r="BP89" s="170">
        <f t="shared" si="16"/>
        <v>1</v>
      </c>
      <c r="BQ89" s="170">
        <f t="shared" si="16"/>
        <v>1</v>
      </c>
      <c r="BR89" s="170">
        <f t="shared" si="16"/>
        <v>1</v>
      </c>
      <c r="BS89" s="170">
        <f t="shared" si="16"/>
        <v>1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1</v>
      </c>
      <c r="CC89" s="170">
        <f t="shared" si="18"/>
        <v>1</v>
      </c>
      <c r="CD89" s="170">
        <f t="shared" si="18"/>
        <v>1</v>
      </c>
      <c r="CE89" s="170">
        <f t="shared" si="18"/>
        <v>1</v>
      </c>
      <c r="CF89" s="170">
        <f t="shared" si="18"/>
        <v>1</v>
      </c>
      <c r="CG89" s="170">
        <f t="shared" si="18"/>
        <v>1</v>
      </c>
      <c r="CH89" s="170">
        <f t="shared" si="18"/>
        <v>1</v>
      </c>
      <c r="CI89" s="170">
        <f t="shared" si="18"/>
        <v>1</v>
      </c>
      <c r="CJ89" s="170">
        <f t="shared" si="18"/>
        <v>1</v>
      </c>
      <c r="CK89" s="170">
        <f t="shared" si="18"/>
        <v>1</v>
      </c>
      <c r="CL89" s="170">
        <f t="shared" si="18"/>
        <v>1</v>
      </c>
      <c r="CM89" s="170">
        <f t="shared" si="18"/>
        <v>1</v>
      </c>
      <c r="CN89" s="170">
        <f t="shared" si="18"/>
        <v>1</v>
      </c>
      <c r="CO89" s="170">
        <f t="shared" si="18"/>
        <v>1</v>
      </c>
      <c r="CP89" s="170">
        <f t="shared" si="18"/>
        <v>1</v>
      </c>
      <c r="CQ89" s="170">
        <f t="shared" si="18"/>
        <v>1</v>
      </c>
      <c r="CR89" s="170">
        <f t="shared" si="18"/>
        <v>1</v>
      </c>
      <c r="CS89" s="170">
        <f t="shared" si="18"/>
        <v>1</v>
      </c>
      <c r="CT89" s="170">
        <f t="shared" si="18"/>
        <v>1</v>
      </c>
      <c r="CU89" s="170">
        <f t="shared" si="18"/>
        <v>1</v>
      </c>
      <c r="CV89" s="170">
        <f t="shared" si="18"/>
        <v>1</v>
      </c>
      <c r="CW89" s="170">
        <f t="shared" si="18"/>
        <v>1</v>
      </c>
      <c r="CX89" s="170">
        <f t="shared" si="18"/>
        <v>1</v>
      </c>
      <c r="CY89" s="170">
        <f t="shared" si="18"/>
        <v>1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faible</v>
      </c>
      <c r="AV91" s="170">
        <f t="shared" si="15"/>
        <v>1</v>
      </c>
      <c r="AW91" s="170">
        <f t="shared" si="15"/>
        <v>1</v>
      </c>
      <c r="AX91" s="170">
        <f t="shared" si="15"/>
        <v>1</v>
      </c>
      <c r="AY91" s="170">
        <f t="shared" si="15"/>
        <v>1</v>
      </c>
      <c r="AZ91" s="170">
        <f t="shared" si="15"/>
        <v>1</v>
      </c>
      <c r="BA91" s="170">
        <f t="shared" si="15"/>
        <v>1</v>
      </c>
      <c r="BB91" s="170">
        <f t="shared" si="15"/>
        <v>1</v>
      </c>
      <c r="BC91" s="170">
        <f t="shared" si="15"/>
        <v>1</v>
      </c>
      <c r="BD91" s="170">
        <f t="shared" si="15"/>
        <v>1</v>
      </c>
      <c r="BE91" s="170">
        <f t="shared" si="15"/>
        <v>1</v>
      </c>
      <c r="BF91" s="170">
        <f t="shared" si="15"/>
        <v>1</v>
      </c>
      <c r="BG91" s="170">
        <f t="shared" si="15"/>
        <v>1</v>
      </c>
      <c r="BH91" s="170">
        <f t="shared" si="15"/>
        <v>1</v>
      </c>
      <c r="BI91" s="170">
        <f t="shared" si="15"/>
        <v>1</v>
      </c>
      <c r="BJ91" s="170">
        <f t="shared" si="15"/>
        <v>1</v>
      </c>
      <c r="BK91" s="170">
        <f t="shared" si="15"/>
        <v>1</v>
      </c>
      <c r="BL91" s="170">
        <f t="shared" si="16"/>
        <v>1</v>
      </c>
      <c r="BM91" s="170">
        <f t="shared" si="16"/>
        <v>1</v>
      </c>
      <c r="BN91" s="170">
        <f t="shared" si="16"/>
        <v>1</v>
      </c>
      <c r="BO91" s="170">
        <f t="shared" si="16"/>
        <v>1</v>
      </c>
      <c r="BP91" s="170">
        <f t="shared" si="16"/>
        <v>1</v>
      </c>
      <c r="BQ91" s="170">
        <f t="shared" si="16"/>
        <v>1</v>
      </c>
      <c r="BR91" s="170">
        <f t="shared" si="16"/>
        <v>1</v>
      </c>
      <c r="BS91" s="170">
        <f t="shared" si="16"/>
        <v>1</v>
      </c>
      <c r="BZ91" s="184" t="str">
        <f t="shared" si="17"/>
        <v>lot5</v>
      </c>
      <c r="CA91" s="187">
        <f>Scénario!K110</f>
        <v>0</v>
      </c>
      <c r="CB91" s="170">
        <f t="shared" si="21"/>
        <v>1</v>
      </c>
      <c r="CC91" s="170">
        <f t="shared" si="18"/>
        <v>1</v>
      </c>
      <c r="CD91" s="170">
        <f t="shared" si="18"/>
        <v>1</v>
      </c>
      <c r="CE91" s="170">
        <f t="shared" si="18"/>
        <v>1</v>
      </c>
      <c r="CF91" s="170">
        <f t="shared" si="18"/>
        <v>1</v>
      </c>
      <c r="CG91" s="170">
        <f t="shared" si="18"/>
        <v>1</v>
      </c>
      <c r="CH91" s="170">
        <f t="shared" si="18"/>
        <v>1</v>
      </c>
      <c r="CI91" s="170">
        <f t="shared" si="18"/>
        <v>1</v>
      </c>
      <c r="CJ91" s="170">
        <f t="shared" si="18"/>
        <v>1</v>
      </c>
      <c r="CK91" s="170">
        <f t="shared" si="18"/>
        <v>1</v>
      </c>
      <c r="CL91" s="170">
        <f t="shared" si="18"/>
        <v>1</v>
      </c>
      <c r="CM91" s="170">
        <f t="shared" si="18"/>
        <v>1</v>
      </c>
      <c r="CN91" s="170">
        <f t="shared" si="18"/>
        <v>1</v>
      </c>
      <c r="CO91" s="170">
        <f t="shared" si="18"/>
        <v>1</v>
      </c>
      <c r="CP91" s="170">
        <f t="shared" si="18"/>
        <v>1</v>
      </c>
      <c r="CQ91" s="170">
        <f t="shared" si="18"/>
        <v>1</v>
      </c>
      <c r="CR91" s="170">
        <f t="shared" si="18"/>
        <v>1</v>
      </c>
      <c r="CS91" s="170">
        <f t="shared" si="18"/>
        <v>1</v>
      </c>
      <c r="CT91" s="170">
        <f t="shared" si="18"/>
        <v>1</v>
      </c>
      <c r="CU91" s="170">
        <f t="shared" si="18"/>
        <v>1</v>
      </c>
      <c r="CV91" s="170">
        <f t="shared" si="18"/>
        <v>1</v>
      </c>
      <c r="CW91" s="170">
        <f t="shared" si="18"/>
        <v>1</v>
      </c>
      <c r="CX91" s="170">
        <f t="shared" si="18"/>
        <v>1</v>
      </c>
      <c r="CY91" s="170">
        <f t="shared" si="18"/>
        <v>1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0</v>
      </c>
      <c r="AD97" s="30">
        <f>CdTrp1!X79</f>
        <v>0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0</v>
      </c>
      <c r="BR101" s="170">
        <f>IF(CdTrp1!X55=1,3,IF(CdTrp1!X55=0.5,2,IF(CdTrp1!X55=0,1,0)))</f>
        <v>0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34</v>
      </c>
      <c r="D106" s="170">
        <f t="shared" si="25"/>
        <v>34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53.5</v>
      </c>
      <c r="D109" s="170">
        <f t="shared" si="25"/>
        <v>53.5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0</v>
      </c>
      <c r="BR112" s="170">
        <f>IF(CdTrp1!X79=1,1,IF(CdTrp1!X79=2,2,IF(CdTrp1!X79=3,2,IF(CdTrp1!X79=4,4,0))))</f>
        <v>0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10.5</v>
      </c>
      <c r="D113" s="170">
        <f t="shared" si="25"/>
        <v>10.5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3.5</v>
      </c>
      <c r="D128" s="170">
        <f t="shared" si="25"/>
        <v>3.5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4</v>
      </c>
      <c r="AD132">
        <f t="shared" si="38"/>
        <v>2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0.625</v>
      </c>
      <c r="D133" s="260">
        <f t="shared" si="25"/>
        <v>0.625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0.54666666666666663</v>
      </c>
      <c r="D136" s="260">
        <f t="shared" si="25"/>
        <v>0.54666666666666663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80.474999999999994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70.023082318061228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141.10000000000002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174.6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10.451917681938767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-33.499999999999972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33.499999999999972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0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0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1349</v>
      </c>
      <c r="C188" s="170">
        <f>'Calcul éco'!T236</f>
        <v>0</v>
      </c>
      <c r="D188" s="170">
        <f t="shared" ref="D188:D189" si="101">C188</f>
        <v>0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0</v>
      </c>
      <c r="D189" s="170">
        <f t="shared" si="101"/>
        <v>0</v>
      </c>
      <c r="AH189" s="15"/>
      <c r="AJ189" s="14" t="s">
        <v>1155</v>
      </c>
      <c r="AK189" s="30">
        <f>D189</f>
        <v>0</v>
      </c>
      <c r="AO189" s="170">
        <f>ROUND((([1]Protect!$B$5/[1]Protect!$B$11)+[1]Protect!$B$8)*AK189,0)</f>
        <v>0</v>
      </c>
    </row>
    <row r="190" spans="1:132" x14ac:dyDescent="0.25">
      <c r="B190" s="14" t="s">
        <v>1351</v>
      </c>
      <c r="C190" s="170">
        <f>'Calcul éco'!T246*(30)</f>
        <v>0</v>
      </c>
      <c r="D190" s="170">
        <f>C190</f>
        <v>0</v>
      </c>
      <c r="AH190" s="15"/>
      <c r="AJ190" s="14" t="s">
        <v>1156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1352</v>
      </c>
      <c r="C191" s="193">
        <f>ROUND(SUM(Travail!F69:F74)/8,1)</f>
        <v>0</v>
      </c>
      <c r="D191" s="170">
        <f>C191</f>
        <v>0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1356</v>
      </c>
      <c r="C192" s="170">
        <f>(Travail!F83+Travail!F84)/8</f>
        <v>0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660.33333333333337</v>
      </c>
    </row>
    <row r="193" spans="1:43" x14ac:dyDescent="0.25">
      <c r="B193" s="14" t="s">
        <v>1358</v>
      </c>
      <c r="C193" s="170">
        <f>(Travail!F75+Travail!F76+Travail!F81)/8</f>
        <v>0</v>
      </c>
      <c r="D193" s="170">
        <f>C193</f>
        <v>0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0</v>
      </c>
      <c r="AQ207" s="5"/>
    </row>
    <row r="208" spans="1:43" x14ac:dyDescent="0.25">
      <c r="B208" s="207" t="s">
        <v>1025</v>
      </c>
      <c r="C208" s="170">
        <f>ROUND('Calcul éco'!J44,0)</f>
        <v>8405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660.33333333333337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660.33333333333337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0</v>
      </c>
      <c r="D210" s="262">
        <f>ROUND(AL207,0)</f>
        <v>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49154.400000000001</v>
      </c>
      <c r="D211" s="262">
        <f>ROUND(SUM(D201:D210),0)</f>
        <v>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1858.4749999999999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10494.579999999994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0</v>
      </c>
      <c r="D220" s="262">
        <f>SUM(AN215:AN219)</f>
        <v>0</v>
      </c>
      <c r="E220" s="17" t="s">
        <v>1394</v>
      </c>
      <c r="H220" s="14" t="s">
        <v>1038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42855</v>
      </c>
      <c r="D221" s="262">
        <f>ROUND(SUM(D216:D220),0)</f>
        <v>0</v>
      </c>
      <c r="E221" s="17" t="s">
        <v>1394</v>
      </c>
      <c r="H221" s="14" t="s">
        <v>1039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0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1402</v>
      </c>
      <c r="C235" s="170">
        <f>'Calcul éco'!J167</f>
        <v>0</v>
      </c>
      <c r="D235" s="262">
        <f>(D191+D192)*8*[1]Eco!$B$106</f>
        <v>0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50718</v>
      </c>
      <c r="D236" s="262">
        <f>ROUND(SUM(D222:D235),0)</f>
        <v>20682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53492.399999999994</v>
      </c>
      <c r="D237" s="262">
        <f>D194+D211-D221-D236</f>
        <v>-20682</v>
      </c>
    </row>
    <row r="238" spans="1:49" x14ac:dyDescent="0.25">
      <c r="B238" s="207" t="s">
        <v>1131</v>
      </c>
      <c r="C238" s="170">
        <f>ROUND(C237/Scénario!$K$4,0)</f>
        <v>26746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0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42492</v>
      </c>
      <c r="D241" s="266">
        <f>ROUND(D237-D239-D240,0)</f>
        <v>-31682</v>
      </c>
    </row>
    <row r="242" spans="1:15" x14ac:dyDescent="0.25">
      <c r="B242" s="207" t="s">
        <v>1135</v>
      </c>
      <c r="C242" s="170">
        <f>ROUND(C241/Scénario!K4,0)</f>
        <v>21246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7" t="s">
        <v>1407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186.66666666666666</v>
      </c>
      <c r="D251" s="170">
        <f>C251</f>
        <v>186.66666666666666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0</v>
      </c>
      <c r="D252" s="170">
        <f t="shared" ref="D252:D253" si="113">C252</f>
        <v>0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0</v>
      </c>
      <c r="D275" s="170">
        <f>C275</f>
        <v>0</v>
      </c>
    </row>
    <row r="276" spans="1:4" x14ac:dyDescent="0.25">
      <c r="A276" s="23"/>
      <c r="B276" s="32" t="s">
        <v>1418</v>
      </c>
      <c r="C276" s="268">
        <f>C192*8</f>
        <v>0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0</v>
      </c>
      <c r="D277" s="170">
        <f>C277</f>
        <v>0</v>
      </c>
    </row>
    <row r="278" spans="1:4" x14ac:dyDescent="0.25">
      <c r="B278" s="32" t="s">
        <v>1420</v>
      </c>
      <c r="C278" s="268">
        <f>Travail!F76</f>
        <v>0</v>
      </c>
      <c r="D278" s="170">
        <f>C278</f>
        <v>0</v>
      </c>
    </row>
    <row r="279" spans="1:4" x14ac:dyDescent="0.25">
      <c r="B279" s="32" t="s">
        <v>1421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4503</v>
      </c>
      <c r="D281" s="262">
        <f>ROUND(D245+D248+D251+D254+D257+D260+D261,0)</f>
        <v>1282</v>
      </c>
    </row>
    <row r="282" spans="1:4" x14ac:dyDescent="0.25">
      <c r="B282" s="14" t="s">
        <v>1425</v>
      </c>
      <c r="C282" s="170">
        <f>ROUND(C246+C249+C252+C255+C258,0)</f>
        <v>543</v>
      </c>
      <c r="D282" s="262">
        <f>ROUND(D246+D249+D252+D255+D258,0)</f>
        <v>90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16.2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27.15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5046</v>
      </c>
      <c r="D287" s="262">
        <f>SUM(D281:D283)</f>
        <v>1372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1434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911</v>
      </c>
      <c r="C292" s="170">
        <f>ROUND(SUM(C287:C291),0)</f>
        <v>6037</v>
      </c>
      <c r="D292" s="262">
        <f>ROUND(SUM(D287:D291),0)</f>
        <v>1972</v>
      </c>
    </row>
    <row r="293" spans="2:4" x14ac:dyDescent="0.25">
      <c r="B293" s="14" t="s">
        <v>912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913</v>
      </c>
      <c r="C294" s="170">
        <f>ROUND((C292-C293)/C83,0)</f>
        <v>3019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1451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0</v>
      </c>
    </row>
    <row r="308" spans="2:3" x14ac:dyDescent="0.25">
      <c r="B308" s="14" t="s">
        <v>1458</v>
      </c>
      <c r="C308" s="170">
        <f>'Calcul éco'!X235</f>
        <v>0</v>
      </c>
    </row>
    <row r="309" spans="2:3" x14ac:dyDescent="0.25">
      <c r="B309" s="14" t="s">
        <v>1459</v>
      </c>
      <c r="C309" s="170">
        <f>'Calcul éco'!X236</f>
        <v>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zoomScale="90" zoomScaleNormal="90" workbookViewId="0">
      <pane ySplit="1" topLeftCell="A49" activePane="bottomLeft" state="frozen"/>
      <selection pane="bottomLeft" activeCell="U80" sqref="U80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99</v>
      </c>
      <c r="X55" s="273">
        <v>99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34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/>
      <c r="X79" s="273"/>
      <c r="Y79" s="273">
        <v>2</v>
      </c>
      <c r="AB79" s="142">
        <v>2</v>
      </c>
      <c r="AC79">
        <f t="shared" ref="AC79:AC81" si="30">COUNTIF($B$76:$Y$85,AB79)/2</f>
        <v>10.5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41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2023-01-16T18:33:57Z</dcterms:modified>
</cp:coreProperties>
</file>