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19200" windowHeight="7515" tabRatio="734" activeTab="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5" i="29" l="1"/>
  <c r="BK13" i="29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E26" i="29" s="1"/>
  <c r="BF26" i="29" s="1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S30" i="29"/>
  <c r="L30" i="29"/>
  <c r="K30" i="29"/>
  <c r="E30" i="29"/>
  <c r="D30" i="29"/>
  <c r="C30" i="29"/>
  <c r="Z29" i="29"/>
  <c r="Y29" i="29"/>
  <c r="S29" i="29"/>
  <c r="L29" i="29"/>
  <c r="K29" i="29"/>
  <c r="E29" i="29"/>
  <c r="D29" i="29"/>
  <c r="C29" i="29"/>
  <c r="V12" i="29"/>
  <c r="R12" i="29"/>
  <c r="Q12" i="29"/>
  <c r="P12" i="29"/>
  <c r="O12" i="29"/>
  <c r="N12" i="29"/>
  <c r="D12" i="29"/>
  <c r="C12" i="29"/>
  <c r="C10" i="29"/>
  <c r="V9" i="29"/>
  <c r="R9" i="29"/>
  <c r="Q9" i="29"/>
  <c r="P9" i="29"/>
  <c r="O9" i="29"/>
  <c r="N9" i="29"/>
  <c r="D9" i="29"/>
  <c r="C9" i="29"/>
  <c r="V8" i="29"/>
  <c r="R8" i="29"/>
  <c r="Q8" i="29"/>
  <c r="P8" i="29"/>
  <c r="O8" i="29"/>
  <c r="N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E22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W71" i="29" s="1"/>
  <c r="V84" i="29"/>
  <c r="U84" i="29"/>
  <c r="T84" i="29"/>
  <c r="S84" i="29"/>
  <c r="R84" i="29"/>
  <c r="Q84" i="29"/>
  <c r="P84" i="29"/>
  <c r="O84" i="29"/>
  <c r="O71" i="29" s="1"/>
  <c r="N84" i="29"/>
  <c r="M84" i="29"/>
  <c r="L84" i="29"/>
  <c r="K84" i="29"/>
  <c r="J84" i="29"/>
  <c r="I84" i="29"/>
  <c r="H84" i="29"/>
  <c r="G84" i="29"/>
  <c r="G71" i="29" s="1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E70" i="29" s="1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X73" i="29"/>
  <c r="T73" i="29"/>
  <c r="S73" i="29"/>
  <c r="O73" i="29"/>
  <c r="K73" i="29"/>
  <c r="H73" i="29"/>
  <c r="D73" i="29"/>
  <c r="C73" i="29"/>
  <c r="AA72" i="29"/>
  <c r="Y72" i="29" s="1"/>
  <c r="K72" i="29"/>
  <c r="J72" i="29"/>
  <c r="E72" i="29"/>
  <c r="AA71" i="29"/>
  <c r="H71" i="29" s="1"/>
  <c r="X71" i="29"/>
  <c r="D71" i="29"/>
  <c r="AA70" i="29"/>
  <c r="R70" i="29" s="1"/>
  <c r="Y70" i="29"/>
  <c r="F70" i="29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Y165" i="28" l="1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BE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BG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A92" i="32"/>
  <c r="AU92" i="32"/>
  <c r="BS92" i="32" s="1"/>
  <c r="DW91" i="32"/>
  <c r="DV91" i="32"/>
  <c r="DU91" i="32"/>
  <c r="DM91" i="32"/>
  <c r="DK91" i="32"/>
  <c r="DJ91" i="32"/>
  <c r="DD91" i="32"/>
  <c r="DZ91" i="32" s="1"/>
  <c r="CX91" i="32"/>
  <c r="CH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A90" i="32"/>
  <c r="BZ90" i="32"/>
  <c r="BZ154" i="32" s="1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C54" i="32"/>
  <c r="D54" i="32" s="1"/>
  <c r="D53" i="32"/>
  <c r="C53" i="32"/>
  <c r="D52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D27" i="32"/>
  <c r="C27" i="32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75" i="31"/>
  <c r="T246" i="31"/>
  <c r="B166" i="31" s="1"/>
  <c r="W273" i="31"/>
  <c r="AM217" i="32" s="1"/>
  <c r="T240" i="31"/>
  <c r="T273" i="31" s="1"/>
  <c r="C188" i="32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B87" i="30"/>
  <c r="B86" i="30"/>
  <c r="F86" i="30" s="1"/>
  <c r="F72" i="30"/>
  <c r="DC63" i="30"/>
  <c r="C274" i="32"/>
  <c r="C273" i="32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AX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D16" i="30" s="1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N111" i="30" s="1"/>
  <c r="BM20" i="30"/>
  <c r="BK20" i="30"/>
  <c r="BJ20" i="30"/>
  <c r="BI20" i="30"/>
  <c r="BI76" i="30" s="1"/>
  <c r="BG20" i="30"/>
  <c r="BF20" i="30"/>
  <c r="BF65" i="30" s="1"/>
  <c r="BF111" i="30" s="1"/>
  <c r="BE20" i="30"/>
  <c r="BC20" i="30"/>
  <c r="BB20" i="30"/>
  <c r="BA20" i="30"/>
  <c r="BA76" i="30" s="1"/>
  <c r="AY20" i="30"/>
  <c r="AX20" i="30"/>
  <c r="AX65" i="30" s="1"/>
  <c r="AX111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S62" i="29"/>
  <c r="S63" i="29" s="1"/>
  <c r="S49" i="29" s="1"/>
  <c r="O62" i="29"/>
  <c r="O63" i="29" s="1"/>
  <c r="O49" i="29" s="1"/>
  <c r="K62" i="29"/>
  <c r="K63" i="29" s="1"/>
  <c r="K49" i="29" s="1"/>
  <c r="G62" i="29"/>
  <c r="G63" i="29" s="1"/>
  <c r="G49" i="29" s="1"/>
  <c r="C59" i="29"/>
  <c r="Y26" i="29"/>
  <c r="U26" i="29"/>
  <c r="U30" i="29" s="1"/>
  <c r="Q26" i="29"/>
  <c r="Q30" i="29" s="1"/>
  <c r="M26" i="29"/>
  <c r="M30" i="29" s="1"/>
  <c r="I26" i="29"/>
  <c r="I30" i="29" s="1"/>
  <c r="E26" i="29"/>
  <c r="Z25" i="29"/>
  <c r="V25" i="29"/>
  <c r="V29" i="29" s="1"/>
  <c r="R25" i="29"/>
  <c r="R29" i="29" s="1"/>
  <c r="N25" i="29"/>
  <c r="N29" i="29" s="1"/>
  <c r="J25" i="29"/>
  <c r="J29" i="29" s="1"/>
  <c r="F25" i="29"/>
  <c r="F29" i="29" s="1"/>
  <c r="W25" i="29"/>
  <c r="W29" i="29" s="1"/>
  <c r="S25" i="29"/>
  <c r="O25" i="29"/>
  <c r="O29" i="29" s="1"/>
  <c r="K25" i="29"/>
  <c r="G25" i="29"/>
  <c r="G29" i="29" s="1"/>
  <c r="X26" i="29"/>
  <c r="X30" i="29" s="1"/>
  <c r="T26" i="29"/>
  <c r="T30" i="29" s="1"/>
  <c r="P26" i="29"/>
  <c r="P30" i="29" s="1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W30" i="29" s="1"/>
  <c r="O26" i="29"/>
  <c r="O30" i="29" s="1"/>
  <c r="G26" i="29"/>
  <c r="G30" i="29" s="1"/>
  <c r="Y25" i="29"/>
  <c r="Q25" i="29"/>
  <c r="Q29" i="29" s="1"/>
  <c r="I25" i="29"/>
  <c r="I29" i="29" s="1"/>
  <c r="AK22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S20" i="29"/>
  <c r="S21" i="29" s="1"/>
  <c r="S7" i="29" s="1"/>
  <c r="S12" i="29" s="1"/>
  <c r="R20" i="29"/>
  <c r="R21" i="29" s="1"/>
  <c r="R7" i="29" s="1"/>
  <c r="O20" i="29"/>
  <c r="O21" i="29" s="1"/>
  <c r="O7" i="29" s="1"/>
  <c r="N20" i="29"/>
  <c r="N21" i="29" s="1"/>
  <c r="N7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Z5" i="29"/>
  <c r="Z9" i="29" s="1"/>
  <c r="W5" i="29"/>
  <c r="W9" i="29" s="1"/>
  <c r="V5" i="29"/>
  <c r="S5" i="29"/>
  <c r="S9" i="29" s="1"/>
  <c r="R5" i="29"/>
  <c r="O5" i="29"/>
  <c r="N5" i="29"/>
  <c r="K5" i="29"/>
  <c r="K9" i="29" s="1"/>
  <c r="J5" i="29"/>
  <c r="J9" i="29" s="1"/>
  <c r="G5" i="29"/>
  <c r="G9" i="29" s="1"/>
  <c r="F5" i="29"/>
  <c r="F9" i="29" s="1"/>
  <c r="C5" i="29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D239" i="32" l="1"/>
  <c r="D280" i="32"/>
  <c r="D273" i="32"/>
  <c r="D274" i="32"/>
  <c r="BL92" i="32"/>
  <c r="BG29" i="30"/>
  <c r="BA31" i="30"/>
  <c r="AV90" i="32"/>
  <c r="CP91" i="32"/>
  <c r="CY92" i="32"/>
  <c r="BQ29" i="30"/>
  <c r="BF31" i="30"/>
  <c r="CB92" i="32"/>
  <c r="BH31" i="30"/>
  <c r="AX92" i="32"/>
  <c r="CD92" i="32"/>
  <c r="BL31" i="30"/>
  <c r="CJ90" i="32"/>
  <c r="AZ92" i="32"/>
  <c r="CR92" i="32"/>
  <c r="BQ31" i="30"/>
  <c r="BA92" i="32"/>
  <c r="CT92" i="32"/>
  <c r="AV31" i="30"/>
  <c r="BR31" i="30"/>
  <c r="BI92" i="32"/>
  <c r="AW31" i="30"/>
  <c r="BJ92" i="32"/>
  <c r="D223" i="32"/>
  <c r="D224" i="32"/>
  <c r="D188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Z201" i="29" s="1"/>
  <c r="Z212" i="29" s="1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CY161" i="32" s="1"/>
  <c r="CY162" i="32" s="1"/>
  <c r="L110" i="3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F69" i="30"/>
  <c r="B109" i="30" s="1"/>
  <c r="AY92" i="31"/>
  <c r="AE166" i="31"/>
  <c r="G202" i="29"/>
  <c r="G213" i="29" s="1"/>
  <c r="AG166" i="31"/>
  <c r="X275" i="31"/>
  <c r="N201" i="29"/>
  <c r="N212" i="29" s="1"/>
  <c r="V201" i="29"/>
  <c r="V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A75" i="30" s="1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A111" i="30" s="1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AY111" i="30" s="1"/>
  <c r="BG76" i="30"/>
  <c r="BG65" i="30"/>
  <c r="BG111" i="30" s="1"/>
  <c r="BO76" i="30"/>
  <c r="BO65" i="30"/>
  <c r="BO111" i="30" s="1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111" i="30" s="1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N15" i="29"/>
  <c r="Y15" i="29"/>
  <c r="D25" i="29"/>
  <c r="L25" i="29"/>
  <c r="T25" i="29"/>
  <c r="T29" i="29" s="1"/>
  <c r="J26" i="29"/>
  <c r="J30" i="29" s="1"/>
  <c r="R26" i="29"/>
  <c r="R30" i="29" s="1"/>
  <c r="Z26" i="29"/>
  <c r="Y58" i="29"/>
  <c r="Y62" i="29"/>
  <c r="Y63" i="29" s="1"/>
  <c r="Y49" i="29" s="1"/>
  <c r="Y55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111" i="30" s="1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BI111" i="30" s="1"/>
  <c r="CV65" i="30"/>
  <c r="AX66" i="30"/>
  <c r="CK66" i="30"/>
  <c r="DU66" i="30"/>
  <c r="BS67" i="30"/>
  <c r="DK69" i="30"/>
  <c r="BI71" i="30"/>
  <c r="CV71" i="30"/>
  <c r="AW72" i="30"/>
  <c r="DT72" i="30"/>
  <c r="BQ73" i="30"/>
  <c r="DH73" i="30"/>
  <c r="CS74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M29" i="29" s="1"/>
  <c r="U25" i="29"/>
  <c r="U29" i="29" s="1"/>
  <c r="C26" i="29"/>
  <c r="K26" i="29"/>
  <c r="S26" i="29"/>
  <c r="F17" i="29"/>
  <c r="F16" i="29"/>
  <c r="N17" i="29"/>
  <c r="N16" i="29"/>
  <c r="V17" i="29"/>
  <c r="C3" i="29"/>
  <c r="C19" i="29"/>
  <c r="C4" i="29"/>
  <c r="G3" i="29"/>
  <c r="G4" i="29"/>
  <c r="K3" i="29"/>
  <c r="K4" i="29"/>
  <c r="O3" i="29"/>
  <c r="O4" i="29"/>
  <c r="S3" i="29"/>
  <c r="S8" i="29" s="1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5" i="29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5" i="29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5" i="29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61" i="29"/>
  <c r="F48" i="29" s="1"/>
  <c r="F59" i="29"/>
  <c r="F58" i="29"/>
  <c r="F57" i="29"/>
  <c r="N62" i="29"/>
  <c r="N63" i="29" s="1"/>
  <c r="N49" i="29" s="1"/>
  <c r="N61" i="29"/>
  <c r="N48" i="29" s="1"/>
  <c r="N59" i="29"/>
  <c r="N58" i="29"/>
  <c r="N57" i="29"/>
  <c r="V62" i="29"/>
  <c r="V63" i="29" s="1"/>
  <c r="V49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AW111" i="30" s="1"/>
  <c r="BE76" i="30"/>
  <c r="BE65" i="30"/>
  <c r="BE111" i="30" s="1"/>
  <c r="BM76" i="30"/>
  <c r="BM65" i="30"/>
  <c r="BM111" i="30" s="1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111" i="30" s="1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BQ111" i="30" s="1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BB77" i="30"/>
  <c r="CO77" i="30"/>
  <c r="DY77" i="30"/>
  <c r="CD78" i="30"/>
  <c r="DN78" i="30"/>
  <c r="BL79" i="30"/>
  <c r="CY79" i="30"/>
  <c r="BA80" i="30"/>
  <c r="CN80" i="30"/>
  <c r="DX80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P201" i="29"/>
  <c r="P212" i="29" s="1"/>
  <c r="R16" i="29"/>
  <c r="J62" i="29"/>
  <c r="J63" i="29" s="1"/>
  <c r="J49" i="29" s="1"/>
  <c r="J61" i="29"/>
  <c r="J48" i="29" s="1"/>
  <c r="J53" i="29" s="1"/>
  <c r="J59" i="29"/>
  <c r="J58" i="29"/>
  <c r="J57" i="29"/>
  <c r="Z62" i="29"/>
  <c r="Z63" i="29" s="1"/>
  <c r="Z49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C111" i="30" s="1"/>
  <c r="BK76" i="30"/>
  <c r="BK65" i="30"/>
  <c r="BK111" i="30" s="1"/>
  <c r="BS76" i="30"/>
  <c r="BS65" i="30"/>
  <c r="BS111" i="30" s="1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111" i="30" s="1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I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P29" i="29" s="1"/>
  <c r="X25" i="29"/>
  <c r="X29" i="29" s="1"/>
  <c r="F26" i="29"/>
  <c r="F30" i="29" s="1"/>
  <c r="N26" i="29"/>
  <c r="N30" i="29" s="1"/>
  <c r="V26" i="29"/>
  <c r="V30" i="29" s="1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111" i="30" s="1"/>
  <c r="BB76" i="30"/>
  <c r="BJ65" i="30"/>
  <c r="BJ111" i="30" s="1"/>
  <c r="BJ76" i="30"/>
  <c r="BR65" i="30"/>
  <c r="BR111" i="30" s="1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111" i="30" s="1"/>
  <c r="AV76" i="30"/>
  <c r="BL65" i="30"/>
  <c r="BL111" i="30" s="1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BR100" i="30"/>
  <c r="BR101" i="30" s="1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O100" i="30"/>
  <c r="BO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C187" i="32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X235" i="31"/>
  <c r="C308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AK227" i="32"/>
  <c r="AO227" i="32" s="1"/>
  <c r="AJ219" i="32"/>
  <c r="AN219" i="32" s="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X236" i="31"/>
  <c r="C309" i="32" s="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BG160" i="32"/>
  <c r="BG161" i="32" s="1"/>
  <c r="BG162" i="32" s="1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D186" i="32" l="1"/>
  <c r="AJ217" i="32" s="1"/>
  <c r="AI165" i="31"/>
  <c r="BA64" i="30"/>
  <c r="BA110" i="30" s="1"/>
  <c r="BB73" i="30"/>
  <c r="B110" i="30"/>
  <c r="B112" i="30" s="1"/>
  <c r="E201" i="29"/>
  <c r="E212" i="29" s="1"/>
  <c r="M201" i="29"/>
  <c r="M212" i="29" s="1"/>
  <c r="D225" i="32"/>
  <c r="D187" i="32"/>
  <c r="AJ218" i="32" s="1"/>
  <c r="AN218" i="32" s="1"/>
  <c r="D190" i="32"/>
  <c r="AK190" i="32" s="1"/>
  <c r="AO190" i="32" s="1"/>
  <c r="D234" i="32"/>
  <c r="D279" i="32"/>
  <c r="S55" i="31"/>
  <c r="V45" i="31" s="1"/>
  <c r="AA240" i="3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BO117" i="30" s="1"/>
  <c r="Z5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2" i="30" s="1"/>
  <c r="BP74" i="30"/>
  <c r="BH74" i="30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D201" i="29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81" i="29"/>
  <c r="C196" i="29" s="1"/>
  <c r="G77" i="30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K20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61" i="29"/>
  <c r="X48" i="29" s="1"/>
  <c r="X53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H17" i="29"/>
  <c r="O64" i="29"/>
  <c r="C253" i="32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C202" i="29"/>
  <c r="C213" i="29" s="1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B240" i="31"/>
  <c r="AC240" i="31" s="1"/>
  <c r="AF240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X274" i="31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DC106" i="30"/>
  <c r="DC71" i="30"/>
  <c r="I61" i="29"/>
  <c r="I48" i="29" s="1"/>
  <c r="I59" i="29"/>
  <c r="I57" i="29"/>
  <c r="I62" i="29"/>
  <c r="I63" i="29" s="1"/>
  <c r="I49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61" i="29"/>
  <c r="T48" i="29" s="1"/>
  <c r="T53" i="29" s="1"/>
  <c r="T59" i="29"/>
  <c r="T58" i="29"/>
  <c r="T57" i="29"/>
  <c r="D62" i="29"/>
  <c r="D63" i="29" s="1"/>
  <c r="D49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3" i="30"/>
  <c r="BH84" i="30"/>
  <c r="BH82" i="30"/>
  <c r="BH81" i="30"/>
  <c r="AZ83" i="30"/>
  <c r="AZ84" i="30"/>
  <c r="AZ82" i="30"/>
  <c r="AZ81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R84" i="30"/>
  <c r="BR83" i="30"/>
  <c r="BR82" i="30"/>
  <c r="BR81" i="30"/>
  <c r="BJ84" i="30"/>
  <c r="BJ83" i="30"/>
  <c r="BJ82" i="30"/>
  <c r="BJ81" i="30"/>
  <c r="BB84" i="30"/>
  <c r="BB83" i="30"/>
  <c r="BB82" i="30"/>
  <c r="BB81" i="30"/>
  <c r="P16" i="29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K226" i="32"/>
  <c r="AO226" i="32" s="1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C191" i="32"/>
  <c r="U62" i="29"/>
  <c r="U63" i="29" s="1"/>
  <c r="U49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D253" i="32" l="1"/>
  <c r="D252" i="32"/>
  <c r="BN83" i="30"/>
  <c r="BN84" i="30"/>
  <c r="D251" i="32"/>
  <c r="AJ186" i="28"/>
  <c r="AI186" i="28"/>
  <c r="AJ186" i="31"/>
  <c r="AI186" i="31"/>
  <c r="BO85" i="30"/>
  <c r="BO86" i="30" s="1"/>
  <c r="AH164" i="31"/>
  <c r="F203" i="29"/>
  <c r="AI164" i="28"/>
  <c r="AJ193" i="31"/>
  <c r="AI164" i="3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C275" i="32"/>
  <c r="D191" i="32"/>
  <c r="C95" i="32"/>
  <c r="J39" i="31"/>
  <c r="C204" i="32" s="1"/>
  <c r="C94" i="32"/>
  <c r="B40" i="31"/>
  <c r="J40" i="31" s="1"/>
  <c r="C205" i="32" s="1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C75" i="32" l="1"/>
  <c r="AI228" i="31"/>
  <c r="C133" i="31" s="1"/>
  <c r="J133" i="31" s="1"/>
  <c r="AJ228" i="31"/>
  <c r="C134" i="31" s="1"/>
  <c r="J134" i="31" s="1"/>
  <c r="AI228" i="28"/>
  <c r="BO87" i="30"/>
  <c r="C71" i="32"/>
  <c r="K48" i="28"/>
  <c r="B154" i="31" s="1"/>
  <c r="J154" i="31" s="1"/>
  <c r="C227" i="32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I102" i="30" s="1"/>
  <c r="N10" i="30" s="1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AD31" i="29" s="1"/>
  <c r="F6" i="30"/>
  <c r="C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BO102" i="30"/>
  <c r="Z9" i="30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B155" i="31"/>
  <c r="I155" i="31" s="1"/>
  <c r="C87" i="32"/>
  <c r="W155" i="31"/>
  <c r="Y155" i="31" s="1"/>
  <c r="Z155" i="31" s="1"/>
  <c r="B160" i="31" s="1"/>
  <c r="J160" i="31" s="1"/>
  <c r="C232" i="32" s="1"/>
  <c r="O253" i="32"/>
  <c r="C74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D275" i="32"/>
  <c r="F52" i="30"/>
  <c r="C264" i="32" s="1"/>
  <c r="C97" i="32"/>
  <c r="F57" i="30"/>
  <c r="C269" i="32" s="1"/>
  <c r="AA24" i="18"/>
  <c r="D246" i="32" l="1"/>
  <c r="B149" i="31"/>
  <c r="J149" i="31" s="1"/>
  <c r="AY102" i="30"/>
  <c r="J9" i="30" s="1"/>
  <c r="BN102" i="30"/>
  <c r="Y9" i="30" s="1"/>
  <c r="BA102" i="30"/>
  <c r="L9" i="30" s="1"/>
  <c r="BC102" i="30"/>
  <c r="N9" i="30" s="1"/>
  <c r="CQ102" i="30"/>
  <c r="V10" i="30" s="1"/>
  <c r="CL102" i="30"/>
  <c r="Q10" i="30" s="1"/>
  <c r="CE102" i="30"/>
  <c r="J10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N13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222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J13" i="30" l="1"/>
  <c r="AJ8" i="29"/>
  <c r="F77" i="30" s="1"/>
  <c r="B129" i="30" s="1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F58" i="30"/>
  <c r="C270" i="32" s="1"/>
  <c r="F9" i="30"/>
  <c r="R13" i="30"/>
  <c r="S13" i="30"/>
  <c r="W13" i="30"/>
  <c r="Z153" i="31"/>
  <c r="B158" i="31" s="1"/>
  <c r="J158" i="31" s="1"/>
  <c r="AA13" i="30"/>
  <c r="C289" i="32" l="1"/>
  <c r="D222" i="32"/>
  <c r="F75" i="30"/>
  <c r="F76" i="30"/>
  <c r="B113" i="30" s="1"/>
  <c r="B125" i="30" s="1"/>
  <c r="T245" i="31"/>
  <c r="C189" i="32" s="1"/>
  <c r="B81" i="30"/>
  <c r="F81" i="30" s="1"/>
  <c r="B114" i="30" s="1"/>
  <c r="V265" i="3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D189" i="32" l="1"/>
  <c r="AK189" i="32" s="1"/>
  <c r="AO189" i="32" s="1"/>
  <c r="AO192" i="32" s="1"/>
  <c r="X245" i="31"/>
  <c r="J141" i="31" s="1"/>
  <c r="C219" i="32" s="1"/>
  <c r="C277" i="32"/>
  <c r="C193" i="32"/>
  <c r="C278" i="32"/>
  <c r="G18" i="22"/>
  <c r="G19" i="22"/>
  <c r="V264" i="31"/>
  <c r="V263" i="31" s="1"/>
  <c r="J46" i="31" s="1"/>
  <c r="C210" i="32" s="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G75" i="32" s="1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O258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D278" i="32" l="1"/>
  <c r="D291" i="32" s="1"/>
  <c r="D193" i="32"/>
  <c r="D277" i="32"/>
  <c r="D219" i="32"/>
  <c r="X248" i="31"/>
  <c r="C291" i="32"/>
  <c r="H19" i="22"/>
  <c r="CC75" i="32"/>
  <c r="CC132" i="32" s="1"/>
  <c r="CG75" i="32"/>
  <c r="CG121" i="32" s="1"/>
  <c r="CG167" i="32" s="1"/>
  <c r="BQ77" i="32"/>
  <c r="BQ134" i="32" s="1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BE160" i="32"/>
  <c r="BE161" i="32" s="1"/>
  <c r="BE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Q123" i="32" l="1"/>
  <c r="BQ169" i="32" s="1"/>
  <c r="CG132" i="32"/>
  <c r="CG143" i="32" s="1"/>
  <c r="CD122" i="32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AL207" i="32" s="1"/>
  <c r="D210" i="32" s="1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G144" i="32" l="1"/>
  <c r="CG145" i="32"/>
  <c r="CD178" i="32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CG146" i="32" l="1"/>
  <c r="CG148" i="32" s="1"/>
  <c r="BE146" i="32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G147" i="32" l="1"/>
  <c r="CE147" i="32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G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R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217" i="32" l="1"/>
  <c r="N202" i="24"/>
  <c r="N176" i="24"/>
  <c r="N185" i="24" s="1"/>
  <c r="N216" i="24" s="1"/>
  <c r="L201" i="24"/>
  <c r="L162" i="24"/>
  <c r="L172" i="24" s="1"/>
  <c r="L215" i="24" s="1"/>
  <c r="F176" i="24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62" i="24" s="1"/>
  <c r="N172" i="24" s="1"/>
  <c r="N21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S201" i="24" l="1"/>
  <c r="S162" i="24"/>
  <c r="S172" i="24" s="1"/>
  <c r="S215" i="24" s="1"/>
  <c r="O202" i="24"/>
  <c r="O176" i="24"/>
  <c r="O185" i="24" s="1"/>
  <c r="O216" i="24" s="1"/>
  <c r="M202" i="24"/>
  <c r="M176" i="24"/>
  <c r="M185" i="24" s="1"/>
  <c r="M216" i="24" s="1"/>
  <c r="M201" i="24"/>
  <c r="M162" i="24"/>
  <c r="M172" i="24" s="1"/>
  <c r="M215" i="24" s="1"/>
  <c r="P202" i="24"/>
  <c r="P176" i="24"/>
  <c r="P185" i="24" s="1"/>
  <c r="P216" i="24" s="1"/>
  <c r="Q202" i="24"/>
  <c r="Q176" i="24"/>
  <c r="Q185" i="24" s="1"/>
  <c r="Q216" i="24" s="1"/>
  <c r="U175" i="24"/>
  <c r="U185" i="24" s="1"/>
  <c r="U216" i="24" s="1"/>
  <c r="U162" i="24"/>
  <c r="U172" i="24" s="1"/>
  <c r="U215" i="24" s="1"/>
  <c r="Q201" i="24"/>
  <c r="Q162" i="24"/>
  <c r="Q172" i="24" s="1"/>
  <c r="Q215" i="24" s="1"/>
  <c r="P201" i="24"/>
  <c r="P211" i="24" s="1"/>
  <c r="P218" i="24" s="1"/>
  <c r="P162" i="24"/>
  <c r="P172" i="24" s="1"/>
  <c r="P215" i="24" s="1"/>
  <c r="O201" i="24"/>
  <c r="O211" i="24" s="1"/>
  <c r="O218" i="24" s="1"/>
  <c r="O162" i="24"/>
  <c r="O172" i="24" s="1"/>
  <c r="O215" i="24" s="1"/>
  <c r="L202" i="24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J211" i="24"/>
  <c r="J218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Q211" i="24" l="1"/>
  <c r="Q218" i="24" s="1"/>
  <c r="M211" i="24"/>
  <c r="M218" i="24" s="1"/>
  <c r="H172" i="24"/>
  <c r="H215" i="24" s="1"/>
  <c r="W172" i="24"/>
  <c r="W215" i="24" s="1"/>
  <c r="W185" i="24"/>
  <c r="W216" i="24" s="1"/>
  <c r="G172" i="24"/>
  <c r="G215" i="24" s="1"/>
  <c r="G185" i="24"/>
  <c r="G216" i="24" s="1"/>
  <c r="H185" i="24"/>
  <c r="H216" i="24" s="1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AA220" i="26"/>
  <c r="AA219" i="26"/>
  <c r="AA159" i="26"/>
  <c r="AA146" i="26"/>
  <c r="AA147" i="26" s="1"/>
  <c r="AA159" i="24"/>
  <c r="C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D165" i="32" l="1"/>
  <c r="D166" i="32"/>
  <c r="AA172" i="24"/>
  <c r="AA219" i="24"/>
  <c r="AA185" i="24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C137" i="32" l="1"/>
  <c r="AK54" i="26"/>
  <c r="B42" i="15"/>
  <c r="B12" i="31" s="1"/>
  <c r="B61" i="15"/>
  <c r="B46" i="15"/>
  <c r="B11" i="31" s="1"/>
  <c r="B58" i="15"/>
  <c r="D137" i="32" l="1"/>
  <c r="B49" i="15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AD22" i="29" s="1"/>
  <c r="AF22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C183" i="32" l="1"/>
  <c r="B83" i="30"/>
  <c r="T234" i="31"/>
  <c r="AK26" i="29"/>
  <c r="C184" i="32" s="1"/>
  <c r="D120" i="18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D184" i="32" l="1"/>
  <c r="T272" i="31"/>
  <c r="X272" i="31" s="1"/>
  <c r="J142" i="31" s="1"/>
  <c r="C220" i="32" s="1"/>
  <c r="X234" i="31"/>
  <c r="F83" i="30"/>
  <c r="F84" i="30"/>
  <c r="C185" i="32"/>
  <c r="R201" i="18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42" i="32" l="1"/>
  <c r="D185" i="32"/>
  <c r="D183" i="32" s="1"/>
  <c r="AK225" i="32" s="1"/>
  <c r="AO225" i="32" s="1"/>
  <c r="AO228" i="32" s="1"/>
  <c r="AQ228" i="32" s="1"/>
  <c r="AR228" i="32" s="1"/>
  <c r="AS228" i="32" s="1"/>
  <c r="AT228" i="32" s="1"/>
  <c r="AW228" i="32" s="1"/>
  <c r="D240" i="32" s="1"/>
  <c r="AJ216" i="32"/>
  <c r="AN216" i="32" s="1"/>
  <c r="D220" i="32" s="1"/>
  <c r="C192" i="32"/>
  <c r="B115" i="30"/>
  <c r="B126" i="30" s="1"/>
  <c r="B167" i="31"/>
  <c r="J167" i="31" s="1"/>
  <c r="C307" i="32"/>
  <c r="X237" i="31"/>
  <c r="BR31" i="23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T215" i="18"/>
  <c r="Y5" i="22" s="1"/>
  <c r="C276" i="32" l="1"/>
  <c r="D192" i="32"/>
  <c r="D161" i="32"/>
  <c r="C235" i="32"/>
  <c r="J170" i="31"/>
  <c r="C243" i="32"/>
  <c r="Z237" i="31"/>
  <c r="AA237" i="31" s="1"/>
  <c r="C290" i="32"/>
  <c r="C293" i="32"/>
  <c r="D235" i="32"/>
  <c r="D236" i="32" s="1"/>
  <c r="D276" i="32"/>
  <c r="AV22" i="23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C236" i="32" l="1"/>
  <c r="D162" i="32"/>
  <c r="D243" i="32"/>
  <c r="C244" i="32"/>
  <c r="AB237" i="31"/>
  <c r="AC237" i="31" s="1"/>
  <c r="AF237" i="31" s="1"/>
  <c r="B178" i="31" s="1"/>
  <c r="C240" i="32" s="1"/>
  <c r="D290" i="32"/>
  <c r="D293" i="32"/>
  <c r="G156" i="32"/>
  <c r="C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D145" i="32" l="1"/>
  <c r="D244" i="32"/>
  <c r="AF8" i="22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F31" i="30"/>
  <c r="C211" i="32" l="1"/>
  <c r="C257" i="32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l="1"/>
  <c r="D169" i="32"/>
  <c r="C153" i="32"/>
  <c r="J21" i="31"/>
  <c r="C159" i="32" l="1"/>
  <c r="D153" i="32"/>
  <c r="K115" i="31"/>
  <c r="D159" i="32" l="1"/>
  <c r="M115" i="3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D138" i="32" l="1"/>
  <c r="J87" i="3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l="1"/>
  <c r="D281" i="32" s="1"/>
  <c r="D284" i="32" s="1"/>
  <c r="B118" i="30"/>
  <c r="D118" i="30" s="1"/>
  <c r="B6" i="31"/>
  <c r="C149" i="32" s="1"/>
  <c r="C148" i="32"/>
  <c r="C281" i="32"/>
  <c r="B106" i="30"/>
  <c r="K5" i="31"/>
  <c r="J5" i="31"/>
  <c r="D148" i="32" l="1"/>
  <c r="D149" i="32"/>
  <c r="C284" i="32"/>
  <c r="K6" i="31"/>
  <c r="J6" i="31"/>
  <c r="C195" i="32" s="1"/>
  <c r="T134" i="31"/>
  <c r="K112" i="31" s="1"/>
  <c r="J112" i="31" s="1"/>
  <c r="D195" i="32" l="1"/>
  <c r="K12" i="31"/>
  <c r="AF135" i="31"/>
  <c r="AF137" i="31" s="1"/>
  <c r="AF132" i="31"/>
  <c r="AF134" i="31" s="1"/>
  <c r="K11" i="31"/>
  <c r="C197" i="32" s="1"/>
  <c r="D197" i="32" l="1"/>
  <c r="AF147" i="3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U12" i="31"/>
  <c r="Y83" i="31" s="1"/>
  <c r="E83" i="31"/>
  <c r="L83" i="31" s="1"/>
  <c r="D144" i="32" l="1"/>
  <c r="J119" i="3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C282" i="32"/>
  <c r="D258" i="32"/>
  <c r="D282" i="32" s="1"/>
  <c r="F85" i="31"/>
  <c r="M85" i="31" s="1"/>
  <c r="J85" i="31" s="1"/>
  <c r="F83" i="31"/>
  <c r="M83" i="31" s="1"/>
  <c r="J83" i="31" s="1"/>
  <c r="D143" i="32" l="1"/>
  <c r="D285" i="32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K116" i="31"/>
  <c r="C212" i="32" s="1"/>
  <c r="T110" i="31"/>
  <c r="T112" i="31"/>
  <c r="M116" i="31"/>
  <c r="AG135" i="31"/>
  <c r="AG137" i="31" s="1"/>
  <c r="L12" i="31"/>
  <c r="J12" i="31"/>
  <c r="E82" i="31"/>
  <c r="D175" i="32" l="1"/>
  <c r="D212" i="32"/>
  <c r="L82" i="31"/>
  <c r="C179" i="32"/>
  <c r="AG132" i="31"/>
  <c r="AG134" i="31" s="1"/>
  <c r="AG147" i="31" s="1"/>
  <c r="U126" i="31" s="1"/>
  <c r="L11" i="31"/>
  <c r="C199" i="32" s="1"/>
  <c r="J11" i="31"/>
  <c r="AE19" i="31"/>
  <c r="C20" i="31" s="1"/>
  <c r="AF19" i="31"/>
  <c r="D20" i="31" s="1"/>
  <c r="C155" i="32" s="1"/>
  <c r="T17" i="31"/>
  <c r="S17" i="31"/>
  <c r="D179" i="32" l="1"/>
  <c r="D155" i="32"/>
  <c r="D199" i="32"/>
  <c r="J30" i="31"/>
  <c r="C177" i="32"/>
  <c r="C160" i="32"/>
  <c r="C176" i="32"/>
  <c r="J118" i="31"/>
  <c r="C218" i="32" s="1"/>
  <c r="C152" i="32"/>
  <c r="J20" i="31"/>
  <c r="L116" i="31"/>
  <c r="C214" i="32" s="1"/>
  <c r="T111" i="31"/>
  <c r="J82" i="31"/>
  <c r="D176" i="32" l="1"/>
  <c r="D160" i="32"/>
  <c r="D177" i="32"/>
  <c r="D218" i="32"/>
  <c r="J145" i="31"/>
  <c r="D214" i="32"/>
  <c r="C216" i="32"/>
  <c r="C158" i="32"/>
  <c r="D152" i="32"/>
  <c r="C178" i="32"/>
  <c r="D170" i="32"/>
  <c r="D178" i="32" s="1"/>
  <c r="C173" i="32"/>
  <c r="D158" i="32" l="1"/>
  <c r="C221" i="32"/>
  <c r="D216" i="32"/>
  <c r="D221" i="32" s="1"/>
  <c r="C174" i="32"/>
  <c r="D173" i="32"/>
  <c r="D174" i="32" l="1"/>
  <c r="T16" i="31"/>
  <c r="S16" i="31"/>
  <c r="AE18" i="31"/>
  <c r="C19" i="31" s="1"/>
  <c r="AF18" i="31"/>
  <c r="D19" i="31" s="1"/>
  <c r="C180" i="32" l="1"/>
  <c r="C154" i="32"/>
  <c r="C151" i="32"/>
  <c r="J19" i="31"/>
  <c r="D154" i="32" l="1"/>
  <c r="C194" i="32"/>
  <c r="J48" i="31"/>
  <c r="B174" i="31" s="1"/>
  <c r="C157" i="32"/>
  <c r="D151" i="32"/>
  <c r="C181" i="32"/>
  <c r="D180" i="32"/>
  <c r="D181" i="32" s="1"/>
  <c r="D157" i="32" l="1"/>
  <c r="B180" i="3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<sst xmlns="http://schemas.openxmlformats.org/spreadsheetml/2006/main" count="3020" uniqueCount="1471">
  <si>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</si>
  <si>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</si>
  <si>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</si>
  <si>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</si>
  <si>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</si>
  <si>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</si>
  <si>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</si>
  <si>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</si>
  <si>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</si>
  <si>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</si>
  <si>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</si>
  <si>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</si>
  <si>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</si>
  <si>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</si>
  <si>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</si>
  <si>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</si>
  <si>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</si>
  <si>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</si>
  <si>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</si>
  <si>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</si>
  <si>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</si>
  <si>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</si>
  <si>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</si>
  <si>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</si>
  <si>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</si>
  <si>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</si>
  <si>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</si>
  <si>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</si>
  <si>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</si>
  <si>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</si>
  <si>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</si>
  <si>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</si>
  <si>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</si>
  <si>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</si>
  <si>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</si>
  <si>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</si>
  <si>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</si>
  <si>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</si>
  <si>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</si>
  <si>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</si>
  <si>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</si>
  <si>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</si>
  <si>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</si>
  <si>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</si>
  <si>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</si>
  <si>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</si>
  <si>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</si>
  <si>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</si>
  <si>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</si>
  <si>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</si>
  <si>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</si>
  <si>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</si>
  <si>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</si>
  <si>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</si>
  <si>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</si>
  <si>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</si>
  <si>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</si>
  <si>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</si>
  <si>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</si>
  <si>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</si>
  <si>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</si>
  <si>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</si>
  <si>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</si>
  <si>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</si>
  <si>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</si>
  <si>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</si>
  <si>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</si>
  <si>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</si>
  <si>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</si>
  <si>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</si>
  <si>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</si>
  <si>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</si>
  <si>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</si>
  <si>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</si>
  <si>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</si>
  <si>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</si>
  <si>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</si>
  <si>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</si>
  <si>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</si>
  <si>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</si>
  <si>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</si>
  <si>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</si>
  <si>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</si>
  <si>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</si>
  <si>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</si>
  <si>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</si>
  <si>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</si>
  <si>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</si>
  <si>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</si>
  <si>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</si>
  <si>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</si>
  <si>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</si>
  <si>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</si>
  <si>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</si>
  <si>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</si>
  <si>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</si>
  <si>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</si>
  <si>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</si>
  <si>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</si>
  <si>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</si>
  <si>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</si>
  <si>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</si>
  <si>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</si>
  <si>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</si>
  <si>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</si>
  <si>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</si>
  <si>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</si>
  <si>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</si>
  <si>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</si>
  <si>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</si>
  <si>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</si>
  <si>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</si>
  <si>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</si>
  <si>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</si>
  <si>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</si>
  <si>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</si>
  <si>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</si>
  <si>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</si>
  <si>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</si>
  <si>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</si>
  <si>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</si>
  <si>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</si>
  <si>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</si>
  <si>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</si>
  <si>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</si>
  <si>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</si>
  <si>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</si>
  <si>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</si>
  <si>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</si>
  <si>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</si>
  <si>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</si>
  <si>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</si>
  <si>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</si>
  <si>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</si>
  <si>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</si>
  <si>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</si>
  <si>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</si>
  <si>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</si>
  <si>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</si>
  <si>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</si>
  <si>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</si>
  <si>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</si>
  <si>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</si>
  <si>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</si>
  <si>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</si>
  <si>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</si>
  <si>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</si>
  <si>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</si>
  <si>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</si>
  <si>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</si>
  <si>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</si>
  <si>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</si>
  <si>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</si>
  <si>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</si>
  <si>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</si>
  <si>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</si>
  <si>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</si>
  <si>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</si>
  <si>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</si>
  <si>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</si>
  <si>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</si>
  <si>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</si>
  <si>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</si>
  <si>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</si>
  <si>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</si>
  <si>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</si>
  <si>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</si>
  <si>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</si>
  <si>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</si>
  <si>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</si>
  <si>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</si>
  <si>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</si>
  <si>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</si>
  <si>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</si>
  <si>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</si>
  <si>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</si>
  <si>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</si>
  <si>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</si>
  <si>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</si>
  <si>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</si>
  <si>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</si>
  <si>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</si>
  <si>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</si>
  <si>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</si>
  <si>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</si>
  <si>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</si>
  <si>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</si>
  <si>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</si>
  <si>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</si>
  <si>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</si>
  <si>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</si>
  <si>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</si>
  <si>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</si>
  <si>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</si>
  <si>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</si>
  <si>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</si>
  <si>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</si>
  <si>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</si>
  <si>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</si>
  <si>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</si>
  <si>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</si>
  <si>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</si>
  <si>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</si>
  <si>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</si>
  <si>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</si>
  <si>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</si>
  <si>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</si>
  <si>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</si>
  <si>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</si>
  <si>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</si>
  <si>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</si>
  <si>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</si>
  <si>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</si>
  <si>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</si>
  <si>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</si>
  <si>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</si>
  <si>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</si>
  <si>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</si>
  <si>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</si>
  <si>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</si>
  <si>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</si>
  <si>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</si>
  <si>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</si>
  <si>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</si>
  <si>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</si>
  <si>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</si>
  <si>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</si>
  <si>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</si>
  <si>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</si>
  <si>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</si>
  <si>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</si>
  <si>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</si>
  <si>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</si>
  <si>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</si>
  <si>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</si>
  <si>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</si>
  <si>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</si>
  <si>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</si>
  <si>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</si>
  <si>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</si>
  <si>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</si>
  <si>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</si>
  <si>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</si>
  <si>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</si>
  <si>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</si>
  <si>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</si>
  <si>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</si>
  <si>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</si>
  <si>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</si>
  <si>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</si>
  <si>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</si>
  <si>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</si>
  <si>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</si>
  <si>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</si>
  <si>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</si>
  <si>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</si>
  <si>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</si>
  <si>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</si>
  <si>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</si>
  <si>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</si>
  <si>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</si>
  <si>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</si>
  <si>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</si>
  <si>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</si>
  <si>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</si>
  <si>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</si>
  <si>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</si>
  <si>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</si>
  <si>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</si>
  <si>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</si>
  <si>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</si>
  <si>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</si>
  <si>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</si>
  <si>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</si>
  <si>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</si>
  <si>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</si>
  <si>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</si>
  <si>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</si>
  <si>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</si>
  <si>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</si>
  <si>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</si>
  <si>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</si>
  <si>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</si>
  <si>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</si>
  <si>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</si>
  <si>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</si>
  <si>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</si>
  <si>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</si>
  <si>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</si>
  <si>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</si>
  <si>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</si>
  <si>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</si>
  <si>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</si>
  <si>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</si>
  <si>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</si>
  <si>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</si>
  <si>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</si>
  <si>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</si>
  <si>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</si>
  <si>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</si>
  <si>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</si>
  <si>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</si>
  <si>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</si>
  <si>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</si>
  <si>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</si>
  <si>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</si>
  <si>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</si>
  <si>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</si>
  <si>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</si>
  <si>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</si>
  <si>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</si>
  <si>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</si>
  <si>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</si>
  <si>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</si>
  <si>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</si>
  <si>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</si>
  <si>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</si>
  <si>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</si>
  <si>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</si>
  <si>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</si>
  <si>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</si>
  <si>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</si>
  <si>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</si>
  <si>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</si>
  <si>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</si>
  <si>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</si>
  <si>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</si>
  <si>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</si>
  <si>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</si>
  <si>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</si>
  <si>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</si>
  <si>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</si>
  <si>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</si>
  <si>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</si>
  <si>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</si>
  <si>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</si>
  <si>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</si>
  <si>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</si>
  <si>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</si>
  <si>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</si>
  <si>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</si>
  <si>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</si>
  <si>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</si>
  <si>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</si>
  <si>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</si>
  <si>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</si>
  <si>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</si>
  <si>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</si>
  <si>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</si>
  <si>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</si>
  <si>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</si>
  <si>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</si>
  <si>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</si>
  <si>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</si>
  <si>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</si>
  <si>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</si>
  <si>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</si>
  <si>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</si>
  <si>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</si>
  <si>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</si>
  <si>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</si>
  <si>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</si>
  <si>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</si>
  <si>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</si>
  <si>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</si>
  <si>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</si>
  <si>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</si>
  <si>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</si>
  <si>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</si>
  <si>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</si>
  <si>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</si>
  <si>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</si>
  <si>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</si>
  <si>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</si>
  <si>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</si>
  <si>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</si>
  <si>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</si>
  <si>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</si>
  <si>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</si>
  <si>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</si>
  <si>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</si>
  <si>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</si>
  <si>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</si>
  <si>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</si>
  <si>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</si>
  <si>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</si>
  <si>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</si>
  <si>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</si>
  <si>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</si>
  <si>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</si>
  <si>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</si>
  <si>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</si>
  <si>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</si>
  <si>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</si>
  <si>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</si>
  <si>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</si>
  <si>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</si>
  <si>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</si>
  <si>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</si>
  <si>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</si>
  <si>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</si>
  <si>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</si>
  <si>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</si>
  <si>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</si>
  <si>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</si>
  <si>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</si>
  <si>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</si>
  <si>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</si>
  <si>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</si>
  <si>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</si>
  <si>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</si>
  <si>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</si>
  <si>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</si>
  <si>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</si>
  <si>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</si>
  <si>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</si>
  <si>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</si>
  <si>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</si>
  <si>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</si>
  <si>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</si>
  <si>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</si>
  <si>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</si>
  <si>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</si>
  <si>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</si>
  <si>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</si>
  <si>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</si>
  <si>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</si>
  <si>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</si>
  <si>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</si>
  <si>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</si>
  <si>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</si>
  <si>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</si>
  <si>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</si>
  <si>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</si>
  <si>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</si>
  <si>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</si>
  <si>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Brebis laitières tardives</t>
  </si>
  <si>
    <t>Brebis vides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</si>
  <si>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</si>
  <si>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</si>
  <si>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</si>
  <si>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</si>
  <si>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</si>
  <si>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</si>
  <si>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</si>
  <si>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</si>
  <si>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</si>
  <si>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</si>
  <si>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</si>
  <si>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</si>
  <si>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</si>
  <si>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</si>
  <si>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</si>
  <si>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</si>
  <si>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</si>
  <si>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</si>
  <si>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</si>
  <si>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</si>
  <si>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</si>
  <si>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</si>
  <si>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</si>
  <si>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</si>
  <si>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</si>
  <si>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</si>
  <si>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</si>
  <si>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</si>
  <si>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</si>
  <si>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</si>
  <si>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</si>
  <si>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</si>
  <si>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</si>
  <si>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</si>
  <si>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</si>
  <si>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</si>
  <si>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</si>
  <si>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</si>
  <si>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</si>
  <si>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</si>
  <si>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</si>
  <si>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</si>
  <si>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</si>
  <si>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</si>
  <si>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</si>
  <si>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</si>
  <si>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</si>
  <si>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</si>
  <si>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</si>
  <si>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</si>
  <si>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</si>
  <si>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</si>
  <si>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</si>
  <si>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</si>
  <si>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</si>
  <si>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</si>
  <si>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</si>
  <si>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</si>
  <si>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</si>
  <si>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</si>
  <si>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</si>
  <si>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</si>
  <si>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</si>
  <si>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</si>
  <si>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</si>
  <si>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</si>
  <si>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</si>
  <si>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</si>
  <si>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</si>
  <si>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</si>
  <si>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</si>
  <si>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</si>
  <si>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</si>
  <si>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</si>
  <si>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</si>
  <si>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</si>
  <si>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</si>
  <si>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</si>
  <si>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</si>
  <si>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</si>
  <si>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</si>
  <si>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</si>
  <si>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</si>
  <si>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</si>
  <si>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</si>
  <si>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</si>
  <si>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</si>
  <si>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</si>
  <si>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</si>
  <si>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</si>
  <si>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</si>
  <si>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</si>
  <si>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</si>
  <si>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</si>
  <si>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</si>
  <si>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</si>
  <si>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</si>
  <si>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</si>
  <si>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</si>
  <si>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</si>
  <si>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</si>
  <si>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</si>
  <si>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</si>
  <si>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</si>
  <si>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</si>
  <si>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</si>
  <si>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</si>
  <si>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</si>
  <si>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</si>
  <si>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</si>
  <si>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</si>
  <si>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</si>
  <si>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</si>
  <si>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</si>
  <si>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</si>
  <si>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</si>
  <si>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</si>
  <si>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</si>
  <si>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</si>
  <si>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</si>
  <si>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</si>
  <si>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</si>
  <si>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</si>
  <si>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</si>
  <si>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</si>
  <si>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</si>
  <si>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</si>
  <si>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</si>
  <si>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</si>
  <si>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</si>
  <si>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</si>
  <si>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</si>
  <si>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</si>
  <si>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</si>
  <si>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</si>
  <si>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</si>
  <si>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</si>
  <si>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</si>
  <si>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</si>
  <si>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</si>
  <si>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</si>
  <si>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</si>
  <si>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</si>
  <si>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</si>
  <si>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</si>
  <si>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</si>
  <si>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</si>
  <si>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</si>
  <si>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</si>
  <si>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</si>
  <si>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</si>
  <si>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</si>
  <si>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</si>
  <si>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</si>
  <si>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</si>
  <si>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</si>
  <si>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</si>
  <si>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</si>
  <si>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</si>
  <si>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</si>
  <si>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</si>
  <si>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</si>
  <si>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</si>
  <si>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</si>
  <si>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</si>
  <si>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</si>
  <si>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</si>
  <si>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</si>
  <si>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</si>
  <si>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</si>
  <si>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</si>
  <si>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</si>
  <si>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</si>
  <si>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</si>
  <si>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</si>
  <si>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</si>
  <si>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</si>
  <si>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</si>
  <si>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</si>
  <si>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</si>
  <si>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</si>
  <si>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</si>
  <si>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</si>
  <si>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</si>
  <si>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</si>
  <si>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</si>
  <si>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</si>
  <si>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</si>
  <si>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</si>
  <si>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</si>
  <si>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</si>
  <si>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</si>
  <si>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</si>
  <si>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</si>
  <si>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</si>
  <si>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</si>
  <si>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</si>
  <si>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</si>
  <si>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</si>
  <si>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</si>
  <si>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</si>
  <si>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</si>
  <si>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</si>
  <si>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</si>
  <si>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</si>
  <si>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</si>
  <si>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</si>
  <si>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</si>
  <si>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</si>
  <si>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</si>
  <si>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</si>
  <si>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</si>
  <si>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</si>
  <si>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</si>
  <si>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</si>
  <si>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</si>
  <si>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</si>
  <si>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</si>
  <si>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</si>
  <si>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</si>
  <si>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</si>
  <si>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</si>
  <si>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</si>
  <si>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</si>
  <si>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</si>
  <si>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</si>
  <si>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</si>
  <si>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</si>
  <si>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</si>
  <si>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</si>
  <si>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</si>
  <si>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</si>
  <si>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</si>
  <si>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</si>
  <si>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</si>
  <si>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</si>
  <si>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</si>
  <si>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</si>
  <si>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</si>
  <si>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</si>
  <si>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</si>
  <si>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</si>
  <si>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</si>
  <si>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</si>
  <si>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</si>
  <si>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</si>
  <si>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</si>
  <si>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</si>
  <si>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</si>
  <si>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</si>
  <si>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</si>
  <si>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</si>
  <si>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</si>
  <si>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</si>
  <si>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</si>
  <si>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</si>
  <si>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</si>
  <si>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</si>
  <si>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</si>
  <si>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</si>
  <si>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</si>
  <si>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</si>
  <si>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</si>
  <si>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</si>
  <si>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</si>
  <si>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</si>
  <si>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</si>
  <si>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</si>
  <si>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</si>
  <si>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</si>
  <si>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</si>
  <si>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</si>
  <si>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</si>
  <si>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</si>
  <si>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</si>
  <si>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</si>
  <si>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</si>
  <si>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</si>
  <si>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</si>
  <si>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</si>
  <si>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</si>
  <si>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</si>
  <si>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</si>
  <si>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</si>
  <si>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</si>
  <si>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</si>
  <si>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</si>
  <si>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</si>
  <si>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</si>
  <si>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</si>
  <si>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</si>
  <si>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</si>
  <si>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</si>
  <si>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</si>
  <si>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</si>
  <si>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</si>
  <si>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</si>
  <si>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</si>
  <si>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</si>
  <si>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</si>
  <si>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</si>
  <si>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</si>
  <si>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</si>
  <si>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</si>
  <si>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</si>
  <si>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</si>
  <si>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</si>
  <si>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</si>
  <si>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</si>
  <si>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</si>
  <si>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</si>
  <si>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</si>
  <si>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</si>
  <si>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</si>
  <si>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</si>
  <si>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</si>
  <si>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</si>
  <si>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</si>
  <si>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</si>
  <si>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</si>
  <si>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</si>
  <si>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</si>
  <si>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</si>
  <si>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</si>
  <si>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</si>
  <si>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</si>
  <si>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</si>
  <si>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</si>
  <si>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</si>
  <si>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</si>
  <si>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</si>
  <si>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</si>
  <si>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</si>
  <si>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</si>
  <si>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</si>
  <si>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</si>
  <si>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</si>
  <si>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</si>
  <si>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</si>
  <si>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</si>
  <si>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</si>
  <si>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</si>
  <si>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</si>
  <si>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</si>
  <si>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</si>
  <si>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</si>
  <si>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</si>
  <si>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</si>
  <si>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</si>
  <si>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</si>
  <si>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</si>
  <si>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</si>
  <si>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</si>
  <si>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</si>
  <si>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</si>
  <si>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</si>
  <si>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</si>
  <si>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</si>
  <si>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</si>
  <si>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</si>
  <si>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</si>
  <si>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</si>
  <si>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</si>
  <si>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</si>
  <si>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</si>
  <si>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</si>
  <si>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</si>
  <si>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</si>
  <si>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</si>
  <si>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</si>
  <si>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</si>
  <si>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</si>
  <si>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</si>
  <si>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</si>
  <si>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</si>
  <si>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</si>
  <si>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</si>
  <si>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</si>
  <si>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</si>
  <si>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</si>
  <si>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</si>
  <si>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</si>
  <si>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</si>
  <si>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</si>
  <si>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</si>
  <si>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</si>
  <si>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</si>
  <si>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</si>
  <si>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</si>
  <si>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</si>
  <si>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</si>
  <si>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</si>
  <si>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</si>
  <si>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</si>
  <si>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</si>
  <si>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</si>
  <si>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</si>
  <si>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</si>
  <si>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</si>
  <si>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</si>
  <si>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</si>
  <si>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</si>
  <si>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</si>
  <si>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</si>
  <si>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</si>
  <si>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</si>
  <si>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</si>
  <si>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</si>
  <si>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</si>
  <si>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</si>
  <si>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</si>
  <si>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</si>
  <si>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</si>
  <si>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</si>
  <si>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</si>
  <si>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</si>
  <si>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</si>
  <si>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</si>
  <si>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</si>
  <si>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</si>
  <si>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</si>
  <si>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</si>
  <si>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</si>
  <si>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</si>
  <si>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</si>
  <si>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</si>
  <si>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</si>
  <si>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</si>
  <si>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</si>
  <si>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</si>
  <si>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</si>
  <si>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</si>
  <si>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</si>
  <si>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</si>
  <si>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</si>
  <si>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</si>
  <si>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</si>
  <si>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</si>
  <si>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</si>
  <si>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</si>
  <si>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</si>
  <si>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</si>
  <si>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</si>
  <si>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</si>
  <si>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</si>
  <si>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</si>
  <si>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</si>
  <si>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</si>
  <si>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</si>
  <si>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</si>
  <si>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</si>
  <si>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</si>
  <si>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</si>
  <si>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</si>
  <si>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</si>
  <si>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</si>
  <si>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</si>
  <si>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</si>
  <si>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</si>
  <si>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</si>
  <si>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</si>
  <si>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</si>
  <si>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</si>
  <si>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</si>
  <si>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</si>
  <si>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</si>
  <si>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</si>
  <si>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</si>
  <si>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</si>
  <si>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</si>
  <si>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</si>
  <si>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</si>
  <si>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</si>
  <si>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</si>
  <si>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</si>
  <si>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</si>
  <si>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</si>
  <si>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</si>
  <si>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</si>
  <si>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</si>
  <si>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</si>
  <si>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</si>
  <si>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</si>
  <si>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</si>
  <si>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</si>
  <si>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</si>
  <si>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</si>
  <si>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</si>
  <si>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</si>
  <si>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</si>
  <si>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</si>
  <si>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</si>
  <si>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</si>
  <si>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</si>
  <si>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</si>
  <si>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</si>
  <si>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</si>
  <si>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</si>
  <si>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</si>
  <si>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</si>
  <si>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</si>
  <si>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</si>
  <si>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</si>
  <si>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</si>
  <si>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</si>
  <si>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</si>
  <si>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</si>
  <si>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</si>
  <si>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</si>
  <si>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</si>
  <si>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</si>
  <si>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</si>
  <si>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</si>
  <si>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</si>
  <si>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</si>
  <si>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</si>
  <si>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</si>
  <si>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</si>
  <si>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</si>
  <si>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</si>
  <si>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</si>
  <si>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</si>
  <si>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</si>
  <si>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</si>
  <si>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</si>
  <si>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</si>
  <si>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</si>
  <si>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</si>
  <si>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</si>
  <si>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</si>
  <si>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</si>
  <si>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</si>
  <si>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</si>
  <si>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</si>
  <si>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</si>
  <si>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</si>
  <si>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</si>
  <si>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</si>
  <si>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</si>
  <si>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</si>
  <si>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</si>
  <si>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</si>
  <si>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</si>
  <si>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</si>
  <si>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</si>
  <si>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</si>
  <si>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</si>
  <si>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</si>
  <si>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</si>
  <si>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</si>
  <si>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</si>
  <si>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</si>
  <si>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</si>
  <si>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</si>
  <si>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</si>
  <si>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</si>
  <si>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</si>
  <si>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</si>
  <si>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</si>
  <si>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</si>
  <si>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</si>
  <si>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</si>
  <si>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</si>
  <si>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</si>
  <si>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</si>
  <si>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</si>
  <si>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</si>
  <si>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</si>
  <si>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</si>
  <si>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</si>
  <si>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</si>
  <si>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</si>
  <si>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</si>
  <si>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</si>
  <si>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</si>
  <si>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</si>
  <si>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</si>
  <si>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</si>
  <si>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</si>
  <si>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</si>
  <si>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</si>
  <si>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</si>
  <si>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</si>
  <si>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</si>
  <si>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</si>
  <si>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</si>
  <si>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</si>
  <si>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</si>
  <si>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</si>
  <si>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</si>
  <si>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</si>
  <si>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</si>
  <si>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</si>
  <si>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</si>
  <si>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</si>
  <si>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</si>
  <si>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</si>
  <si>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</si>
  <si>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</si>
  <si>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</si>
  <si>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</si>
  <si>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</si>
  <si>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</si>
  <si>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</si>
  <si>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</si>
  <si>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</si>
  <si>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</si>
  <si>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</si>
  <si>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</si>
  <si>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</si>
  <si>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</si>
  <si>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</si>
  <si>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</si>
  <si>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</si>
  <si>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</si>
  <si>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</si>
  <si>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</si>
  <si>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</si>
  <si>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</si>
  <si>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</si>
  <si>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</si>
  <si>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</si>
  <si>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</si>
  <si>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</si>
  <si>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</si>
  <si>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</si>
  <si>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</si>
  <si>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</si>
  <si>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</si>
  <si>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</si>
  <si>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</si>
  <si>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</si>
  <si>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</si>
  <si>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</si>
  <si>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</si>
  <si>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</si>
  <si>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</si>
  <si>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</si>
  <si>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</si>
  <si>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</si>
  <si>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</si>
  <si>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</si>
  <si>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</si>
  <si>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</si>
  <si>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</si>
  <si>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</si>
  <si>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</si>
  <si>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</si>
  <si>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</si>
  <si>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</si>
  <si>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</si>
  <si>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</si>
  <si>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</si>
  <si>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</si>
  <si>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</si>
  <si>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</si>
  <si>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</si>
  <si>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</si>
  <si>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</si>
  <si>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</si>
  <si>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</si>
  <si>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</si>
  <si>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</si>
  <si>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</si>
  <si>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</si>
  <si>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</si>
  <si>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</si>
  <si>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</si>
  <si>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</si>
  <si>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</si>
  <si>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</si>
  <si>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</si>
  <si>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</si>
  <si>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</si>
  <si>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</si>
  <si>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</si>
  <si>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</si>
  <si>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</si>
  <si>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</si>
  <si>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</si>
  <si>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</si>
  <si>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</si>
  <si>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</si>
  <si>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</si>
  <si>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</si>
  <si>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</si>
  <si>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</si>
  <si>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</si>
  <si>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</si>
  <si>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</si>
  <si>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</si>
  <si>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</si>
  <si>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</si>
  <si>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</si>
  <si>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</si>
  <si>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</si>
  <si>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</si>
  <si>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</si>
  <si>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</si>
  <si>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</si>
  <si>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</si>
  <si>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</si>
  <si>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</si>
  <si>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</si>
  <si>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</si>
  <si>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</si>
  <si>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</si>
  <si>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</si>
  <si>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</si>
  <si>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</si>
  <si>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</si>
  <si>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</si>
  <si>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</si>
  <si>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</si>
  <si>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</si>
  <si>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</si>
  <si>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</si>
  <si>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</si>
  <si>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</si>
  <si>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</si>
  <si>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</si>
  <si>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</si>
  <si>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</si>
  <si>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</si>
  <si>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</si>
  <si>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</si>
  <si>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</si>
  <si>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</si>
  <si>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</si>
  <si>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</si>
  <si>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</si>
  <si>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</si>
  <si>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</si>
  <si>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</si>
  <si>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</si>
  <si>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</si>
  <si>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</si>
  <si>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</si>
  <si>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</si>
  <si>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</si>
  <si>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</si>
  <si>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</si>
  <si>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</si>
  <si>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</si>
  <si>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</si>
  <si>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</si>
  <si>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</si>
  <si>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</si>
  <si>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</si>
  <si>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</si>
  <si>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</si>
  <si>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</si>
  <si>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</si>
  <si>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</si>
  <si>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</si>
  <si>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</si>
  <si>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</si>
  <si>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</si>
  <si>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</si>
  <si>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</si>
  <si>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</si>
  <si>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</si>
  <si>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</si>
  <si>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</si>
  <si>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</si>
  <si>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</si>
  <si>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</si>
  <si>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</si>
  <si>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</si>
  <si>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</si>
  <si>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</si>
  <si>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</si>
  <si>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</si>
  <si>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</si>
  <si>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</si>
  <si>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</si>
  <si>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</si>
  <si>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</si>
  <si>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</si>
  <si>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</si>
  <si>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</si>
  <si>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</si>
  <si>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</si>
  <si>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</si>
  <si>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</si>
  <si>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</si>
  <si>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</si>
  <si>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</si>
  <si>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</si>
  <si>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</si>
  <si>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</si>
  <si>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</si>
  <si>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</si>
  <si>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</si>
  <si>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</si>
  <si>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</si>
  <si>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</si>
  <si>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</si>
  <si>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</si>
  <si>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</si>
  <si>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</si>
  <si>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</si>
  <si>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</si>
  <si>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</si>
  <si>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</si>
  <si>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</si>
  <si>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</si>
  <si>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</si>
  <si>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</si>
  <si>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</si>
  <si>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</si>
  <si>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</si>
  <si>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</si>
  <si>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</si>
  <si>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</si>
  <si>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</si>
  <si>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</si>
  <si>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</si>
  <si>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</si>
  <si>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</si>
  <si>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</si>
  <si>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</si>
  <si>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</si>
  <si>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</si>
  <si>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</si>
  <si>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</si>
  <si>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</si>
  <si>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</si>
  <si>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</si>
  <si>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</si>
  <si>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</si>
  <si>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</si>
  <si>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</si>
  <si>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</si>
  <si>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</si>
  <si>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</si>
  <si>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</si>
  <si>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</si>
  <si>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</si>
  <si>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</si>
  <si>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</si>
  <si>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</si>
  <si>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</si>
  <si>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</si>
  <si>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</si>
  <si>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</si>
  <si>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</si>
  <si>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</si>
  <si>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</si>
  <si>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</si>
  <si>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</si>
  <si>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</si>
  <si>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</si>
  <si>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</si>
  <si>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</si>
  <si>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</si>
  <si>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</si>
  <si>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</si>
  <si>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</si>
  <si>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</si>
  <si>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</si>
  <si>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</si>
  <si>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</si>
  <si>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</si>
  <si>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</si>
  <si>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</si>
  <si>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</si>
  <si>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</si>
  <si>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</si>
  <si>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</si>
  <si>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</si>
  <si>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</si>
  <si>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</si>
  <si>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</si>
  <si>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</si>
  <si>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</si>
  <si>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</si>
  <si>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</si>
  <si>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</si>
  <si>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</si>
  <si>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</si>
  <si>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</si>
  <si>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</si>
  <si>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</si>
  <si>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</si>
  <si>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</si>
  <si>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</si>
  <si>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</si>
  <si>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</si>
  <si>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</si>
  <si>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</si>
  <si>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</si>
  <si>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</si>
  <si>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</si>
  <si>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</si>
  <si>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</si>
  <si>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</si>
  <si>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</si>
  <si>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</si>
  <si>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</si>
  <si>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</si>
  <si>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</si>
  <si>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</si>
  <si>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</si>
  <si>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</si>
  <si>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</si>
  <si>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</si>
  <si>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</si>
  <si>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</si>
  <si>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</si>
  <si>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</si>
  <si>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</si>
  <si>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</si>
  <si>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</si>
  <si>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</si>
  <si>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</si>
  <si>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</si>
  <si>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</si>
  <si>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</si>
  <si>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</si>
  <si>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</si>
  <si>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</si>
  <si>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</si>
  <si>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</si>
  <si>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</si>
  <si>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</si>
  <si>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</si>
  <si>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</si>
  <si>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</si>
  <si>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</si>
  <si>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</si>
  <si>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</si>
  <si>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</si>
  <si>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</si>
  <si>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</si>
  <si>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</si>
  <si>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</si>
  <si>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</si>
  <si>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</si>
  <si>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</si>
  <si>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</si>
  <si>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</si>
  <si>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</si>
  <si>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</si>
  <si>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</si>
  <si>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</si>
  <si>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</si>
  <si>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</si>
  <si>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</si>
  <si>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</si>
  <si>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</si>
  <si>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</si>
  <si>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</si>
  <si>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</si>
  <si>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</si>
  <si>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</si>
  <si>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</si>
  <si>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</si>
  <si>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</si>
  <si>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</si>
  <si>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</si>
  <si>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</si>
  <si>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</si>
  <si>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</si>
  <si>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</si>
  <si>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</si>
  <si>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</si>
  <si>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</si>
  <si>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</si>
  <si>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</si>
  <si>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</si>
  <si>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</si>
  <si>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</si>
  <si>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</si>
  <si>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</si>
  <si>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</si>
  <si>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</si>
  <si>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</si>
  <si>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</si>
  <si>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</si>
  <si>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</si>
  <si>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</si>
  <si>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</si>
  <si>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</si>
  <si>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</si>
  <si>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</si>
  <si>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</si>
  <si>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</si>
  <si>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</si>
  <si>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</si>
  <si>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</si>
  <si>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</si>
  <si>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</si>
  <si>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</si>
  <si>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</si>
  <si>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</si>
  <si>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</si>
  <si>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</si>
  <si>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</si>
  <si>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</si>
  <si>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</si>
  <si>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</si>
  <si>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</si>
  <si>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</si>
  <si>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</si>
  <si>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</si>
  <si>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</si>
  <si>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</si>
  <si>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</si>
  <si>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</si>
  <si>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</si>
  <si>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</si>
  <si>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</si>
  <si>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</si>
  <si>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</si>
  <si>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</si>
  <si>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</si>
  <si>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</si>
  <si>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</si>
  <si>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</si>
  <si>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</si>
  <si>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</si>
  <si>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</si>
  <si>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</si>
  <si>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</si>
  <si>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</si>
  <si>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</si>
  <si>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</si>
  <si>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</si>
  <si>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</si>
  <si>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</si>
  <si>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</si>
  <si>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Z2_OLBV_T3_MC2s1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</si>
</sst>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40.801000000000002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181.98617034984181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0.98000000000000043</v>
      </c>
      <c r="K5" s="143">
        <f>CdTrp1!F215+CdTrp2!F215+CdTrp3!F215+CdTrp4!F215</f>
        <v>4.6610092008163271</v>
      </c>
      <c r="L5" s="143">
        <f>CdTrp1!G215+CdTrp2!G215+CdTrp3!G215+CdTrp4!G215</f>
        <v>4.6757512571428581</v>
      </c>
      <c r="M5" s="143">
        <f>CdTrp1!H215+CdTrp2!H215+CdTrp3!H215+CdTrp4!H215</f>
        <v>5.5891870775510206</v>
      </c>
      <c r="N5" s="143">
        <f>CdTrp1!I215+CdTrp2!I215+CdTrp3!I215+CdTrp4!I215</f>
        <v>5.296720395918368</v>
      </c>
      <c r="O5" s="143">
        <f>CdTrp1!J215+CdTrp2!J215+CdTrp3!J215+CdTrp4!J215</f>
        <v>4.0441811714285718</v>
      </c>
      <c r="P5" s="143">
        <f>CdTrp1!K215+CdTrp2!K215+CdTrp3!K215+CdTrp4!K215</f>
        <v>4.2635251004081631</v>
      </c>
      <c r="Q5" s="143">
        <f>CdTrp1!L215+CdTrp2!L215+CdTrp3!L215+CdTrp4!L215</f>
        <v>6.9002606408163265</v>
      </c>
      <c r="R5" s="143">
        <f>CdTrp1!M215+CdTrp2!M215+CdTrp3!M215+CdTrp4!M215</f>
        <v>2.6031250000000004</v>
      </c>
      <c r="S5" s="143">
        <f>CdTrp1!N215+CdTrp2!N215+CdTrp3!N215+CdTrp4!N215</f>
        <v>1.6139375</v>
      </c>
      <c r="T5" s="143">
        <f>CdTrp1!O215+CdTrp2!O215+CdTrp3!O215+CdTrp4!O215</f>
        <v>1.6139375</v>
      </c>
      <c r="U5" s="143">
        <f>CdTrp1!P215+CdTrp2!P215+CdTrp3!P215+CdTrp4!P215</f>
        <v>1.3449479166666667</v>
      </c>
      <c r="V5" s="143">
        <f>CdTrp1!Q215+CdTrp2!Q215+CdTrp3!Q215+CdTrp4!Q215</f>
        <v>1.3449479166666667</v>
      </c>
      <c r="W5" s="143">
        <f>CdTrp1!R215+CdTrp2!R215+CdTrp3!R215+CdTrp4!R215</f>
        <v>0</v>
      </c>
      <c r="X5" s="143">
        <f>CdTrp1!S215+CdTrp2!S215+CdTrp3!S215+CdTrp4!S215</f>
        <v>5.193339647959184</v>
      </c>
      <c r="Y5" s="143">
        <f>CdTrp1!T215+CdTrp2!T215+CdTrp3!T215+CdTrp4!T215</f>
        <v>3.352871802891157</v>
      </c>
      <c r="Z5" s="143">
        <f>CdTrp1!U215+CdTrp2!U215+CdTrp3!U215+CdTrp4!U215</f>
        <v>3.352871802891157</v>
      </c>
      <c r="AA5" s="143">
        <f>CdTrp1!V215+CdTrp2!V215+CdTrp3!V215+CdTrp4!V215</f>
        <v>1.9973087321428575</v>
      </c>
      <c r="AB5" s="143">
        <f>CdTrp1!W215+CdTrp2!W215+CdTrp3!W215+CdTrp4!W215</f>
        <v>3.1020725765306123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139.17572509493198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0.1071753826530612</v>
      </c>
      <c r="H6" s="143">
        <f>CdTrp1!C216+CdTrp2!C216+CdTrp3!C216+CdTrp4!C216</f>
        <v>0.1071753826530612</v>
      </c>
      <c r="I6" s="143">
        <f>CdTrp1!D216+CdTrp2!D216+CdTrp3!D216+CdTrp4!D216</f>
        <v>1.0042190476190478</v>
      </c>
      <c r="J6" s="143">
        <f>CdTrp1!E216+CdTrp2!E216+CdTrp3!E216+CdTrp4!E216</f>
        <v>1.0816619047619049</v>
      </c>
      <c r="K6" s="143">
        <f>CdTrp1!F216+CdTrp2!F216+CdTrp3!F216+CdTrp4!F216</f>
        <v>1.1975542517006803</v>
      </c>
      <c r="L6" s="143">
        <f>CdTrp1!G216+CdTrp2!G216+CdTrp3!G216+CdTrp4!G216</f>
        <v>1.1975542517006803</v>
      </c>
      <c r="M6" s="143">
        <f>CdTrp1!H216+CdTrp2!H216+CdTrp3!H216+CdTrp4!H216</f>
        <v>1.2418979591836736</v>
      </c>
      <c r="N6" s="143">
        <f>CdTrp1!I216+CdTrp2!I216+CdTrp3!I216+CdTrp4!I216</f>
        <v>1.2418979591836736</v>
      </c>
      <c r="O6" s="143">
        <f>CdTrp1!J216+CdTrp2!J216+CdTrp3!J216+CdTrp4!J216</f>
        <v>0.34296122448979593</v>
      </c>
      <c r="P6" s="143">
        <f>CdTrp1!K216+CdTrp2!K216+CdTrp3!K216+CdTrp4!K216</f>
        <v>0.42870153061224486</v>
      </c>
      <c r="Q6" s="143">
        <f>CdTrp1!L216+CdTrp2!L216+CdTrp3!L216+CdTrp4!L216</f>
        <v>1.1375000000000002</v>
      </c>
      <c r="R6" s="143">
        <f>CdTrp1!M216+CdTrp2!M216+CdTrp3!M216+CdTrp4!M216</f>
        <v>1.1375000000000002</v>
      </c>
      <c r="S6" s="143">
        <f>CdTrp1!N216+CdTrp2!N216+CdTrp3!N216+CdTrp4!N216</f>
        <v>1.1754166666666668</v>
      </c>
      <c r="T6" s="143">
        <f>CdTrp1!O216+CdTrp2!O216+CdTrp3!O216+CdTrp4!O216</f>
        <v>1.1754166666666668</v>
      </c>
      <c r="U6" s="143">
        <f>CdTrp1!P216+CdTrp2!P216+CdTrp3!P216+CdTrp4!P216</f>
        <v>1.1754166666666668</v>
      </c>
      <c r="V6" s="143">
        <f>CdTrp1!Q216+CdTrp2!Q216+CdTrp3!Q216+CdTrp4!Q216</f>
        <v>1.1754166666666668</v>
      </c>
      <c r="W6" s="143">
        <f>CdTrp1!R216+CdTrp2!R216+CdTrp3!R216+CdTrp4!R216</f>
        <v>0</v>
      </c>
      <c r="X6" s="143">
        <f>CdTrp1!S216+CdTrp2!S216+CdTrp3!S216+CdTrp4!S216</f>
        <v>1.30104</v>
      </c>
      <c r="Y6" s="143">
        <f>CdTrp1!T216+CdTrp2!T216+CdTrp3!T216+CdTrp4!T216</f>
        <v>2.872046666666666</v>
      </c>
      <c r="Z6" s="143">
        <f>CdTrp1!U216+CdTrp2!U216+CdTrp3!U216+CdTrp4!U216</f>
        <v>2.7039956666666658</v>
      </c>
      <c r="AA6" s="143">
        <f>CdTrp1!V216+CdTrp2!V216+CdTrp3!V216+CdTrp4!V216</f>
        <v>2.3403900000000002</v>
      </c>
      <c r="AB6" s="143">
        <f>CdTrp1!W216+CdTrp2!W216+CdTrp3!W216+CdTrp4!W216</f>
        <v>1.8525</v>
      </c>
      <c r="AC6" s="143">
        <f>CdTrp1!X216+CdTrp2!X216+CdTrp3!X216+CdTrp4!X216</f>
        <v>0.44584959183673467</v>
      </c>
      <c r="AD6" s="143">
        <f>CdTrp1!Y216+CdTrp2!Y216+CdTrp3!Y216+CdTrp4!Y216</f>
        <v>0.44584959183673467</v>
      </c>
      <c r="AE6" s="153"/>
      <c r="AF6" s="154"/>
    </row>
    <row r="7" spans="1:53" x14ac:dyDescent="0.25">
      <c r="B7" s="14" t="s">
        <v>294</v>
      </c>
      <c r="C7" s="144">
        <f>ROUNDUP(C4-C6-0.9*C5,1)</f>
        <v>182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0.1071753826530612</v>
      </c>
      <c r="H8" s="143">
        <f t="shared" ref="H8:AD8" si="0">SUM(H5:H7)</f>
        <v>0.1071753826530612</v>
      </c>
      <c r="I8" s="143">
        <f t="shared" si="0"/>
        <v>1.0042190476190478</v>
      </c>
      <c r="J8" s="143">
        <f t="shared" si="0"/>
        <v>2.0616619047619054</v>
      </c>
      <c r="K8" s="143">
        <f t="shared" si="0"/>
        <v>5.8585634525170072</v>
      </c>
      <c r="L8" s="143">
        <f t="shared" si="0"/>
        <v>5.8733055088435382</v>
      </c>
      <c r="M8" s="143">
        <f t="shared" si="0"/>
        <v>6.8310850367346942</v>
      </c>
      <c r="N8" s="143">
        <f t="shared" si="0"/>
        <v>6.5386183551020416</v>
      </c>
      <c r="O8" s="143">
        <f t="shared" si="0"/>
        <v>4.3871423959183673</v>
      </c>
      <c r="P8" s="143">
        <f t="shared" si="0"/>
        <v>4.6922266310204082</v>
      </c>
      <c r="Q8" s="143">
        <f t="shared" si="0"/>
        <v>8.0377606408163267</v>
      </c>
      <c r="R8" s="143">
        <f t="shared" si="0"/>
        <v>3.7406250000000005</v>
      </c>
      <c r="S8" s="143">
        <f t="shared" si="0"/>
        <v>2.7893541666666666</v>
      </c>
      <c r="T8" s="143">
        <f t="shared" si="0"/>
        <v>2.7893541666666666</v>
      </c>
      <c r="U8" s="143">
        <f t="shared" si="0"/>
        <v>2.5203645833333335</v>
      </c>
      <c r="V8" s="143">
        <f t="shared" si="0"/>
        <v>2.5203645833333335</v>
      </c>
      <c r="W8" s="143">
        <f t="shared" si="0"/>
        <v>0</v>
      </c>
      <c r="X8" s="143">
        <f t="shared" si="0"/>
        <v>6.4943796479591835</v>
      </c>
      <c r="Y8" s="143">
        <f t="shared" si="0"/>
        <v>6.2249184695578226</v>
      </c>
      <c r="Z8" s="143">
        <f t="shared" si="0"/>
        <v>6.0568674695578224</v>
      </c>
      <c r="AA8" s="143">
        <f t="shared" si="0"/>
        <v>4.3376987321428579</v>
      </c>
      <c r="AB8" s="143">
        <f t="shared" si="0"/>
        <v>4.9545725765306123</v>
      </c>
      <c r="AC8" s="143">
        <f t="shared" si="0"/>
        <v>0.44584959183673467</v>
      </c>
      <c r="AD8" s="143">
        <f t="shared" si="0"/>
        <v>0.44584959183673467</v>
      </c>
      <c r="AE8" s="153"/>
      <c r="AF8" s="144">
        <f>SUM(G8:AD8)</f>
        <v>88.819132318061236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0</v>
      </c>
      <c r="R9" s="143">
        <f>CdTrp1!M218+CdTrp2!M218+CdTrp3!M218+CdTrp4!M218</f>
        <v>6.2607358775510207</v>
      </c>
      <c r="S9" s="143">
        <f>CdTrp1!N218+CdTrp2!N218+CdTrp3!N218+CdTrp4!N218</f>
        <v>6.4694270734693875</v>
      </c>
      <c r="T9" s="143">
        <f>CdTrp1!O218+CdTrp2!O218+CdTrp3!O218+CdTrp4!O218</f>
        <v>6.4694270734693875</v>
      </c>
      <c r="U9" s="143">
        <f>CdTrp1!P218+CdTrp2!P218+CdTrp3!P218+CdTrp4!P218</f>
        <v>7.3656990734693872</v>
      </c>
      <c r="V9" s="143">
        <f>CdTrp1!Q218+CdTrp2!Q218+CdTrp3!Q218+CdTrp4!Q218</f>
        <v>7.3656990734693872</v>
      </c>
      <c r="W9" s="143">
        <f>CdTrp1!R218+CdTrp2!R218+CdTrp3!R218+CdTrp4!R218</f>
        <v>7.7925629387755109</v>
      </c>
      <c r="X9" s="143">
        <f>CdTrp1!S218+CdTrp2!S218+CdTrp3!S218+CdTrp4!S218</f>
        <v>1.1375000000000002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50.356592776870748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449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450</v>
      </c>
      <c r="G17" s="140">
        <f>CdTrp1!AC77+CdTrp2!AC77+CdTrp3!AC77+CdTrp4!AC77</f>
        <v>54.5</v>
      </c>
      <c r="H17" s="49" t="s">
        <v>455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6">
        <v>1</v>
      </c>
      <c r="G18" s="156">
        <f>CdTrp1!AC78+CdTrp2!AC78+CdTrp3!AC78+CdTrp4!AC78</f>
        <v>25.5</v>
      </c>
      <c r="H18" s="157">
        <f>G18/$G$17</f>
        <v>0.46788990825688076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6">
        <v>2</v>
      </c>
      <c r="G19" s="156">
        <f>CdTrp1!AC79+CdTrp2!AC79+CdTrp3!AC79+CdTrp4!AC79</f>
        <v>19.5</v>
      </c>
      <c r="H19" s="157">
        <f t="shared" ref="H19:H21" si="1">G19/$G$17</f>
        <v>0.3577981651376147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454</v>
      </c>
      <c r="F21" s="156">
        <v>4</v>
      </c>
      <c r="G21" s="156">
        <f>CdTrp1!AC81+CdTrp2!AC81+CdTrp3!AC81+CdTrp4!AC81</f>
        <v>3.5</v>
      </c>
      <c r="H21" s="157">
        <f t="shared" si="1"/>
        <v>6.4220183486238536E-2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62" zoomScale="90" zoomScaleNormal="90" workbookViewId="0">
      <selection activeCell="R32" sqref="R3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0.1071753826530612</v>
      </c>
      <c r="AT5" s="13">
        <f>'Conduite Trp'!H8</f>
        <v>0.1071753826530612</v>
      </c>
      <c r="AU5" s="13">
        <f>'Conduite Trp'!I8</f>
        <v>1.0042190476190478</v>
      </c>
      <c r="AV5" s="13">
        <f>'Conduite Trp'!J8</f>
        <v>2.0616619047619054</v>
      </c>
      <c r="AW5" s="13">
        <f>'Conduite Trp'!K8</f>
        <v>5.8585634525170072</v>
      </c>
      <c r="AX5" s="13">
        <f>'Conduite Trp'!L8</f>
        <v>5.8733055088435382</v>
      </c>
      <c r="AY5" s="13">
        <f>'Conduite Trp'!M8</f>
        <v>6.8310850367346942</v>
      </c>
      <c r="AZ5" s="13">
        <f>'Conduite Trp'!N8</f>
        <v>6.5386183551020416</v>
      </c>
      <c r="BA5" s="13">
        <f>'Conduite Trp'!O8</f>
        <v>4.3871423959183673</v>
      </c>
      <c r="BB5" s="13">
        <f>'Conduite Trp'!P8</f>
        <v>4.6922266310204082</v>
      </c>
      <c r="BC5" s="13">
        <f>'Conduite Trp'!Q8</f>
        <v>8.0377606408163267</v>
      </c>
      <c r="BD5" s="13">
        <f>'Conduite Trp'!R8</f>
        <v>3.7406250000000005</v>
      </c>
      <c r="BE5" s="13">
        <f>'Conduite Trp'!S8</f>
        <v>2.7893541666666666</v>
      </c>
      <c r="BF5" s="13">
        <f>'Conduite Trp'!T8</f>
        <v>2.7893541666666666</v>
      </c>
      <c r="BG5" s="13">
        <f>'Conduite Trp'!U8</f>
        <v>2.5203645833333335</v>
      </c>
      <c r="BH5" s="13">
        <f>'Conduite Trp'!V8</f>
        <v>2.5203645833333335</v>
      </c>
      <c r="BI5" s="13">
        <f>'Conduite Trp'!W8</f>
        <v>0</v>
      </c>
      <c r="BJ5" s="13">
        <f>'Conduite Trp'!X8</f>
        <v>6.4943796479591835</v>
      </c>
      <c r="BK5" s="13">
        <f>'Conduite Trp'!Y8</f>
        <v>6.2249184695578226</v>
      </c>
      <c r="BL5" s="13">
        <f>'Conduite Trp'!Z8</f>
        <v>6.0568674695578224</v>
      </c>
      <c r="BM5" s="13">
        <f>'Conduite Trp'!AA8</f>
        <v>4.3376987321428579</v>
      </c>
      <c r="BN5" s="13">
        <f>'Conduite Trp'!AB8</f>
        <v>4.9545725765306123</v>
      </c>
      <c r="BO5" s="13">
        <f>'Conduite Trp'!AC8</f>
        <v>0.44584959183673467</v>
      </c>
      <c r="BP5" s="13">
        <f>'Conduite Trp'!AD8</f>
        <v>0.44584959183673467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1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0.8</v>
      </c>
      <c r="AH7" s="61">
        <f t="shared" ref="AH7:AH26" si="3">$R7*Y7</f>
        <v>0</v>
      </c>
      <c r="AI7" s="61">
        <f t="shared" ref="AI7:AI26" si="4">$R7*Z7</f>
        <v>1</v>
      </c>
      <c r="AJ7" s="61">
        <f t="shared" ref="AJ7:AJ26" si="5">$R7*AA7</f>
        <v>0</v>
      </c>
      <c r="AK7" s="141"/>
      <c r="AL7" s="61">
        <f t="shared" ref="AL7:AL26" si="6">R7*AC7</f>
        <v>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6.8310850367346942</v>
      </c>
      <c r="AZ7" s="61">
        <f t="shared" si="7"/>
        <v>6.5386183551020416</v>
      </c>
      <c r="BA7" s="61">
        <f t="shared" si="7"/>
        <v>4.3871423959183673</v>
      </c>
      <c r="BB7" s="61">
        <f t="shared" si="7"/>
        <v>4.6922266310204082</v>
      </c>
      <c r="BC7" s="61">
        <f t="shared" si="7"/>
        <v>8.0377606408163267</v>
      </c>
      <c r="BD7" s="61">
        <f t="shared" si="7"/>
        <v>3.7406250000000005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34.227458059591839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40.801000000000002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2.7893541666666666</v>
      </c>
      <c r="BF8" s="61">
        <f t="shared" si="8"/>
        <v>2.7893541666666666</v>
      </c>
      <c r="BG8" s="61">
        <f t="shared" si="8"/>
        <v>2.5203645833333335</v>
      </c>
      <c r="BH8" s="61">
        <f t="shared" si="8"/>
        <v>2.5203645833333335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10.6194375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40.801000000000002</v>
      </c>
      <c r="G9" s="81"/>
      <c r="H9" s="61">
        <f>SUM(L34:L43)</f>
        <v>3</v>
      </c>
      <c r="I9" s="81"/>
      <c r="J9" s="81"/>
      <c r="K9" s="93">
        <f>H9-F9</f>
        <v>-37.801000000000002</v>
      </c>
      <c r="L9" s="81"/>
      <c r="M9" s="100"/>
      <c r="P9">
        <v>3</v>
      </c>
      <c r="Q9" s="286">
        <v>260</v>
      </c>
      <c r="R9" s="286">
        <v>4</v>
      </c>
      <c r="S9" s="285" t="str">
        <f>VLOOKUP($Q9,[1]MEP!$A$5:$D$300,3)</f>
        <v>PP bonne Prélevt étalé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2</v>
      </c>
      <c r="W9" s="76">
        <f>VLOOKUP($Q9,[1]MEP!$A$4:$K$300,6)</f>
        <v>1.5</v>
      </c>
      <c r="X9" s="76">
        <f>VLOOKUP($Q9,[1]MEP!$A$4:$K$300,7)</f>
        <v>1.5</v>
      </c>
      <c r="Y9" s="76">
        <f>VLOOKUP($Q9,[1]MEP!$A$4:$K$300,8)</f>
        <v>1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8</v>
      </c>
      <c r="AF9" s="61">
        <f t="shared" si="1"/>
        <v>6</v>
      </c>
      <c r="AG9" s="61">
        <f t="shared" si="2"/>
        <v>6</v>
      </c>
      <c r="AH9" s="61">
        <f t="shared" si="3"/>
        <v>4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6.4943796479591835</v>
      </c>
      <c r="BK9" s="61">
        <f t="shared" si="10"/>
        <v>6.2249184695578226</v>
      </c>
      <c r="BL9" s="61">
        <f t="shared" si="10"/>
        <v>6.0568674695578224</v>
      </c>
      <c r="BM9" s="61">
        <f t="shared" si="10"/>
        <v>4.3376987321428579</v>
      </c>
      <c r="BN9" s="61">
        <f t="shared" si="10"/>
        <v>4.9545725765306123</v>
      </c>
      <c r="BO9" s="61">
        <f t="shared" si="10"/>
        <v>0</v>
      </c>
      <c r="BP9" s="61">
        <f t="shared" si="10"/>
        <v>0</v>
      </c>
      <c r="BR9" s="61">
        <f t="shared" si="9"/>
        <v>28.068436895748299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0.1071753826530612</v>
      </c>
      <c r="AT10" s="61">
        <f t="shared" ref="AT10:BP10" si="11">IF(AT$4=4,AT$5,0)</f>
        <v>0.1071753826530612</v>
      </c>
      <c r="AU10" s="61">
        <f t="shared" si="11"/>
        <v>1.0042190476190478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0.44584959183673467</v>
      </c>
      <c r="BP10" s="61">
        <f t="shared" si="11"/>
        <v>0.44584959183673467</v>
      </c>
      <c r="BR10" s="61">
        <f t="shared" si="9"/>
        <v>2.1102689965986396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2.0616619047619054</v>
      </c>
      <c r="AW11" s="61">
        <f t="shared" si="12"/>
        <v>5.8585634525170072</v>
      </c>
      <c r="AX11" s="61">
        <f t="shared" si="12"/>
        <v>5.8733055088435382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13.793530866122451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0.98000000000000043</v>
      </c>
      <c r="AW15" s="13">
        <f>'Conduite Trp'!K5</f>
        <v>4.6610092008163271</v>
      </c>
      <c r="AX15" s="13">
        <f>'Conduite Trp'!L5</f>
        <v>4.6757512571428581</v>
      </c>
      <c r="AY15" s="13">
        <f>'Conduite Trp'!M5</f>
        <v>5.5891870775510206</v>
      </c>
      <c r="AZ15" s="13">
        <f>'Conduite Trp'!N5</f>
        <v>5.296720395918368</v>
      </c>
      <c r="BA15" s="13">
        <f>'Conduite Trp'!O5</f>
        <v>4.0441811714285718</v>
      </c>
      <c r="BB15" s="13">
        <f>'Conduite Trp'!P5</f>
        <v>4.2635251004081631</v>
      </c>
      <c r="BC15" s="13">
        <f>'Conduite Trp'!Q5</f>
        <v>6.9002606408163265</v>
      </c>
      <c r="BD15" s="13">
        <f>'Conduite Trp'!R5</f>
        <v>2.6031250000000004</v>
      </c>
      <c r="BE15" s="13">
        <f>'Conduite Trp'!S5</f>
        <v>1.6139375</v>
      </c>
      <c r="BF15" s="13">
        <f>'Conduite Trp'!T5</f>
        <v>1.6139375</v>
      </c>
      <c r="BG15" s="13">
        <f>'Conduite Trp'!U5</f>
        <v>1.3449479166666667</v>
      </c>
      <c r="BH15" s="13">
        <f>'Conduite Trp'!V5</f>
        <v>1.3449479166666667</v>
      </c>
      <c r="BI15" s="13">
        <f>'Conduite Trp'!W5</f>
        <v>0</v>
      </c>
      <c r="BJ15" s="13">
        <f>'Conduite Trp'!X5</f>
        <v>5.193339647959184</v>
      </c>
      <c r="BK15" s="13">
        <f>'Conduite Trp'!Y5</f>
        <v>3.352871802891157</v>
      </c>
      <c r="BL15" s="13">
        <f>'Conduite Trp'!Z5</f>
        <v>3.352871802891157</v>
      </c>
      <c r="BM15" s="13">
        <f>'Conduite Trp'!AA5</f>
        <v>1.9973087321428575</v>
      </c>
      <c r="BN15" s="13">
        <f>'Conduite Trp'!AB5</f>
        <v>3.1020725765306123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485</v>
      </c>
      <c r="AS16" s="13">
        <f>'Conduite Trp'!G6</f>
        <v>0.1071753826530612</v>
      </c>
      <c r="AT16" s="13">
        <f>'Conduite Trp'!H6</f>
        <v>0.1071753826530612</v>
      </c>
      <c r="AU16" s="13">
        <f>'Conduite Trp'!I6</f>
        <v>1.0042190476190478</v>
      </c>
      <c r="AV16" s="13">
        <f>'Conduite Trp'!J6</f>
        <v>1.0816619047619049</v>
      </c>
      <c r="AW16" s="13">
        <f>'Conduite Trp'!K6</f>
        <v>1.1975542517006803</v>
      </c>
      <c r="AX16" s="13">
        <f>'Conduite Trp'!L6</f>
        <v>1.1975542517006803</v>
      </c>
      <c r="AY16" s="13">
        <f>'Conduite Trp'!M6</f>
        <v>1.2418979591836736</v>
      </c>
      <c r="AZ16" s="13">
        <f>'Conduite Trp'!N6</f>
        <v>1.2418979591836736</v>
      </c>
      <c r="BA16" s="13">
        <f>'Conduite Trp'!O6</f>
        <v>0.34296122448979593</v>
      </c>
      <c r="BB16" s="13">
        <f>'Conduite Trp'!P6</f>
        <v>0.42870153061224486</v>
      </c>
      <c r="BC16" s="13">
        <f>'Conduite Trp'!Q6</f>
        <v>1.1375000000000002</v>
      </c>
      <c r="BD16" s="13">
        <f>'Conduite Trp'!R6</f>
        <v>1.1375000000000002</v>
      </c>
      <c r="BE16" s="13">
        <f>'Conduite Trp'!S6</f>
        <v>1.1754166666666668</v>
      </c>
      <c r="BF16" s="13">
        <f>'Conduite Trp'!T6</f>
        <v>1.1754166666666668</v>
      </c>
      <c r="BG16" s="13">
        <f>'Conduite Trp'!U6</f>
        <v>1.1754166666666668</v>
      </c>
      <c r="BH16" s="13">
        <f>'Conduite Trp'!V6</f>
        <v>1.1754166666666668</v>
      </c>
      <c r="BI16" s="13">
        <f>'Conduite Trp'!W6</f>
        <v>0</v>
      </c>
      <c r="BJ16" s="13">
        <f>'Conduite Trp'!X6</f>
        <v>1.30104</v>
      </c>
      <c r="BK16" s="13">
        <f>'Conduite Trp'!Y6</f>
        <v>2.872046666666666</v>
      </c>
      <c r="BL16" s="13">
        <f>'Conduite Trp'!Z6</f>
        <v>2.7039956666666658</v>
      </c>
      <c r="BM16" s="13">
        <f>'Conduite Trp'!AA6</f>
        <v>2.3403900000000002</v>
      </c>
      <c r="BN16" s="13">
        <f>'Conduite Trp'!AB6</f>
        <v>1.8525</v>
      </c>
      <c r="BO16" s="13">
        <f>'Conduite Trp'!AC6</f>
        <v>0.44584959183673467</v>
      </c>
      <c r="BP16" s="13">
        <f>'Conduite Trp'!AD6</f>
        <v>0.44584959183673467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5.5891870775510206</v>
      </c>
      <c r="AZ19" s="61">
        <f t="shared" si="15"/>
        <v>5.296720395918368</v>
      </c>
      <c r="BA19" s="61">
        <f t="shared" si="15"/>
        <v>4.0441811714285718</v>
      </c>
      <c r="BB19" s="61">
        <f t="shared" si="15"/>
        <v>4.2635251004081631</v>
      </c>
      <c r="BC19" s="61">
        <f t="shared" si="15"/>
        <v>6.9002606408163265</v>
      </c>
      <c r="BD19" s="61">
        <f t="shared" si="15"/>
        <v>2.6031250000000004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28.696999386122449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1.6139375</v>
      </c>
      <c r="BF20" s="61">
        <f t="shared" si="16"/>
        <v>1.6139375</v>
      </c>
      <c r="BG20" s="61">
        <f t="shared" si="16"/>
        <v>1.3449479166666667</v>
      </c>
      <c r="BH20" s="61">
        <f t="shared" si="16"/>
        <v>1.3449479166666667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5.917770833333333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5.193339647959184</v>
      </c>
      <c r="BK21" s="61">
        <f t="shared" si="18"/>
        <v>3.352871802891157</v>
      </c>
      <c r="BL21" s="61">
        <f t="shared" si="18"/>
        <v>3.352871802891157</v>
      </c>
      <c r="BM21" s="61">
        <f t="shared" si="18"/>
        <v>1.9973087321428575</v>
      </c>
      <c r="BN21" s="61">
        <f t="shared" si="18"/>
        <v>3.1020725765306123</v>
      </c>
      <c r="BO21" s="61">
        <f t="shared" si="18"/>
        <v>0</v>
      </c>
      <c r="BP21" s="61">
        <f t="shared" si="18"/>
        <v>0</v>
      </c>
      <c r="BR21" s="61">
        <f t="shared" si="17"/>
        <v>16.998464562414966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0.98000000000000043</v>
      </c>
      <c r="AW23" s="61">
        <f t="shared" si="20"/>
        <v>4.6610092008163271</v>
      </c>
      <c r="AX23" s="61">
        <f t="shared" si="20"/>
        <v>4.6757512571428581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10.316760457959186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35.4</v>
      </c>
      <c r="E24" s="61">
        <f t="shared" si="21"/>
        <v>11.3575</v>
      </c>
      <c r="F24" s="61">
        <f t="shared" si="21"/>
        <v>28.664999999999999</v>
      </c>
      <c r="G24" s="61">
        <f t="shared" si="21"/>
        <v>8.6999999999999993</v>
      </c>
      <c r="H24" s="61">
        <f t="shared" si="21"/>
        <v>17.8</v>
      </c>
      <c r="I24" s="61">
        <f t="shared" si="21"/>
        <v>0</v>
      </c>
      <c r="J24" s="63"/>
      <c r="K24" s="61">
        <f>AL27+AL49+AL71</f>
        <v>113.575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34.227458059591839</v>
      </c>
      <c r="E25" s="61">
        <f>BR8</f>
        <v>10.6194375</v>
      </c>
      <c r="F25" s="61">
        <f>BR9</f>
        <v>28.068436895748299</v>
      </c>
      <c r="G25" s="61">
        <f>BR10</f>
        <v>2.1102689965986396</v>
      </c>
      <c r="H25" s="61">
        <f>BR11</f>
        <v>13.793530866122451</v>
      </c>
      <c r="I25" s="61">
        <f>BR12</f>
        <v>0</v>
      </c>
      <c r="J25" s="63"/>
      <c r="K25" s="76">
        <f>'Conduite Trp'!C7</f>
        <v>182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1.1725419404081592</v>
      </c>
      <c r="E27" s="93">
        <f t="shared" si="23"/>
        <v>0.73806249999999984</v>
      </c>
      <c r="F27" s="93">
        <f t="shared" si="23"/>
        <v>0.59656310425170034</v>
      </c>
      <c r="G27" s="93">
        <f t="shared" si="23"/>
        <v>6.5897310034013596</v>
      </c>
      <c r="H27" s="93">
        <f t="shared" si="23"/>
        <v>4.00646913387755</v>
      </c>
      <c r="I27" s="93">
        <f t="shared" si="23"/>
        <v>0</v>
      </c>
      <c r="J27" s="63"/>
      <c r="K27" s="93">
        <f>K24-K25</f>
        <v>-68.424999999999997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29.25</v>
      </c>
      <c r="AF27" s="75">
        <f t="shared" ref="AF27:AJ27" si="24">SUM(AF7:AF26)</f>
        <v>6</v>
      </c>
      <c r="AG27" s="75">
        <f t="shared" si="24"/>
        <v>17.425000000000001</v>
      </c>
      <c r="AH27" s="75">
        <f t="shared" si="24"/>
        <v>6.9749999999999996</v>
      </c>
      <c r="AI27" s="75">
        <f t="shared" si="24"/>
        <v>9.5</v>
      </c>
      <c r="AJ27" s="75">
        <f t="shared" si="24"/>
        <v>0</v>
      </c>
      <c r="AK27"/>
      <c r="AL27" s="75">
        <f>SUM(AL7:AL26)</f>
        <v>36.450000000000003</v>
      </c>
      <c r="AQ27" s="32" t="s">
        <v>485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1.2418979591836736</v>
      </c>
      <c r="AZ27" s="61">
        <f t="shared" si="25"/>
        <v>1.2418979591836736</v>
      </c>
      <c r="BA27" s="61">
        <f t="shared" si="25"/>
        <v>0.34296122448979593</v>
      </c>
      <c r="BB27" s="61">
        <f t="shared" si="25"/>
        <v>0.42870153061224486</v>
      </c>
      <c r="BC27" s="61">
        <f t="shared" si="25"/>
        <v>1.1375000000000002</v>
      </c>
      <c r="BD27" s="61">
        <f t="shared" si="25"/>
        <v>1.1375000000000002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5.530458673469389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1.1754166666666668</v>
      </c>
      <c r="BF28" s="61">
        <f t="shared" si="26"/>
        <v>1.1754166666666668</v>
      </c>
      <c r="BG28" s="61">
        <f t="shared" si="26"/>
        <v>1.1754166666666668</v>
      </c>
      <c r="BH28" s="61">
        <f t="shared" si="26"/>
        <v>1.1754166666666668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4.7016666666666671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1.30104</v>
      </c>
      <c r="BK29" s="61">
        <f t="shared" si="35"/>
        <v>2.872046666666666</v>
      </c>
      <c r="BL29" s="61">
        <f t="shared" si="35"/>
        <v>2.7039956666666658</v>
      </c>
      <c r="BM29" s="61">
        <f t="shared" si="35"/>
        <v>2.3403900000000002</v>
      </c>
      <c r="BN29" s="61">
        <f t="shared" si="35"/>
        <v>1.8525</v>
      </c>
      <c r="BO29" s="61">
        <f t="shared" si="35"/>
        <v>0</v>
      </c>
      <c r="BP29" s="61">
        <f t="shared" si="35"/>
        <v>0</v>
      </c>
      <c r="BR29" s="61">
        <f t="shared" si="27"/>
        <v>11.069972333333332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0.1071753826530612</v>
      </c>
      <c r="AT30" s="61">
        <f t="shared" ref="AT30:BP30" si="36">IF(AT$4=4,AT$16,0)</f>
        <v>0.1071753826530612</v>
      </c>
      <c r="AU30" s="61">
        <f t="shared" si="36"/>
        <v>1.0042190476190478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0.44584959183673467</v>
      </c>
      <c r="BP30" s="61">
        <f t="shared" si="36"/>
        <v>0.44584959183673467</v>
      </c>
      <c r="BR30" s="61">
        <f t="shared" si="27"/>
        <v>2.1102689965986396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6.8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5.44</v>
      </c>
      <c r="AH31" s="61">
        <f t="shared" si="31"/>
        <v>0</v>
      </c>
      <c r="AI31" s="61">
        <f t="shared" si="32"/>
        <v>6.8</v>
      </c>
      <c r="AJ31" s="61">
        <f t="shared" si="33"/>
        <v>0</v>
      </c>
      <c r="AK31"/>
      <c r="AL31" s="61">
        <f t="shared" si="34"/>
        <v>34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1.0816619047619049</v>
      </c>
      <c r="AW31" s="61">
        <f t="shared" si="37"/>
        <v>1.1975542517006803</v>
      </c>
      <c r="AX31" s="61">
        <f t="shared" si="37"/>
        <v>1.1975542517006803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3.4767704081632651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260</v>
      </c>
      <c r="R32" s="39">
        <v>1.2</v>
      </c>
      <c r="S32" s="285" t="str">
        <f>VLOOKUP($Q32,[1]MEP!$A$5:$D$300,3)</f>
        <v>PP bonne Prélevt étalé</v>
      </c>
      <c r="T32" s="76" t="str">
        <f>VLOOKUP($Q32,[1]MEP!$A$5:$D$300,4)</f>
        <v>zone 2</v>
      </c>
      <c r="U32" s="76" t="str">
        <f>VLOOKUP($Q32,[1]MEP!$A$4:$K$300,2)</f>
        <v>P</v>
      </c>
      <c r="V32" s="76">
        <f>VLOOKUP($Q32,[1]MEP!$A$4:$K$300,5)</f>
        <v>2</v>
      </c>
      <c r="W32" s="76">
        <f>VLOOKUP($Q32,[1]MEP!$A$4:$K$300,6)</f>
        <v>1.5</v>
      </c>
      <c r="X32" s="76">
        <f>VLOOKUP($Q32,[1]MEP!$A$4:$K$300,7)</f>
        <v>1.5</v>
      </c>
      <c r="Y32" s="76">
        <f>VLOOKUP($Q32,[1]MEP!$A$4:$K$300,8)</f>
        <v>1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2.4</v>
      </c>
      <c r="AF32" s="61">
        <f t="shared" si="29"/>
        <v>1.7999999999999998</v>
      </c>
      <c r="AG32" s="61">
        <f t="shared" si="30"/>
        <v>1.7999999999999998</v>
      </c>
      <c r="AH32" s="61">
        <f t="shared" si="31"/>
        <v>1.2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287</v>
      </c>
      <c r="R33" s="39"/>
      <c r="S33" s="285" t="str">
        <f>VLOOKUP($Q33,[1]MEP!$A$5:$D$300,3)</f>
        <v>PP bonne 2 coupes enrub pat automnal</v>
      </c>
      <c r="T33" s="76" t="str">
        <f>VLOOKUP($Q33,[1]MEP!$A$5:$D$300,4)</f>
        <v>zone 2</v>
      </c>
      <c r="U33" s="76" t="str">
        <f>VLOOKUP($Q33,[1]MEP!$A$4:$K$300,2)</f>
        <v>F/P</v>
      </c>
      <c r="V33" s="76">
        <f>VLOOKUP($Q33,[1]MEP!$A$4:$K$300,5)</f>
        <v>0.5</v>
      </c>
      <c r="W33" s="76">
        <f>VLOOKUP($Q33,[1]MEP!$A$4:$K$300,6)</f>
        <v>0</v>
      </c>
      <c r="X33" s="76">
        <f>VLOOKUP($Q33,[1]MEP!$A$4:$K$300,7)</f>
        <v>1.25</v>
      </c>
      <c r="Y33" s="76">
        <f>VLOOKUP($Q33,[1]MEP!$A$4:$K$300,8)</f>
        <v>0.25</v>
      </c>
      <c r="Z33" s="76">
        <f>VLOOKUP($Q33,[1]MEP!$A$4:$K$300,9)</f>
        <v>0.25</v>
      </c>
      <c r="AA33" s="76">
        <f>VLOOKUP($Q33,[1]MEP!$A$4:$K$300,10)</f>
        <v>0</v>
      </c>
      <c r="AC33" s="76">
        <f>VLOOKUP($Q33,[1]MEP!$A$4:$K$300,11)</f>
        <v>4.2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>
        <v>236</v>
      </c>
      <c r="R34" s="39">
        <v>2.5</v>
      </c>
      <c r="S34" s="285" t="str">
        <f>VLOOKUP($Q34,[1]MEP!$A$5:$D$300,3)</f>
        <v>PP bonne 1 coupe Prtps sans P prtps</v>
      </c>
      <c r="T34" s="76" t="str">
        <f>VLOOKUP($Q34,[1]MEP!$A$5:$D$300,4)</f>
        <v>zone 2</v>
      </c>
      <c r="U34" s="76" t="str">
        <f>VLOOKUP($Q34,[1]MEP!$A$4:$K$300,2)</f>
        <v>F/P</v>
      </c>
      <c r="V34" s="76">
        <f>VLOOKUP($Q34,[1]MEP!$A$4:$K$300,5)</f>
        <v>0</v>
      </c>
      <c r="W34" s="76">
        <f>VLOOKUP($Q34,[1]MEP!$A$4:$K$300,6)</f>
        <v>1.423</v>
      </c>
      <c r="X34" s="76">
        <f>VLOOKUP($Q34,[1]MEP!$A$4:$K$300,7)</f>
        <v>0.85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3.27</v>
      </c>
      <c r="AE34" s="61">
        <f t="shared" si="28"/>
        <v>0</v>
      </c>
      <c r="AF34" s="61">
        <f t="shared" si="29"/>
        <v>3.5575000000000001</v>
      </c>
      <c r="AG34" s="61">
        <f t="shared" si="30"/>
        <v>2.125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8.1750000000000007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486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6.15</v>
      </c>
      <c r="AF49" s="75">
        <f t="shared" ref="AF49" si="50">SUM(AF29:AF48)</f>
        <v>5.3574999999999999</v>
      </c>
      <c r="AG49" s="75">
        <f t="shared" ref="AG49" si="51">SUM(AG29:AG48)</f>
        <v>11.24</v>
      </c>
      <c r="AH49" s="75">
        <f t="shared" ref="AH49" si="52">SUM(AH29:AH48)</f>
        <v>1.7249999999999999</v>
      </c>
      <c r="AI49" s="75">
        <f t="shared" ref="AI49" si="53">SUM(AI29:AI48)</f>
        <v>8.3000000000000007</v>
      </c>
      <c r="AJ49" s="75">
        <f t="shared" ref="AJ49" si="54">SUM(AJ29:AJ48)</f>
        <v>0</v>
      </c>
      <c r="AK49"/>
      <c r="AL49" s="75">
        <f>SUM(AL29:AL48)</f>
        <v>77.125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478</v>
      </c>
      <c r="C66" s="163"/>
      <c r="D66" s="163"/>
      <c r="E66" s="163"/>
      <c r="F66" s="163"/>
      <c r="G66" s="164" t="s">
        <v>479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480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29.25</v>
      </c>
      <c r="E72" s="61">
        <f t="shared" ref="E72:H72" si="69">AF27</f>
        <v>6</v>
      </c>
      <c r="F72" s="61">
        <f t="shared" si="69"/>
        <v>17.425000000000001</v>
      </c>
      <c r="G72" s="61">
        <f t="shared" si="69"/>
        <v>6.9749999999999996</v>
      </c>
      <c r="H72" s="61">
        <f t="shared" si="69"/>
        <v>9.5</v>
      </c>
      <c r="I72" s="61">
        <f t="shared" ref="I72" si="70">AJ75+AJ97+AJ119</f>
        <v>0</v>
      </c>
      <c r="J72" s="63"/>
      <c r="K72" s="61">
        <f>+K24</f>
        <v>113.575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28.696999386122449</v>
      </c>
      <c r="E73" s="61">
        <f>BR20</f>
        <v>5.917770833333333</v>
      </c>
      <c r="F73" s="61">
        <f>BR21</f>
        <v>16.998464562414966</v>
      </c>
      <c r="G73" s="61">
        <f>BR22</f>
        <v>0</v>
      </c>
      <c r="H73" s="61">
        <f>BR23</f>
        <v>10.316760457959186</v>
      </c>
      <c r="I73" s="61">
        <f>BR60</f>
        <v>0</v>
      </c>
      <c r="J73" s="63"/>
      <c r="K73" s="76">
        <f>+K25</f>
        <v>182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0.55300061387755051</v>
      </c>
      <c r="E75" s="93">
        <f t="shared" ref="E75:I75" si="71">E72-E73</f>
        <v>8.222916666666702E-2</v>
      </c>
      <c r="F75" s="93">
        <f t="shared" si="71"/>
        <v>0.42653543758503432</v>
      </c>
      <c r="G75" s="93">
        <f t="shared" si="71"/>
        <v>6.9749999999999996</v>
      </c>
      <c r="H75" s="93">
        <f t="shared" si="71"/>
        <v>-0.81676045795918562</v>
      </c>
      <c r="I75" s="93">
        <f t="shared" si="71"/>
        <v>0</v>
      </c>
      <c r="J75" s="63"/>
      <c r="K75" s="93">
        <f>+K27</f>
        <v>-68.424999999999997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481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6.15</v>
      </c>
      <c r="E82" s="61">
        <f t="shared" ref="E82:H82" si="72">AF49</f>
        <v>5.3574999999999999</v>
      </c>
      <c r="F82" s="61">
        <f t="shared" si="72"/>
        <v>11.24</v>
      </c>
      <c r="G82" s="61">
        <f t="shared" si="72"/>
        <v>1.7249999999999999</v>
      </c>
      <c r="H82" s="61">
        <f t="shared" si="72"/>
        <v>8.3000000000000007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5.530458673469389</v>
      </c>
      <c r="E83" s="61">
        <f>BR28</f>
        <v>4.7016666666666671</v>
      </c>
      <c r="F83" s="61">
        <f>BR29</f>
        <v>11.069972333333332</v>
      </c>
      <c r="G83" s="61">
        <f>BR30</f>
        <v>2.1102689965986396</v>
      </c>
      <c r="H83" s="61">
        <f>BR31</f>
        <v>3.4767704081632651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0.61954132653061134</v>
      </c>
      <c r="E85" s="93">
        <f t="shared" ref="E85:H85" si="73">E82-E83</f>
        <v>0.65583333333333282</v>
      </c>
      <c r="F85" s="93">
        <f t="shared" si="73"/>
        <v>0.1700276666666678</v>
      </c>
      <c r="G85" s="93">
        <f t="shared" si="73"/>
        <v>-0.38526899659863978</v>
      </c>
      <c r="H85" s="93">
        <f t="shared" si="73"/>
        <v>4.8232295918367356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1467</v>
      </c>
      <c r="B3" s="287" t="s">
        <v>1463</v>
      </c>
    </row>
    <row r="4" spans="1:5" x14ac:dyDescent="0.25">
      <c r="A4" s="287" t="s">
        <v>1466</v>
      </c>
      <c r="B4" t="s">
        <v>491</v>
      </c>
      <c r="C4" t="s">
        <v>458</v>
      </c>
      <c r="D4" t="s">
        <v>1464</v>
      </c>
      <c r="E4" t="s">
        <v>1465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1464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1465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I11" sqref="I11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456</v>
      </c>
      <c r="E1" s="6" t="s">
        <v>457</v>
      </c>
      <c r="F1" s="6" t="s">
        <v>75</v>
      </c>
      <c r="G1" s="7" t="s">
        <v>18</v>
      </c>
      <c r="H1" s="7" t="s">
        <v>1468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490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491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491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458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445</v>
      </c>
      <c r="B5" s="9">
        <v>1</v>
      </c>
      <c r="C5" s="9">
        <v>2</v>
      </c>
      <c r="D5" s="9" t="s">
        <v>458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446</v>
      </c>
      <c r="B6" s="9">
        <v>1</v>
      </c>
      <c r="C6" s="9">
        <v>2</v>
      </c>
      <c r="D6" s="9" t="s">
        <v>458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491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491</v>
      </c>
      <c r="E8" s="9" t="s">
        <v>447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458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458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458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458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458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458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491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491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491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488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489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470</v>
      </c>
      <c r="B1">
        <v>45</v>
      </c>
      <c r="C1">
        <v>12</v>
      </c>
      <c r="AC1" t="s">
        <v>477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462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462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463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463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464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465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466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466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467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467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468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468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469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469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466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474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468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469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473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443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444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475</v>
      </c>
    </row>
    <row r="31" spans="1:53" x14ac:dyDescent="0.25">
      <c r="A31" s="50" t="s">
        <v>443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444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471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441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52" zoomScale="80" zoomScaleNormal="80" workbookViewId="0">
      <selection activeCell="K61" sqref="K61:K62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492</v>
      </c>
      <c r="K1" s="80" t="s">
        <v>1470</v>
      </c>
    </row>
    <row r="2" spans="10:22" x14ac:dyDescent="0.25">
      <c r="J2" s="14" t="s">
        <v>493</v>
      </c>
      <c r="K2" s="80" t="s">
        <v>494</v>
      </c>
      <c r="P2" s="14" t="s">
        <v>494</v>
      </c>
      <c r="R2">
        <v>0</v>
      </c>
      <c r="S2" t="s">
        <v>495</v>
      </c>
    </row>
    <row r="3" spans="10:22" x14ac:dyDescent="0.25">
      <c r="J3" s="14" t="s">
        <v>496</v>
      </c>
      <c r="K3" s="80"/>
      <c r="P3" s="14" t="s">
        <v>497</v>
      </c>
      <c r="R3">
        <v>1</v>
      </c>
      <c r="S3" t="s">
        <v>498</v>
      </c>
    </row>
    <row r="4" spans="10:22" x14ac:dyDescent="0.25">
      <c r="J4" s="14" t="s">
        <v>499</v>
      </c>
      <c r="K4" s="80">
        <v>2</v>
      </c>
      <c r="P4" s="14" t="s">
        <v>500</v>
      </c>
    </row>
    <row r="5" spans="10:22" x14ac:dyDescent="0.25">
      <c r="J5" s="14" t="s">
        <v>501</v>
      </c>
      <c r="K5" s="80">
        <v>0.5</v>
      </c>
      <c r="T5" t="s">
        <v>502</v>
      </c>
      <c r="V5" t="s">
        <v>503</v>
      </c>
    </row>
    <row r="6" spans="10:22" x14ac:dyDescent="0.25">
      <c r="J6" s="14" t="s">
        <v>504</v>
      </c>
      <c r="K6" s="80">
        <v>0</v>
      </c>
      <c r="P6" s="14">
        <v>1</v>
      </c>
      <c r="Q6" t="s">
        <v>505</v>
      </c>
      <c r="T6" s="14" t="s">
        <v>460</v>
      </c>
      <c r="V6" s="14" t="s">
        <v>506</v>
      </c>
    </row>
    <row r="7" spans="10:22" x14ac:dyDescent="0.25">
      <c r="P7" s="14">
        <v>2</v>
      </c>
      <c r="Q7" t="s">
        <v>507</v>
      </c>
      <c r="T7" s="14" t="s">
        <v>508</v>
      </c>
      <c r="V7" s="14" t="s">
        <v>509</v>
      </c>
    </row>
    <row r="8" spans="10:22" x14ac:dyDescent="0.25">
      <c r="J8" s="14" t="s">
        <v>510</v>
      </c>
      <c r="K8" s="80">
        <v>2</v>
      </c>
      <c r="P8" s="14">
        <v>3</v>
      </c>
      <c r="Q8" t="s">
        <v>511</v>
      </c>
      <c r="T8" s="14" t="s">
        <v>459</v>
      </c>
      <c r="V8" s="14" t="s">
        <v>512</v>
      </c>
    </row>
    <row r="9" spans="10:22" x14ac:dyDescent="0.25">
      <c r="J9" s="14" t="s">
        <v>513</v>
      </c>
      <c r="K9" s="80" t="s">
        <v>528</v>
      </c>
      <c r="P9" s="14">
        <v>4</v>
      </c>
      <c r="Q9" t="s">
        <v>514</v>
      </c>
      <c r="T9" s="14" t="s">
        <v>515</v>
      </c>
      <c r="V9" s="14" t="s">
        <v>516</v>
      </c>
    </row>
    <row r="10" spans="10:22" x14ac:dyDescent="0.25">
      <c r="J10" s="14" t="s">
        <v>517</v>
      </c>
      <c r="K10" s="170">
        <f>IF(K9="HM",1,IF(K9="M1",1,IF(K9="M2",1,0)))</f>
        <v>1</v>
      </c>
      <c r="P10" s="14">
        <v>5</v>
      </c>
      <c r="Q10" t="s">
        <v>518</v>
      </c>
      <c r="T10" s="14" t="s">
        <v>519</v>
      </c>
      <c r="V10" s="14" t="s">
        <v>520</v>
      </c>
    </row>
    <row r="11" spans="10:22" x14ac:dyDescent="0.25">
      <c r="J11" s="14" t="s">
        <v>521</v>
      </c>
      <c r="K11" s="170">
        <f>IF(K9=0,0,1)</f>
        <v>1</v>
      </c>
      <c r="P11" s="14"/>
      <c r="T11" s="14" t="s">
        <v>522</v>
      </c>
      <c r="V11" s="14" t="s">
        <v>523</v>
      </c>
    </row>
    <row r="12" spans="10:22" x14ac:dyDescent="0.25">
      <c r="J12" s="14" t="s">
        <v>524</v>
      </c>
      <c r="K12" s="80" t="s">
        <v>515</v>
      </c>
      <c r="P12" s="14"/>
      <c r="V12" s="14" t="s">
        <v>525</v>
      </c>
    </row>
    <row r="13" spans="10:22" x14ac:dyDescent="0.25">
      <c r="J13" s="14" t="s">
        <v>503</v>
      </c>
      <c r="K13" s="80" t="s">
        <v>525</v>
      </c>
      <c r="P13" s="14" t="s">
        <v>526</v>
      </c>
      <c r="Q13" t="s">
        <v>527</v>
      </c>
    </row>
    <row r="14" spans="10:22" x14ac:dyDescent="0.25">
      <c r="P14" s="14" t="s">
        <v>528</v>
      </c>
      <c r="Q14" t="s">
        <v>529</v>
      </c>
    </row>
    <row r="15" spans="10:22" x14ac:dyDescent="0.25">
      <c r="J15"/>
      <c r="K15"/>
      <c r="P15" s="14" t="s">
        <v>530</v>
      </c>
      <c r="Q15" t="s">
        <v>531</v>
      </c>
    </row>
    <row r="16" spans="10:22" x14ac:dyDescent="0.25">
      <c r="J16" s="32" t="s">
        <v>532</v>
      </c>
      <c r="K16" s="275">
        <v>100</v>
      </c>
      <c r="P16" s="14" t="s">
        <v>533</v>
      </c>
      <c r="Q16" t="s">
        <v>534</v>
      </c>
    </row>
    <row r="17" spans="10:29" x14ac:dyDescent="0.25">
      <c r="J17" s="14" t="s">
        <v>535</v>
      </c>
      <c r="K17" s="80">
        <v>1</v>
      </c>
      <c r="P17" s="14" t="s">
        <v>536</v>
      </c>
      <c r="Q17" t="s">
        <v>537</v>
      </c>
    </row>
    <row r="18" spans="10:29" x14ac:dyDescent="0.25">
      <c r="J18" s="14" t="s">
        <v>538</v>
      </c>
      <c r="K18" s="80">
        <v>0</v>
      </c>
      <c r="P18" s="14">
        <v>0</v>
      </c>
      <c r="Q18" t="s">
        <v>539</v>
      </c>
    </row>
    <row r="19" spans="10:29" x14ac:dyDescent="0.25">
      <c r="J19" s="14" t="s">
        <v>540</v>
      </c>
      <c r="K19" s="80">
        <v>0</v>
      </c>
    </row>
    <row r="20" spans="10:29" x14ac:dyDescent="0.25">
      <c r="J20" s="14" t="s">
        <v>541</v>
      </c>
      <c r="K20" s="80"/>
    </row>
    <row r="21" spans="10:29" x14ac:dyDescent="0.25">
      <c r="J21" s="14" t="s">
        <v>542</v>
      </c>
      <c r="K21" s="80"/>
    </row>
    <row r="22" spans="10:29" x14ac:dyDescent="0.25">
      <c r="S22" s="2" t="s">
        <v>543</v>
      </c>
      <c r="T22" s="2"/>
      <c r="U22" s="2"/>
    </row>
    <row r="23" spans="10:29" x14ac:dyDescent="0.25">
      <c r="T23" s="168" t="s">
        <v>544</v>
      </c>
      <c r="U23" s="168" t="s">
        <v>51</v>
      </c>
      <c r="V23" s="168" t="s">
        <v>545</v>
      </c>
      <c r="W23" s="168" t="s">
        <v>546</v>
      </c>
      <c r="X23" s="168" t="s">
        <v>547</v>
      </c>
      <c r="Y23" s="168" t="s">
        <v>548</v>
      </c>
      <c r="Z23" s="168" t="s">
        <v>549</v>
      </c>
      <c r="AA23" s="168" t="s">
        <v>550</v>
      </c>
      <c r="AB23" s="168" t="s">
        <v>551</v>
      </c>
      <c r="AC23" s="168" t="s">
        <v>552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553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554</v>
      </c>
      <c r="K28" s="80">
        <v>28.5</v>
      </c>
      <c r="L28" t="s">
        <v>51</v>
      </c>
      <c r="M28" s="30">
        <f>U228</f>
        <v>23.3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555</v>
      </c>
      <c r="K29" s="80">
        <v>18.5</v>
      </c>
      <c r="L29" t="s">
        <v>51</v>
      </c>
      <c r="M29" s="30">
        <f>V228</f>
        <v>10.8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556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557</v>
      </c>
      <c r="K31" s="80">
        <v>20</v>
      </c>
      <c r="L31" t="s">
        <v>455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558</v>
      </c>
      <c r="K32" s="170">
        <f>$AB$34</f>
        <v>1</v>
      </c>
      <c r="M32" t="s">
        <v>559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560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561</v>
      </c>
      <c r="K35" s="170">
        <f>$X$34</f>
        <v>0</v>
      </c>
    </row>
    <row r="36" spans="10:132" x14ac:dyDescent="0.25">
      <c r="J36" s="14" t="s">
        <v>562</v>
      </c>
      <c r="K36" s="170">
        <f>$Y$34</f>
        <v>0</v>
      </c>
    </row>
    <row r="37" spans="10:132" x14ac:dyDescent="0.25">
      <c r="J37" s="14" t="s">
        <v>563</v>
      </c>
      <c r="K37" s="170">
        <f>$Z$34</f>
        <v>0</v>
      </c>
    </row>
    <row r="38" spans="10:132" x14ac:dyDescent="0.25">
      <c r="J38" s="14" t="s">
        <v>564</v>
      </c>
      <c r="K38" s="170">
        <f>$AA$34</f>
        <v>0</v>
      </c>
    </row>
    <row r="39" spans="10:132" x14ac:dyDescent="0.25">
      <c r="J39" s="14" t="s">
        <v>565</v>
      </c>
      <c r="K39" s="170">
        <f>$AC$34</f>
        <v>0</v>
      </c>
    </row>
    <row r="40" spans="10:132" x14ac:dyDescent="0.25">
      <c r="J40" s="14" t="s">
        <v>566</v>
      </c>
      <c r="K40" s="170">
        <f>AC228</f>
        <v>0</v>
      </c>
    </row>
    <row r="41" spans="10:132" x14ac:dyDescent="0.25">
      <c r="J41" s="14" t="s">
        <v>567</v>
      </c>
      <c r="K41" s="170">
        <f>AD228</f>
        <v>28.5</v>
      </c>
    </row>
    <row r="42" spans="10:132" x14ac:dyDescent="0.25">
      <c r="J42" s="14" t="s">
        <v>568</v>
      </c>
      <c r="K42" s="170">
        <f>AA228</f>
        <v>0</v>
      </c>
    </row>
    <row r="43" spans="10:132" x14ac:dyDescent="0.25">
      <c r="J43" s="14" t="s">
        <v>569</v>
      </c>
      <c r="K43" s="170">
        <f>M28*K31/100</f>
        <v>4.66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570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1</v>
      </c>
      <c r="CF48">
        <f>IF(CdTrp2!F76=1,1,IF(CdTrp2!F76=2,2,IF(CdTrp2!F76=3,2,0)))</f>
        <v>1</v>
      </c>
      <c r="CG48">
        <f>IF(CdTrp2!G76=1,1,IF(CdTrp2!G76=2,2,IF(CdTrp2!G76=3,2,0)))</f>
        <v>1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0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571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2</v>
      </c>
      <c r="CG49">
        <f>IF(CdTrp2!G77=1,1,IF(CdTrp2!G77=2,2,IF(CdTrp2!G77=3,2,0)))</f>
        <v>2</v>
      </c>
      <c r="CH49">
        <f>IF(CdTrp2!H77=1,1,IF(CdTrp2!H77=2,2,IF(CdTrp2!H77=3,2,0)))</f>
        <v>2</v>
      </c>
      <c r="CI49">
        <f>IF(CdTrp2!I77=1,1,IF(CdTrp2!I77=2,2,IF(CdTrp2!I77=3,2,0)))</f>
        <v>2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2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495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572</v>
      </c>
      <c r="K51" s="1">
        <v>1</v>
      </c>
      <c r="M51">
        <v>1</v>
      </c>
      <c r="N51" t="s">
        <v>498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573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1</v>
      </c>
      <c r="BA52">
        <f>IF(CdTrp1!G80=1,1,IF(CdTrp1!G80=2,2,IF(CdTrp1!G80=3,2,0)))</f>
        <v>1</v>
      </c>
      <c r="BB52">
        <f>IF(CdTrp1!H80=1,1,IF(CdTrp1!H80=2,2,IF(CdTrp1!H80=3,2,0)))</f>
        <v>1</v>
      </c>
      <c r="BC52">
        <f>IF(CdTrp1!I80=1,1,IF(CdTrp1!I80=2,2,IF(CdTrp1!I80=3,2,0)))</f>
        <v>1</v>
      </c>
      <c r="BD52">
        <f>IF(CdTrp1!J80=1,1,IF(CdTrp1!J80=2,2,IF(CdTrp1!J80=3,2,0)))</f>
        <v>1</v>
      </c>
      <c r="BE52">
        <f>IF(CdTrp1!K80=1,1,IF(CdTrp1!K80=2,2,IF(CdTrp1!K80=3,2,0)))</f>
        <v>1</v>
      </c>
      <c r="BF52">
        <f>IF(CdTrp1!L80=1,1,IF(CdTrp1!L80=2,2,IF(CdTrp1!L80=3,2,0)))</f>
        <v>1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574</v>
      </c>
      <c r="K53" s="170" t="str">
        <f>Troupeau!B3</f>
        <v>OL</v>
      </c>
      <c r="L53" t="s">
        <v>575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576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577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578</v>
      </c>
      <c r="K56" s="171">
        <v>3</v>
      </c>
      <c r="N56" t="s">
        <v>579</v>
      </c>
      <c r="P56" t="s">
        <v>580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581</v>
      </c>
      <c r="K57" s="80" t="s">
        <v>587</v>
      </c>
      <c r="N57" t="s">
        <v>582</v>
      </c>
      <c r="P57" t="s">
        <v>583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584</v>
      </c>
      <c r="K58" s="1">
        <v>2</v>
      </c>
      <c r="P58" t="s">
        <v>585</v>
      </c>
    </row>
    <row r="59" spans="10:132" x14ac:dyDescent="0.25">
      <c r="J59" s="14" t="s">
        <v>1469</v>
      </c>
      <c r="K59" s="1">
        <v>2</v>
      </c>
      <c r="P59" t="s">
        <v>587</v>
      </c>
    </row>
    <row r="60" spans="10:132" x14ac:dyDescent="0.25">
      <c r="J60" s="40" t="s">
        <v>588</v>
      </c>
      <c r="K60" s="170" t="str">
        <f>Troupeau!C3</f>
        <v>BV</v>
      </c>
      <c r="L60" t="s">
        <v>589</v>
      </c>
      <c r="P60" t="s">
        <v>590</v>
      </c>
    </row>
    <row r="61" spans="10:132" x14ac:dyDescent="0.25">
      <c r="J61" s="14" t="s">
        <v>591</v>
      </c>
      <c r="K61" s="171"/>
      <c r="L61" s="30" t="str">
        <f>IF(COUNTIF(CdTrp2!B76:Y85,5)&gt;0, "OUI", "NON")</f>
        <v>NON</v>
      </c>
      <c r="P61" t="s">
        <v>592</v>
      </c>
    </row>
    <row r="62" spans="10:132" x14ac:dyDescent="0.25">
      <c r="J62" s="14" t="s">
        <v>593</v>
      </c>
      <c r="K62" s="80"/>
    </row>
    <row r="63" spans="10:132" x14ac:dyDescent="0.25">
      <c r="J63"/>
      <c r="K63"/>
    </row>
    <row r="64" spans="10:132" x14ac:dyDescent="0.25">
      <c r="J64" s="14" t="s">
        <v>594</v>
      </c>
      <c r="K64" s="80" t="s">
        <v>580</v>
      </c>
    </row>
    <row r="65" spans="10:22" x14ac:dyDescent="0.25">
      <c r="J65" s="40" t="s">
        <v>595</v>
      </c>
      <c r="K65" s="170">
        <f>Troupeau!D3</f>
        <v>0</v>
      </c>
      <c r="L65" t="s">
        <v>596</v>
      </c>
    </row>
    <row r="66" spans="10:22" x14ac:dyDescent="0.25">
      <c r="J66" s="14" t="s">
        <v>597</v>
      </c>
      <c r="K66" s="80"/>
      <c r="L66" s="30" t="str">
        <f>IF(COUNTIF(CdTrp3!B76:Y85,5)&gt;0, "OUI", "NON")</f>
        <v>NON</v>
      </c>
    </row>
    <row r="67" spans="10:22" x14ac:dyDescent="0.25">
      <c r="J67" s="14" t="s">
        <v>598</v>
      </c>
      <c r="K67" s="80"/>
    </row>
    <row r="68" spans="10:22" x14ac:dyDescent="0.25">
      <c r="J68"/>
      <c r="K68"/>
    </row>
    <row r="69" spans="10:22" x14ac:dyDescent="0.25">
      <c r="J69" s="14" t="s">
        <v>599</v>
      </c>
      <c r="K69" s="80"/>
    </row>
    <row r="70" spans="10:22" x14ac:dyDescent="0.25">
      <c r="J70" s="14" t="s">
        <v>600</v>
      </c>
      <c r="K70" s="170">
        <f>IF(K53="OL",0,K54*K55)</f>
        <v>0</v>
      </c>
    </row>
    <row r="71" spans="10:22" x14ac:dyDescent="0.25">
      <c r="J71" s="14" t="s">
        <v>601</v>
      </c>
      <c r="K71" s="170">
        <f>IF(K60="OL",0,K61*K62)</f>
        <v>0</v>
      </c>
    </row>
    <row r="72" spans="10:22" x14ac:dyDescent="0.25">
      <c r="J72" s="14" t="s">
        <v>602</v>
      </c>
      <c r="K72" s="170">
        <f>IF(K65="OL",0,K66*K67)</f>
        <v>0</v>
      </c>
    </row>
    <row r="73" spans="10:22" x14ac:dyDescent="0.25">
      <c r="J73" s="14" t="s">
        <v>603</v>
      </c>
      <c r="K73" s="170">
        <f>SUM(K70:K72)</f>
        <v>0</v>
      </c>
    </row>
    <row r="74" spans="10:22" x14ac:dyDescent="0.25">
      <c r="J74" s="40" t="s">
        <v>604</v>
      </c>
      <c r="K74"/>
    </row>
    <row r="75" spans="10:22" x14ac:dyDescent="0.25">
      <c r="J75" s="14" t="s">
        <v>574</v>
      </c>
      <c r="K75" s="170" t="str">
        <f>Troupeau!B3</f>
        <v>OL</v>
      </c>
      <c r="L75" t="s">
        <v>605</v>
      </c>
      <c r="R75">
        <v>0</v>
      </c>
      <c r="S75" t="s">
        <v>606</v>
      </c>
      <c r="V75" s="14" t="s">
        <v>607</v>
      </c>
    </row>
    <row r="76" spans="10:22" x14ac:dyDescent="0.25">
      <c r="J76" s="14" t="s">
        <v>608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609</v>
      </c>
    </row>
    <row r="77" spans="10:22" x14ac:dyDescent="0.25">
      <c r="J77" s="14" t="s">
        <v>610</v>
      </c>
      <c r="K77" s="80"/>
      <c r="R77">
        <v>2</v>
      </c>
      <c r="U77" s="13">
        <v>2</v>
      </c>
      <c r="V77" s="13" t="s">
        <v>611</v>
      </c>
    </row>
    <row r="78" spans="10:22" x14ac:dyDescent="0.25">
      <c r="J78" s="40" t="s">
        <v>588</v>
      </c>
      <c r="K78" s="170" t="str">
        <f>Troupeau!C3</f>
        <v>BV</v>
      </c>
      <c r="L78" t="s">
        <v>612</v>
      </c>
      <c r="R78">
        <v>3</v>
      </c>
    </row>
    <row r="79" spans="10:22" x14ac:dyDescent="0.25">
      <c r="J79" s="14" t="s">
        <v>613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614</v>
      </c>
      <c r="K80" s="80">
        <v>20</v>
      </c>
      <c r="R80">
        <v>5</v>
      </c>
    </row>
    <row r="81" spans="9:21" x14ac:dyDescent="0.25">
      <c r="J81" s="40" t="s">
        <v>595</v>
      </c>
      <c r="K81" s="170">
        <f>Troupeau!D3</f>
        <v>0</v>
      </c>
      <c r="L81" t="s">
        <v>615</v>
      </c>
      <c r="U81" s="43" t="s">
        <v>616</v>
      </c>
    </row>
    <row r="82" spans="9:21" x14ac:dyDescent="0.25">
      <c r="J82" s="14" t="s">
        <v>617</v>
      </c>
      <c r="K82" s="80"/>
      <c r="L82" s="30" t="str">
        <f>IF(COUNTIF(CdTrp3!B76:Y85,4)&gt;0, "OUI", "NON")</f>
        <v>NON</v>
      </c>
      <c r="Q82" s="43" t="s">
        <v>618</v>
      </c>
      <c r="T82">
        <v>0</v>
      </c>
      <c r="U82" t="s">
        <v>619</v>
      </c>
    </row>
    <row r="83" spans="9:21" x14ac:dyDescent="0.25">
      <c r="J83" s="14" t="s">
        <v>620</v>
      </c>
      <c r="K83" s="80"/>
      <c r="P83">
        <v>1</v>
      </c>
      <c r="Q83" t="s">
        <v>621</v>
      </c>
      <c r="T83">
        <v>1</v>
      </c>
      <c r="U83" t="s">
        <v>622</v>
      </c>
    </row>
    <row r="84" spans="9:21" x14ac:dyDescent="0.25">
      <c r="J84" s="40" t="s">
        <v>607</v>
      </c>
      <c r="K84" s="172">
        <v>2</v>
      </c>
      <c r="L84" t="s">
        <v>623</v>
      </c>
      <c r="P84">
        <v>2</v>
      </c>
      <c r="Q84" t="s">
        <v>624</v>
      </c>
      <c r="T84">
        <v>2</v>
      </c>
      <c r="U84" t="s">
        <v>625</v>
      </c>
    </row>
    <row r="85" spans="9:21" x14ac:dyDescent="0.25">
      <c r="K85"/>
      <c r="Q85" s="43" t="s">
        <v>626</v>
      </c>
      <c r="U85" s="43" t="s">
        <v>627</v>
      </c>
    </row>
    <row r="86" spans="9:21" x14ac:dyDescent="0.25">
      <c r="J86" s="40" t="s">
        <v>628</v>
      </c>
      <c r="P86">
        <v>1</v>
      </c>
      <c r="Q86" t="s">
        <v>629</v>
      </c>
      <c r="T86">
        <v>1</v>
      </c>
      <c r="U86" t="s">
        <v>619</v>
      </c>
    </row>
    <row r="87" spans="9:21" x14ac:dyDescent="0.25">
      <c r="J87" s="14" t="s">
        <v>630</v>
      </c>
      <c r="K87" s="80">
        <v>1</v>
      </c>
      <c r="P87">
        <v>2</v>
      </c>
      <c r="Q87" t="s">
        <v>631</v>
      </c>
      <c r="T87">
        <v>2</v>
      </c>
      <c r="U87" t="s">
        <v>632</v>
      </c>
    </row>
    <row r="88" spans="9:21" x14ac:dyDescent="0.25">
      <c r="J88" s="14" t="s">
        <v>618</v>
      </c>
      <c r="K88" s="80">
        <v>1</v>
      </c>
      <c r="P88">
        <v>3</v>
      </c>
      <c r="Q88" t="s">
        <v>633</v>
      </c>
      <c r="T88">
        <v>3</v>
      </c>
      <c r="U88" t="s">
        <v>634</v>
      </c>
    </row>
    <row r="89" spans="9:21" x14ac:dyDescent="0.25">
      <c r="J89" s="14" t="s">
        <v>635</v>
      </c>
      <c r="K89" s="80">
        <v>1</v>
      </c>
      <c r="T89">
        <v>4</v>
      </c>
      <c r="U89" t="s">
        <v>636</v>
      </c>
    </row>
    <row r="90" spans="9:21" x14ac:dyDescent="0.25">
      <c r="J90" s="14" t="s">
        <v>635</v>
      </c>
      <c r="K90" s="80"/>
    </row>
    <row r="91" spans="9:21" x14ac:dyDescent="0.25">
      <c r="J91" s="14" t="s">
        <v>616</v>
      </c>
      <c r="K91" s="80"/>
    </row>
    <row r="92" spans="9:21" x14ac:dyDescent="0.25">
      <c r="J92"/>
      <c r="K92"/>
    </row>
    <row r="93" spans="9:21" x14ac:dyDescent="0.25">
      <c r="J93" s="14" t="s">
        <v>637</v>
      </c>
      <c r="K93" s="80"/>
    </row>
    <row r="94" spans="9:21" x14ac:dyDescent="0.25">
      <c r="J94" s="14" t="s">
        <v>638</v>
      </c>
      <c r="K94" s="80">
        <v>2</v>
      </c>
      <c r="L94" t="s">
        <v>639</v>
      </c>
    </row>
    <row r="95" spans="9:21" x14ac:dyDescent="0.25">
      <c r="J95" s="14" t="s">
        <v>640</v>
      </c>
      <c r="L95" t="s">
        <v>641</v>
      </c>
      <c r="Q95" t="s">
        <v>642</v>
      </c>
    </row>
    <row r="96" spans="9:21" x14ac:dyDescent="0.25">
      <c r="I96" t="s">
        <v>643</v>
      </c>
      <c r="J96" s="14" t="s">
        <v>226</v>
      </c>
      <c r="K96" s="80" t="s">
        <v>644</v>
      </c>
      <c r="L96" s="30" t="str">
        <f>CdTrp1!A15</f>
        <v>Brebis laitières lot princ</v>
      </c>
      <c r="Q96" t="s">
        <v>644</v>
      </c>
    </row>
    <row r="97" spans="9:17" x14ac:dyDescent="0.25">
      <c r="J97" s="14" t="s">
        <v>155</v>
      </c>
      <c r="K97" s="80" t="s">
        <v>644</v>
      </c>
      <c r="L97" s="30" t="str">
        <f>CdTrp1!A16</f>
        <v>Brebis laitières tardives</v>
      </c>
      <c r="Q97" t="s">
        <v>645</v>
      </c>
    </row>
    <row r="98" spans="9:17" x14ac:dyDescent="0.25">
      <c r="J98" s="14" t="s">
        <v>156</v>
      </c>
      <c r="K98" s="80" t="s">
        <v>644</v>
      </c>
      <c r="L98" s="30" t="str">
        <f>CdTrp1!A17</f>
        <v>Brebis vides</v>
      </c>
    </row>
    <row r="99" spans="9:17" x14ac:dyDescent="0.25">
      <c r="J99" s="14" t="s">
        <v>157</v>
      </c>
      <c r="K99" s="80" t="s">
        <v>644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644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646</v>
      </c>
      <c r="J106" s="14" t="s">
        <v>226</v>
      </c>
      <c r="K106" s="80" t="s">
        <v>644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645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647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648</v>
      </c>
      <c r="K127" s="80"/>
      <c r="L127" t="s">
        <v>649</v>
      </c>
    </row>
    <row r="128" spans="9:12" x14ac:dyDescent="0.25">
      <c r="K128"/>
    </row>
    <row r="129" spans="10:15" x14ac:dyDescent="0.25">
      <c r="J129" s="14" t="s">
        <v>650</v>
      </c>
      <c r="K129" s="80">
        <v>1</v>
      </c>
      <c r="L129" t="s">
        <v>651</v>
      </c>
      <c r="N129">
        <v>0</v>
      </c>
      <c r="O129" t="s">
        <v>652</v>
      </c>
    </row>
    <row r="130" spans="10:15" x14ac:dyDescent="0.25">
      <c r="J130"/>
      <c r="K130"/>
      <c r="N130">
        <v>1</v>
      </c>
      <c r="O130" t="s">
        <v>653</v>
      </c>
    </row>
    <row r="161" spans="17:41" x14ac:dyDescent="0.25">
      <c r="R161" s="2" t="s">
        <v>654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1</v>
      </c>
      <c r="T164" s="170">
        <f>VLOOKUP($R164,[1]MEP!$A$4:$M$300,13)</f>
        <v>2</v>
      </c>
      <c r="U164" s="170">
        <f>IF($T164&gt;0,$S164,0)</f>
        <v>1</v>
      </c>
      <c r="V164" s="170">
        <f>IF($T164&gt;1,$S164,0)</f>
        <v>1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1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1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672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260</v>
      </c>
      <c r="S166" s="170">
        <f>'Alim -Surf'!R9</f>
        <v>4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4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4</v>
      </c>
      <c r="AI166" s="170">
        <f t="shared" si="19"/>
        <v>0</v>
      </c>
      <c r="AJ166" s="170">
        <f t="shared" si="20"/>
        <v>0</v>
      </c>
      <c r="AL166" s="5"/>
      <c r="AN166" s="32" t="s">
        <v>673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674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675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676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677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678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6.8</v>
      </c>
      <c r="T188" s="170">
        <f>VLOOKUP(R188,[1]MEP!$A$4:$M$300,13)</f>
        <v>2</v>
      </c>
      <c r="U188" s="170">
        <f t="shared" si="10"/>
        <v>6.8</v>
      </c>
      <c r="V188" s="170">
        <f t="shared" si="11"/>
        <v>6.8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6.8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6.8</v>
      </c>
      <c r="AL188" s="5"/>
    </row>
    <row r="189" spans="17:38" x14ac:dyDescent="0.25">
      <c r="Q189">
        <v>4</v>
      </c>
      <c r="R189" s="170">
        <f>'Alim -Surf'!Q32</f>
        <v>260</v>
      </c>
      <c r="S189" s="170">
        <f>'Alim -Surf'!R32</f>
        <v>1.2</v>
      </c>
      <c r="T189" s="170">
        <f>VLOOKUP(R189,[1]MEP!$A$4:$M$300,13)</f>
        <v>0</v>
      </c>
      <c r="U189" s="170">
        <f t="shared" si="10"/>
        <v>0</v>
      </c>
      <c r="V189" s="170">
        <f t="shared" si="11"/>
        <v>0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1.2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1.2</v>
      </c>
      <c r="AI189" s="170">
        <f t="shared" si="19"/>
        <v>0</v>
      </c>
      <c r="AJ189" s="170">
        <f t="shared" si="20"/>
        <v>0</v>
      </c>
      <c r="AL189" s="5"/>
    </row>
    <row r="190" spans="17:38" x14ac:dyDescent="0.25">
      <c r="Q190">
        <v>5</v>
      </c>
      <c r="R190" s="170">
        <f>'Alim -Surf'!Q33</f>
        <v>287</v>
      </c>
      <c r="S190" s="170">
        <f>'Alim -Surf'!R33</f>
        <v>0</v>
      </c>
      <c r="T190" s="170">
        <f>VLOOKUP(R190,[1]MEP!$A$4:$M$300,13)</f>
        <v>2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236</v>
      </c>
      <c r="S191" s="170">
        <f>'Alim -Surf'!R34</f>
        <v>2.5</v>
      </c>
      <c r="T191" s="170">
        <f>VLOOKUP(R191,[1]MEP!$A$4:$M$300,13)</f>
        <v>1</v>
      </c>
      <c r="U191" s="170">
        <f t="shared" si="10"/>
        <v>2.5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2.5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2.5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679</v>
      </c>
      <c r="R228" s="2"/>
      <c r="S228" s="62">
        <f t="shared" ref="S228" si="21">SUM(S164:S227)</f>
        <v>28.5</v>
      </c>
      <c r="U228" s="62">
        <f>SUM(U164:U227)</f>
        <v>23.3</v>
      </c>
      <c r="V228" s="62">
        <f t="shared" ref="V228:W228" si="22">SUM(V164:V227)</f>
        <v>10.8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5.2</v>
      </c>
      <c r="AI228" s="62">
        <f t="shared" si="24"/>
        <v>12.5</v>
      </c>
      <c r="AJ228" s="62">
        <f t="shared" si="24"/>
        <v>10.8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680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681</v>
      </c>
      <c r="BJ1" t="s">
        <v>682</v>
      </c>
    </row>
    <row r="2" spans="1:64" x14ac:dyDescent="0.25">
      <c r="A2" s="14" t="s">
        <v>683</v>
      </c>
      <c r="B2" t="s">
        <v>574</v>
      </c>
      <c r="C2" s="174">
        <f>SUM(C3:C4)</f>
        <v>3</v>
      </c>
      <c r="D2" s="174">
        <f t="shared" ref="D2:Z2" si="0">SUM(D3:D4)</f>
        <v>3</v>
      </c>
      <c r="E2" s="174">
        <f t="shared" si="0"/>
        <v>3</v>
      </c>
      <c r="F2" s="174">
        <f t="shared" si="0"/>
        <v>3</v>
      </c>
      <c r="G2" s="174">
        <f t="shared" si="0"/>
        <v>4</v>
      </c>
      <c r="H2" s="174">
        <f t="shared" si="0"/>
        <v>4</v>
      </c>
      <c r="I2" s="174">
        <f t="shared" si="0"/>
        <v>4</v>
      </c>
      <c r="J2" s="174">
        <f t="shared" si="0"/>
        <v>4</v>
      </c>
      <c r="K2" s="174">
        <f t="shared" si="0"/>
        <v>5</v>
      </c>
      <c r="L2" s="174">
        <f t="shared" si="0"/>
        <v>4</v>
      </c>
      <c r="M2" s="174">
        <f t="shared" si="0"/>
        <v>4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3</v>
      </c>
      <c r="Y2" s="174">
        <f t="shared" si="0"/>
        <v>3</v>
      </c>
      <c r="Z2" s="174">
        <f t="shared" si="0"/>
        <v>3</v>
      </c>
      <c r="AH2" s="168"/>
      <c r="AP2" t="s">
        <v>684</v>
      </c>
      <c r="AQ2" t="s">
        <v>685</v>
      </c>
      <c r="AV2" t="s">
        <v>686</v>
      </c>
      <c r="AW2" t="s">
        <v>34</v>
      </c>
      <c r="AX2" t="s">
        <v>456</v>
      </c>
      <c r="AY2" t="s">
        <v>75</v>
      </c>
      <c r="AZ2" t="s">
        <v>18</v>
      </c>
      <c r="BA2" t="s">
        <v>687</v>
      </c>
      <c r="BB2" t="s">
        <v>688</v>
      </c>
      <c r="BC2" t="s">
        <v>689</v>
      </c>
      <c r="BD2" t="s">
        <v>690</v>
      </c>
      <c r="BE2" t="s">
        <v>691</v>
      </c>
      <c r="BF2" t="s">
        <v>692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693</v>
      </c>
      <c r="B3" t="s">
        <v>574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3</v>
      </c>
      <c r="H3" s="174">
        <f t="shared" si="1"/>
        <v>3</v>
      </c>
      <c r="I3" s="174">
        <f t="shared" si="1"/>
        <v>3</v>
      </c>
      <c r="J3" s="174">
        <f t="shared" si="1"/>
        <v>3</v>
      </c>
      <c r="K3" s="174">
        <f t="shared" si="1"/>
        <v>4</v>
      </c>
      <c r="L3" s="174">
        <f t="shared" si="1"/>
        <v>3</v>
      </c>
      <c r="M3" s="174">
        <f t="shared" si="1"/>
        <v>3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1</v>
      </c>
      <c r="U3" s="174">
        <f t="shared" si="1"/>
        <v>1</v>
      </c>
      <c r="V3" s="174">
        <f t="shared" si="1"/>
        <v>1</v>
      </c>
      <c r="W3" s="174">
        <f t="shared" si="1"/>
        <v>1</v>
      </c>
      <c r="X3" s="174">
        <f t="shared" si="1"/>
        <v>1</v>
      </c>
      <c r="Y3" s="174">
        <f t="shared" si="1"/>
        <v>0</v>
      </c>
      <c r="Z3" s="174">
        <f t="shared" si="1"/>
        <v>0</v>
      </c>
      <c r="AO3" s="14" t="s">
        <v>694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695</v>
      </c>
      <c r="B4" t="s">
        <v>574</v>
      </c>
      <c r="C4" s="174">
        <f>COUNTIF(C81:C90,2)</f>
        <v>1</v>
      </c>
      <c r="D4" s="174">
        <f t="shared" ref="D4:Z4" si="2">COUNTIF(D81:D90,2)</f>
        <v>1</v>
      </c>
      <c r="E4" s="174">
        <f t="shared" si="2"/>
        <v>1</v>
      </c>
      <c r="F4" s="174">
        <f t="shared" si="2"/>
        <v>1</v>
      </c>
      <c r="G4" s="174">
        <f t="shared" si="2"/>
        <v>1</v>
      </c>
      <c r="H4" s="174">
        <f t="shared" si="2"/>
        <v>1</v>
      </c>
      <c r="I4" s="174">
        <f t="shared" si="2"/>
        <v>1</v>
      </c>
      <c r="J4" s="174">
        <f t="shared" si="2"/>
        <v>1</v>
      </c>
      <c r="K4" s="174">
        <f t="shared" si="2"/>
        <v>1</v>
      </c>
      <c r="L4" s="174">
        <f t="shared" si="2"/>
        <v>1</v>
      </c>
      <c r="M4" s="174">
        <f t="shared" si="2"/>
        <v>1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1</v>
      </c>
      <c r="U4" s="174">
        <f t="shared" si="2"/>
        <v>1</v>
      </c>
      <c r="V4" s="174">
        <f t="shared" si="2"/>
        <v>1</v>
      </c>
      <c r="W4" s="174">
        <f t="shared" si="2"/>
        <v>1</v>
      </c>
      <c r="X4" s="174">
        <f t="shared" si="2"/>
        <v>2</v>
      </c>
      <c r="Y4" s="174">
        <f t="shared" si="2"/>
        <v>3</v>
      </c>
      <c r="Z4" s="174">
        <f t="shared" si="2"/>
        <v>3</v>
      </c>
      <c r="AO4" s="14" t="s">
        <v>696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697</v>
      </c>
      <c r="B5" t="s">
        <v>574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698</v>
      </c>
      <c r="AJ5" s="30">
        <f>MAX(C203:Z203)</f>
        <v>10</v>
      </c>
      <c r="AO5" s="14" t="s">
        <v>699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700</v>
      </c>
      <c r="B6" t="s">
        <v>574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701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702</v>
      </c>
      <c r="B7" t="s">
        <v>574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2</v>
      </c>
      <c r="O7" s="174">
        <f t="shared" si="12"/>
        <v>2</v>
      </c>
      <c r="P7" s="174">
        <f t="shared" si="12"/>
        <v>2</v>
      </c>
      <c r="Q7" s="174">
        <f t="shared" si="12"/>
        <v>2</v>
      </c>
      <c r="R7" s="174">
        <f t="shared" si="12"/>
        <v>2</v>
      </c>
      <c r="S7" s="174">
        <f t="shared" si="12"/>
        <v>2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703</v>
      </c>
      <c r="AP7" s="30">
        <f>Scénario!K73*[1]Protect!$F$60</f>
        <v>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704</v>
      </c>
      <c r="B8" t="s">
        <v>574</v>
      </c>
      <c r="C8" s="174">
        <f>(C3+C4)*[1]Protect!$B$12</f>
        <v>6</v>
      </c>
      <c r="D8" s="174">
        <f>(D3+D4)*[1]Protect!$B$12</f>
        <v>6</v>
      </c>
      <c r="E8" s="174">
        <f>(E3+E4)*[1]Protect!$B$12</f>
        <v>6</v>
      </c>
      <c r="F8" s="174">
        <f>(F3+F4)*[1]Protect!$B$12</f>
        <v>6</v>
      </c>
      <c r="G8" s="174">
        <f>(G3+G4)*[1]Protect!$B$12</f>
        <v>8</v>
      </c>
      <c r="H8" s="174">
        <f>(H3+H4)*[1]Protect!$B$12</f>
        <v>8</v>
      </c>
      <c r="I8" s="174">
        <f>(I3+I4)*[1]Protect!$B$12</f>
        <v>8</v>
      </c>
      <c r="J8" s="174">
        <f>(J3+J4)*[1]Protect!$B$12</f>
        <v>8</v>
      </c>
      <c r="K8" s="174">
        <f>(K3+K4)*[1]Protect!$B$12</f>
        <v>10</v>
      </c>
      <c r="L8" s="174">
        <f>(L3+L4)*[1]Protect!$B$12</f>
        <v>8</v>
      </c>
      <c r="M8" s="174">
        <f>(M3+M4)*[1]Protect!$B$12</f>
        <v>8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6</v>
      </c>
      <c r="Y8" s="174">
        <f>(Y3+Y4)*[1]Protect!$B$12</f>
        <v>6</v>
      </c>
      <c r="Z8" s="174">
        <f>(Z3+Z4)*[1]Protect!$B$12</f>
        <v>6</v>
      </c>
      <c r="AI8" s="40" t="s">
        <v>705</v>
      </c>
      <c r="AJ8" s="30">
        <f>IF(Scénario!$K$87=5,2,IF(Scénario!$K$87&gt;0,MAX($C$214:$Z$214),0))</f>
        <v>10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706</v>
      </c>
      <c r="B9" t="s">
        <v>574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707</v>
      </c>
      <c r="B10" t="s">
        <v>574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708</v>
      </c>
      <c r="B11" t="s">
        <v>574</v>
      </c>
      <c r="C11" s="174">
        <f>SUM(C8:C10)</f>
        <v>6</v>
      </c>
      <c r="D11" s="174">
        <f t="shared" ref="D11:Z11" si="13">SUM(D8:D10)</f>
        <v>6</v>
      </c>
      <c r="E11" s="174">
        <f t="shared" si="13"/>
        <v>6</v>
      </c>
      <c r="F11" s="174">
        <f t="shared" si="13"/>
        <v>6</v>
      </c>
      <c r="G11" s="174">
        <f t="shared" si="13"/>
        <v>8</v>
      </c>
      <c r="H11" s="174">
        <f t="shared" si="13"/>
        <v>8</v>
      </c>
      <c r="I11" s="174">
        <f t="shared" si="13"/>
        <v>8</v>
      </c>
      <c r="J11" s="174">
        <f t="shared" si="13"/>
        <v>8</v>
      </c>
      <c r="K11" s="174">
        <f t="shared" si="13"/>
        <v>10</v>
      </c>
      <c r="L11" s="174">
        <f t="shared" si="13"/>
        <v>8</v>
      </c>
      <c r="M11" s="174">
        <f t="shared" si="13"/>
        <v>8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6</v>
      </c>
      <c r="Y11" s="174">
        <f t="shared" si="13"/>
        <v>6</v>
      </c>
      <c r="Z11" s="174">
        <f t="shared" si="13"/>
        <v>6</v>
      </c>
      <c r="AB11" s="2" t="s">
        <v>709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710</v>
      </c>
      <c r="B12" t="s">
        <v>574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8</v>
      </c>
      <c r="O12" s="174">
        <f>O7*[1]Protect!$B$15</f>
        <v>8</v>
      </c>
      <c r="P12" s="174">
        <f>P7*[1]Protect!$B$15</f>
        <v>8</v>
      </c>
      <c r="Q12" s="174">
        <f>Q7*[1]Protect!$B$15</f>
        <v>8</v>
      </c>
      <c r="R12" s="174">
        <f>R7*[1]Protect!$B$15</f>
        <v>8</v>
      </c>
      <c r="S12" s="174">
        <f>S7*[1]Protect!$B$15</f>
        <v>8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711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712</v>
      </c>
      <c r="B13" t="s">
        <v>574</v>
      </c>
      <c r="C13" s="174">
        <f>C11+C12</f>
        <v>6</v>
      </c>
      <c r="D13" s="174">
        <f t="shared" ref="D13:Z13" si="14">D11+D12</f>
        <v>6</v>
      </c>
      <c r="E13" s="174">
        <f t="shared" si="14"/>
        <v>6</v>
      </c>
      <c r="F13" s="174">
        <f t="shared" si="14"/>
        <v>6</v>
      </c>
      <c r="G13" s="174">
        <f t="shared" si="14"/>
        <v>8</v>
      </c>
      <c r="H13" s="174">
        <f t="shared" si="14"/>
        <v>8</v>
      </c>
      <c r="I13" s="174">
        <f t="shared" si="14"/>
        <v>8</v>
      </c>
      <c r="J13" s="174">
        <f t="shared" si="14"/>
        <v>8</v>
      </c>
      <c r="K13" s="174">
        <f t="shared" si="14"/>
        <v>10</v>
      </c>
      <c r="L13" s="174">
        <f t="shared" si="14"/>
        <v>8</v>
      </c>
      <c r="M13" s="174">
        <f t="shared" si="14"/>
        <v>8</v>
      </c>
      <c r="N13" s="174">
        <f t="shared" si="14"/>
        <v>8</v>
      </c>
      <c r="O13" s="174">
        <f t="shared" si="14"/>
        <v>8</v>
      </c>
      <c r="P13" s="174">
        <f t="shared" si="14"/>
        <v>8</v>
      </c>
      <c r="Q13" s="174">
        <f t="shared" si="14"/>
        <v>8</v>
      </c>
      <c r="R13" s="174">
        <f t="shared" si="14"/>
        <v>8</v>
      </c>
      <c r="S13" s="174">
        <f t="shared" si="14"/>
        <v>8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6</v>
      </c>
      <c r="Y13" s="174">
        <f t="shared" si="14"/>
        <v>6</v>
      </c>
      <c r="Z13" s="174">
        <f t="shared" si="14"/>
        <v>6</v>
      </c>
      <c r="AC13" s="14" t="s">
        <v>713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715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716</v>
      </c>
      <c r="B15" t="s">
        <v>574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717</v>
      </c>
      <c r="B16" t="s">
        <v>574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1</v>
      </c>
      <c r="H16" s="170">
        <f t="shared" si="16"/>
        <v>1</v>
      </c>
      <c r="I16" s="170">
        <f t="shared" si="16"/>
        <v>1</v>
      </c>
      <c r="J16" s="170">
        <f t="shared" si="16"/>
        <v>1</v>
      </c>
      <c r="K16" s="170">
        <f t="shared" si="16"/>
        <v>0</v>
      </c>
      <c r="L16" s="170">
        <f t="shared" si="16"/>
        <v>0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1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718</v>
      </c>
      <c r="B17" t="s">
        <v>574</v>
      </c>
      <c r="C17" s="170">
        <f t="shared" ref="C17:Z17" si="17">COUNTIF(C68:C77,0.5)</f>
        <v>3</v>
      </c>
      <c r="D17" s="170">
        <f t="shared" si="17"/>
        <v>3</v>
      </c>
      <c r="E17" s="170">
        <f t="shared" si="17"/>
        <v>3</v>
      </c>
      <c r="F17" s="170">
        <f t="shared" si="17"/>
        <v>3</v>
      </c>
      <c r="G17" s="170">
        <f t="shared" si="17"/>
        <v>4</v>
      </c>
      <c r="H17" s="170">
        <f t="shared" si="17"/>
        <v>4</v>
      </c>
      <c r="I17" s="170">
        <f t="shared" si="17"/>
        <v>4</v>
      </c>
      <c r="J17" s="170">
        <f t="shared" si="17"/>
        <v>4</v>
      </c>
      <c r="K17" s="170">
        <f t="shared" si="17"/>
        <v>5</v>
      </c>
      <c r="L17" s="170">
        <f t="shared" si="17"/>
        <v>4</v>
      </c>
      <c r="M17" s="170">
        <f t="shared" si="17"/>
        <v>2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3</v>
      </c>
      <c r="Y17" s="170">
        <f t="shared" si="17"/>
        <v>2</v>
      </c>
      <c r="Z17" s="170">
        <f t="shared" si="17"/>
        <v>2</v>
      </c>
      <c r="AB17" s="2" t="s">
        <v>719</v>
      </c>
      <c r="AD17" s="102" t="s">
        <v>720</v>
      </c>
      <c r="AE17" s="81"/>
      <c r="AF17" s="81"/>
      <c r="AH17" s="2" t="s">
        <v>721</v>
      </c>
      <c r="AK17" t="s">
        <v>722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723</v>
      </c>
      <c r="B18" t="s">
        <v>574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724</v>
      </c>
      <c r="AD18" s="120" t="s">
        <v>459</v>
      </c>
      <c r="AE18" s="81" t="s">
        <v>725</v>
      </c>
      <c r="AF18" s="120" t="s">
        <v>726</v>
      </c>
      <c r="AK18" t="s">
        <v>727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728</v>
      </c>
      <c r="B19" t="s">
        <v>574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720</v>
      </c>
      <c r="AK19" s="168" t="s">
        <v>730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731</v>
      </c>
      <c r="B20" t="s">
        <v>574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732</v>
      </c>
      <c r="AD20" s="64">
        <f>IF(AND(Troupeau!B3="OL",Scénario!K88=1),Protection!AP4,0)</f>
        <v>6044</v>
      </c>
      <c r="AE20" s="64">
        <v>0</v>
      </c>
      <c r="AF20" s="64">
        <f>SUM(AD20:AE20)</f>
        <v>6044</v>
      </c>
      <c r="AH20" s="30">
        <v>0</v>
      </c>
      <c r="AJ20" s="14" t="s">
        <v>733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734</v>
      </c>
      <c r="B21" t="s">
        <v>574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735</v>
      </c>
      <c r="AC21" s="14"/>
      <c r="AD21" s="64"/>
      <c r="AE21" s="64"/>
      <c r="AF21" s="64"/>
      <c r="AJ21" s="14" t="s">
        <v>736</v>
      </c>
      <c r="AK21" s="64">
        <f>IF(OR(Scénario!K87=1,Scénario!K87=2),Protection!AF20,IF(OR(Scénario!K87=3,Scénario!K87=4),Protection!AF22,0))</f>
        <v>6044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737</v>
      </c>
      <c r="B22" t="s">
        <v>574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732</v>
      </c>
      <c r="AD22" s="64">
        <f>IF(AND(Scénario!K88=1,Troupeau!B3="OL"),Protection!AP6,0)</f>
        <v>3557</v>
      </c>
      <c r="AE22" s="64">
        <f>IF(AND(LEFT(Scénario!K12,2)="OL",Troupeau!C3&lt;&gt;"",Scénario!K91=1),Protection!AP5+Protection!AP3,0)</f>
        <v>0</v>
      </c>
      <c r="AF22" s="64">
        <f>SUM(AD22:AE22)</f>
        <v>3557</v>
      </c>
      <c r="AH22" s="30">
        <f>IF(AND(Troupeau!B3&lt;&gt;"OL",Scénario!K91=1),AP4,0)</f>
        <v>0</v>
      </c>
      <c r="AJ22" s="14" t="s">
        <v>721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739</v>
      </c>
      <c r="B25" t="s">
        <v>588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2</v>
      </c>
      <c r="N25" s="174">
        <f t="shared" si="22"/>
        <v>2</v>
      </c>
      <c r="O25" s="174">
        <f t="shared" si="22"/>
        <v>2</v>
      </c>
      <c r="P25" s="174">
        <f t="shared" si="22"/>
        <v>2</v>
      </c>
      <c r="Q25" s="174">
        <f t="shared" si="22"/>
        <v>2</v>
      </c>
      <c r="R25" s="174">
        <f t="shared" si="22"/>
        <v>2</v>
      </c>
      <c r="S25" s="174">
        <f t="shared" si="22"/>
        <v>0</v>
      </c>
      <c r="T25" s="174">
        <f t="shared" si="22"/>
        <v>1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740</v>
      </c>
      <c r="AK25" s="30">
        <f>IF(Troupeau!B3&lt;&gt;"OL",Protection!AK22,IF(AND(Troupeau!B3="OL",Scénario!K88=1),Protection!AK21,IF(AND(Troupeau!B3="OL",Scénario!K88=2),Protection!AK20,0)))</f>
        <v>6044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697</v>
      </c>
      <c r="B26" t="s">
        <v>588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741</v>
      </c>
      <c r="AC26" s="14"/>
      <c r="AD26" s="168" t="s">
        <v>459</v>
      </c>
      <c r="AE26" t="s">
        <v>742</v>
      </c>
      <c r="AJ26" s="14" t="s">
        <v>682</v>
      </c>
      <c r="AK26" s="30">
        <f>IF(AK25=AP3,AQ3,IF(AK25=AP4,AQ4,IF(AK25=AP6,AQ6,0)))</f>
        <v>28.5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700</v>
      </c>
      <c r="B27" t="s">
        <v>588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702</v>
      </c>
      <c r="B28" t="s">
        <v>588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0</v>
      </c>
      <c r="N28" s="174">
        <f t="shared" si="25"/>
        <v>0</v>
      </c>
      <c r="O28" s="174">
        <f t="shared" si="25"/>
        <v>0</v>
      </c>
      <c r="P28" s="174">
        <f t="shared" si="25"/>
        <v>0</v>
      </c>
      <c r="Q28" s="174">
        <f t="shared" si="25"/>
        <v>0</v>
      </c>
      <c r="R28" s="174">
        <f t="shared" si="25"/>
        <v>0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744</v>
      </c>
      <c r="AD28" s="170">
        <f>IF(AND(Troupeau!B3="OL",Scénario!K54&gt;0),Scénario!K59,0)</f>
        <v>2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704</v>
      </c>
      <c r="B29" t="s">
        <v>588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4</v>
      </c>
      <c r="N29" s="174">
        <f>N25*[1]Protect!$B$12</f>
        <v>4</v>
      </c>
      <c r="O29" s="174">
        <f>O25*[1]Protect!$B$12</f>
        <v>4</v>
      </c>
      <c r="P29" s="174">
        <f>P25*[1]Protect!$B$12</f>
        <v>4</v>
      </c>
      <c r="Q29" s="174">
        <f>Q25*[1]Protect!$B$12</f>
        <v>4</v>
      </c>
      <c r="R29" s="174">
        <f>R25*[1]Protect!$B$12</f>
        <v>4</v>
      </c>
      <c r="S29" s="174">
        <f>S25*[1]Protect!$B$12</f>
        <v>0</v>
      </c>
      <c r="T29" s="174">
        <f>T25*[1]Protect!$B$12</f>
        <v>2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745</v>
      </c>
      <c r="AD29" s="170">
        <f>IF(AND(Troupeau!B3="OL",Scénario!K54&gt;0),Scénario!K59-1,0)</f>
        <v>1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706</v>
      </c>
      <c r="B30" t="s">
        <v>588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746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707</v>
      </c>
      <c r="B31" t="s">
        <v>588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747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708</v>
      </c>
      <c r="B32" t="s">
        <v>588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4</v>
      </c>
      <c r="N32" s="174">
        <f t="shared" si="27"/>
        <v>4</v>
      </c>
      <c r="O32" s="174">
        <f t="shared" si="27"/>
        <v>4</v>
      </c>
      <c r="P32" s="174">
        <f t="shared" si="27"/>
        <v>4</v>
      </c>
      <c r="Q32" s="174">
        <f t="shared" si="27"/>
        <v>4</v>
      </c>
      <c r="R32" s="174">
        <f t="shared" si="27"/>
        <v>4</v>
      </c>
      <c r="S32" s="174">
        <f t="shared" si="27"/>
        <v>3</v>
      </c>
      <c r="T32" s="174">
        <f t="shared" si="27"/>
        <v>5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748</v>
      </c>
    </row>
    <row r="33" spans="1:132" x14ac:dyDescent="0.25">
      <c r="A33" s="14" t="s">
        <v>710</v>
      </c>
      <c r="B33" t="s">
        <v>588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0</v>
      </c>
      <c r="N33" s="174">
        <f>N28*[1]Protect!$B$15</f>
        <v>0</v>
      </c>
      <c r="O33" s="174">
        <f>O28*[1]Protect!$B$15</f>
        <v>0</v>
      </c>
      <c r="P33" s="174">
        <f>P28*[1]Protect!$B$15</f>
        <v>0</v>
      </c>
      <c r="Q33" s="174">
        <f>Q28*[1]Protect!$B$15</f>
        <v>0</v>
      </c>
      <c r="R33" s="174">
        <f>R28*[1]Protect!$B$15</f>
        <v>0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749</v>
      </c>
      <c r="AE33" s="170">
        <f>IF(OR(Scénario!K12="OL/BV",Scénario!K12="OL/EQ",Scénario!K12="BV",Scénario!K12="OL/BV/EQ"),Protection!AP7,0)</f>
        <v>0</v>
      </c>
    </row>
    <row r="34" spans="1:132" x14ac:dyDescent="0.25">
      <c r="A34" s="14" t="s">
        <v>712</v>
      </c>
      <c r="B34" t="s">
        <v>588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4</v>
      </c>
      <c r="N34" s="174">
        <f t="shared" si="28"/>
        <v>4</v>
      </c>
      <c r="O34" s="174">
        <f t="shared" si="28"/>
        <v>4</v>
      </c>
      <c r="P34" s="174">
        <f t="shared" si="28"/>
        <v>4</v>
      </c>
      <c r="Q34" s="174">
        <f t="shared" si="28"/>
        <v>4</v>
      </c>
      <c r="R34" s="174">
        <f t="shared" si="28"/>
        <v>4</v>
      </c>
      <c r="S34" s="174">
        <f t="shared" si="28"/>
        <v>3</v>
      </c>
      <c r="T34" s="174">
        <f t="shared" si="28"/>
        <v>5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750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716</v>
      </c>
      <c r="B36" t="s">
        <v>588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2</v>
      </c>
      <c r="N36" s="170">
        <f t="shared" si="29"/>
        <v>2</v>
      </c>
      <c r="O36" s="170">
        <f t="shared" si="29"/>
        <v>2</v>
      </c>
      <c r="P36" s="170">
        <f t="shared" si="29"/>
        <v>2</v>
      </c>
      <c r="Q36" s="170">
        <f t="shared" si="29"/>
        <v>2</v>
      </c>
      <c r="R36" s="170">
        <f t="shared" si="29"/>
        <v>2</v>
      </c>
      <c r="S36" s="170">
        <f t="shared" si="29"/>
        <v>0</v>
      </c>
      <c r="T36" s="170">
        <f t="shared" si="29"/>
        <v>1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717</v>
      </c>
      <c r="B37" t="s">
        <v>588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718</v>
      </c>
      <c r="B38" t="s">
        <v>588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723</v>
      </c>
      <c r="B39" t="s">
        <v>588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0</v>
      </c>
      <c r="T39" s="62">
        <f t="shared" si="32"/>
        <v>1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728</v>
      </c>
      <c r="B40" t="s">
        <v>588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731</v>
      </c>
      <c r="B41" t="s">
        <v>588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0</v>
      </c>
      <c r="N41" s="170">
        <f t="shared" si="34"/>
        <v>0</v>
      </c>
      <c r="O41" s="170">
        <f t="shared" si="34"/>
        <v>0</v>
      </c>
      <c r="P41" s="170">
        <f t="shared" si="34"/>
        <v>0</v>
      </c>
      <c r="Q41" s="170">
        <f t="shared" si="34"/>
        <v>0</v>
      </c>
      <c r="R41" s="170">
        <f t="shared" si="34"/>
        <v>0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734</v>
      </c>
      <c r="B42" t="s">
        <v>588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737</v>
      </c>
      <c r="B43" t="s">
        <v>588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1</v>
      </c>
      <c r="T43" s="62">
        <f t="shared" si="35"/>
        <v>2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751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739</v>
      </c>
      <c r="B46" t="s">
        <v>595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697</v>
      </c>
      <c r="B47" t="s">
        <v>595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700</v>
      </c>
      <c r="B48" t="s">
        <v>595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1</v>
      </c>
      <c r="CF48">
        <f>IF(CdTrp2!F76=1,1,IF(CdTrp2!F76=2,2,IF(CdTrp2!F76=3,2,0)))</f>
        <v>1</v>
      </c>
      <c r="CG48">
        <f>IF(CdTrp2!G76=1,1,IF(CdTrp2!G76=2,2,IF(CdTrp2!G76=3,2,0)))</f>
        <v>1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0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702</v>
      </c>
      <c r="B49" t="s">
        <v>595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0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0</v>
      </c>
      <c r="BR49" s="179">
        <f>IF(CdTrp1!X77=1,1,IF(CdTrp1!X77=2,2,IF(CdTrp1!X77=3,2,0)))</f>
        <v>2</v>
      </c>
      <c r="BS49" s="17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2</v>
      </c>
      <c r="CG49">
        <f>IF(CdTrp2!G77=1,1,IF(CdTrp2!G77=2,2,IF(CdTrp2!G77=3,2,0)))</f>
        <v>2</v>
      </c>
      <c r="CH49">
        <f>IF(CdTrp2!H77=1,1,IF(CdTrp2!H77=2,2,IF(CdTrp2!H77=3,2,0)))</f>
        <v>2</v>
      </c>
      <c r="CI49">
        <f>IF(CdTrp2!I77=1,1,IF(CdTrp2!I77=2,2,IF(CdTrp2!I77=3,2,0)))</f>
        <v>2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2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704</v>
      </c>
      <c r="B50" t="s">
        <v>595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2</v>
      </c>
      <c r="AW50" s="179">
        <f>IF(CdTrp1!C78=1,1,IF(CdTrp1!C78=2,2,IF(CdTrp1!C78=3,2,0)))</f>
        <v>2</v>
      </c>
      <c r="AX50" s="179">
        <f>IF(CdTrp1!D78=1,1,IF(CdTrp1!D78=2,2,IF(CdTrp1!D78=3,2,0)))</f>
        <v>2</v>
      </c>
      <c r="AY50" s="179">
        <f>IF(CdTrp1!E78=1,1,IF(CdTrp1!E78=2,2,IF(CdTrp1!E78=3,2,0)))</f>
        <v>2</v>
      </c>
      <c r="AZ50" s="179">
        <f>IF(CdTrp1!F78=1,1,IF(CdTrp1!F78=2,2,IF(CdTrp1!F78=3,2,0)))</f>
        <v>2</v>
      </c>
      <c r="BA50" s="179">
        <f>IF(CdTrp1!G78=1,1,IF(CdTrp1!G78=2,2,IF(CdTrp1!G78=3,2,0)))</f>
        <v>2</v>
      </c>
      <c r="BB50" s="179">
        <f>IF(CdTrp1!H78=1,1,IF(CdTrp1!H78=2,2,IF(CdTrp1!H78=3,2,0)))</f>
        <v>2</v>
      </c>
      <c r="BC50" s="179">
        <f>IF(CdTrp1!I78=1,1,IF(CdTrp1!I78=2,2,IF(CdTrp1!I78=3,2,0)))</f>
        <v>2</v>
      </c>
      <c r="BD50" s="179">
        <f>IF(CdTrp1!J78=1,1,IF(CdTrp1!J78=2,2,IF(CdTrp1!J78=3,2,0)))</f>
        <v>2</v>
      </c>
      <c r="BE50" s="179">
        <f>IF(CdTrp1!K78=1,1,IF(CdTrp1!K78=2,2,IF(CdTrp1!K78=3,2,0)))</f>
        <v>2</v>
      </c>
      <c r="BF50" s="179">
        <f>IF(CdTrp1!L78=1,1,IF(CdTrp1!L78=2,2,IF(CdTrp1!L78=3,2,0)))</f>
        <v>2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2</v>
      </c>
      <c r="BR50" s="179">
        <f>IF(CdTrp1!X78=1,1,IF(CdTrp1!X78=2,2,IF(CdTrp1!X78=3,2,0)))</f>
        <v>2</v>
      </c>
      <c r="BS50" s="179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706</v>
      </c>
      <c r="B51" t="s">
        <v>595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1</v>
      </c>
      <c r="BE51" s="179">
        <f>IF(CdTrp1!K79=1,1,IF(CdTrp1!K79=2,2,IF(CdTrp1!K79=3,2,0)))</f>
        <v>1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2</v>
      </c>
      <c r="BN51" s="179">
        <f>IF(CdTrp1!T79=1,1,IF(CdTrp1!T79=2,2,IF(CdTrp1!T79=3,2,0)))</f>
        <v>2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2</v>
      </c>
      <c r="BR51" s="179">
        <f>IF(CdTrp1!X79=1,1,IF(CdTrp1!X79=2,2,IF(CdTrp1!X79=3,2,0)))</f>
        <v>2</v>
      </c>
      <c r="BS51" s="179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707</v>
      </c>
      <c r="B52" t="s">
        <v>595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1</v>
      </c>
      <c r="BA52" s="179">
        <f>IF(CdTrp1!G80=1,1,IF(CdTrp1!G80=2,2,IF(CdTrp1!G80=3,2,0)))</f>
        <v>1</v>
      </c>
      <c r="BB52" s="179">
        <f>IF(CdTrp1!H80=1,1,IF(CdTrp1!H80=2,2,IF(CdTrp1!H80=3,2,0)))</f>
        <v>1</v>
      </c>
      <c r="BC52" s="179">
        <f>IF(CdTrp1!I80=1,1,IF(CdTrp1!I80=2,2,IF(CdTrp1!I80=3,2,0)))</f>
        <v>1</v>
      </c>
      <c r="BD52" s="179">
        <f>IF(CdTrp1!J80=1,1,IF(CdTrp1!J80=2,2,IF(CdTrp1!J80=3,2,0)))</f>
        <v>1</v>
      </c>
      <c r="BE52" s="179">
        <f>IF(CdTrp1!K80=1,1,IF(CdTrp1!K80=2,2,IF(CdTrp1!K80=3,2,0)))</f>
        <v>1</v>
      </c>
      <c r="BF52" s="179">
        <f>IF(CdTrp1!L80=1,1,IF(CdTrp1!L80=2,2,IF(CdTrp1!L80=3,2,0)))</f>
        <v>1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708</v>
      </c>
      <c r="B53" t="s">
        <v>595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710</v>
      </c>
      <c r="B54" t="s">
        <v>595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712</v>
      </c>
      <c r="B55" t="s">
        <v>595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716</v>
      </c>
      <c r="B57" t="s">
        <v>595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717</v>
      </c>
      <c r="B58" t="s">
        <v>595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718</v>
      </c>
      <c r="B59" t="s">
        <v>595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723</v>
      </c>
      <c r="B60" t="s">
        <v>595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728</v>
      </c>
      <c r="B61" t="s">
        <v>595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731</v>
      </c>
      <c r="B62" t="s">
        <v>595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734</v>
      </c>
      <c r="B63" t="s">
        <v>595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737</v>
      </c>
      <c r="B64" t="s">
        <v>595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753</v>
      </c>
      <c r="AV67" s="169"/>
      <c r="AW67" s="169"/>
    </row>
    <row r="68" spans="1:49" x14ac:dyDescent="0.25">
      <c r="A68" s="40" t="s">
        <v>754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Brebis laitières tardives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99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99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21.27551020408163</v>
      </c>
      <c r="AD69" s="15"/>
      <c r="AU69" s="181"/>
    </row>
    <row r="70" spans="1:49" x14ac:dyDescent="0.25">
      <c r="B70" s="258" t="str">
        <f>CdTrp1!A54</f>
        <v>Brebis vides</v>
      </c>
      <c r="C70" s="170">
        <f>IF($AA70=0,99,IF(C83&gt;3,CdTrp1!B78,CdTrp1!B54))</f>
        <v>0.5</v>
      </c>
      <c r="D70" s="170">
        <f>IF($AA70=0,99,IF(D83&gt;3,CdTrp1!C78,CdTrp1!C54))</f>
        <v>0.5</v>
      </c>
      <c r="E70" s="170">
        <f>IF($AA70=0,99,IF(E83&gt;3,CdTrp1!D78,CdTrp1!D54))</f>
        <v>0.5</v>
      </c>
      <c r="F70" s="170">
        <f>IF($AA70=0,99,IF(F83&gt;3,CdTrp1!E78,CdTrp1!E54))</f>
        <v>0.5</v>
      </c>
      <c r="G70" s="170">
        <f>IF($AA70=0,99,IF(G83&gt;3,CdTrp1!F78,CdTrp1!F54))</f>
        <v>0.5</v>
      </c>
      <c r="H70" s="170">
        <f>IF($AA70=0,99,IF(H83&gt;3,CdTrp1!G78,CdTrp1!G54))</f>
        <v>0.5</v>
      </c>
      <c r="I70" s="170">
        <f>IF($AA70=0,99,IF(I83&gt;3,CdTrp1!H78,CdTrp1!H54))</f>
        <v>0.5</v>
      </c>
      <c r="J70" s="170">
        <f>IF($AA70=0,99,IF(J83&gt;3,CdTrp1!I78,CdTrp1!I54))</f>
        <v>0.5</v>
      </c>
      <c r="K70" s="170">
        <f>IF($AA70=0,99,IF(K83&gt;3,CdTrp1!J78,CdTrp1!J54))</f>
        <v>0.5</v>
      </c>
      <c r="L70" s="170">
        <f>IF($AA70=0,99,IF(L83&gt;3,CdTrp1!K78,CdTrp1!K54))</f>
        <v>0.5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0.5</v>
      </c>
      <c r="Y70" s="170">
        <f>IF($AA70=0,99,IF(Y83&gt;3,CdTrp1!X78,CdTrp1!X54))</f>
        <v>0.5</v>
      </c>
      <c r="Z70" s="170">
        <f>IF($AA70=0,99,IF(Z83&gt;3,CdTrp1!Y78,CdTrp1!Y54))</f>
        <v>0.5</v>
      </c>
      <c r="AA70" s="179">
        <f>SUM(CdTrp1!B17:Y17)/24</f>
        <v>7.6828231292517017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0.5</v>
      </c>
      <c r="L71" s="170">
        <f>IF($AA71=0,99,IF(L84&gt;3,CdTrp1!K79,CdTrp1!K55))</f>
        <v>0.5</v>
      </c>
      <c r="M71" s="170">
        <f>IF($AA71=0,99,IF(M84&gt;3,CdTrp1!L79,CdTrp1!L55))</f>
        <v>0.5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0.5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0.5</v>
      </c>
      <c r="H72" s="170">
        <f>IF($AA72=0,99,IF(H85&gt;3,CdTrp1!G80,CdTrp1!G56))</f>
        <v>0.5</v>
      </c>
      <c r="I72" s="170">
        <f>IF($AA72=0,99,IF(I85&gt;3,CdTrp1!H80,CdTrp1!H56))</f>
        <v>0.5</v>
      </c>
      <c r="J72" s="170">
        <f>IF($AA72=0,99,IF(J85&gt;3,CdTrp1!I80,CdTrp1!I56))</f>
        <v>0.5</v>
      </c>
      <c r="K72" s="170">
        <f>IF($AA72=0,99,IF(K85&gt;3,CdTrp1!J80,CdTrp1!J56))</f>
        <v>0.5</v>
      </c>
      <c r="L72" s="170">
        <f>IF($AA72=0,99,IF(L85&gt;3,CdTrp1!K80,CdTrp1!K56))</f>
        <v>0.5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755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Brebis laitières tardives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0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0</v>
      </c>
      <c r="Y82" s="170">
        <f>CdTrp1!X77</f>
        <v>2</v>
      </c>
      <c r="Z82" s="170">
        <f>CdTrp1!Y77</f>
        <v>2</v>
      </c>
      <c r="AC82">
        <v>4</v>
      </c>
    </row>
    <row r="83" spans="1:29" x14ac:dyDescent="0.25">
      <c r="B83" s="258" t="str">
        <f>CdTrp1!A78</f>
        <v>Brebis vides</v>
      </c>
      <c r="C83" s="170">
        <f>CdTrp1!B78</f>
        <v>2</v>
      </c>
      <c r="D83" s="170">
        <f>CdTrp1!C78</f>
        <v>2</v>
      </c>
      <c r="E83" s="170">
        <f>CdTrp1!D78</f>
        <v>2</v>
      </c>
      <c r="F83" s="170">
        <f>CdTrp1!E78</f>
        <v>2</v>
      </c>
      <c r="G83" s="170">
        <f>CdTrp1!F78</f>
        <v>2</v>
      </c>
      <c r="H83" s="170">
        <f>CdTrp1!G78</f>
        <v>2</v>
      </c>
      <c r="I83" s="170">
        <f>CdTrp1!H78</f>
        <v>2</v>
      </c>
      <c r="J83" s="170">
        <f>CdTrp1!I78</f>
        <v>2</v>
      </c>
      <c r="K83" s="170">
        <f>CdTrp1!J78</f>
        <v>2</v>
      </c>
      <c r="L83" s="170">
        <f>CdTrp1!K78</f>
        <v>2</v>
      </c>
      <c r="M83" s="170">
        <f>CdTrp1!L78</f>
        <v>2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2</v>
      </c>
      <c r="Y83" s="170">
        <f>CdTrp1!X78</f>
        <v>2</v>
      </c>
      <c r="Z83" s="170">
        <f>CdTrp1!Y78</f>
        <v>2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1</v>
      </c>
      <c r="L84" s="170">
        <f>CdTrp1!K79</f>
        <v>1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2</v>
      </c>
      <c r="U84" s="170">
        <f>CdTrp1!T79</f>
        <v>2</v>
      </c>
      <c r="V84" s="170">
        <f>CdTrp1!U79</f>
        <v>2</v>
      </c>
      <c r="W84" s="170">
        <f>CdTrp1!V79</f>
        <v>2</v>
      </c>
      <c r="X84" s="170">
        <f>CdTrp1!W79</f>
        <v>2</v>
      </c>
      <c r="Y84" s="170">
        <f>CdTrp1!X79</f>
        <v>2</v>
      </c>
      <c r="Z84" s="170">
        <f>CdTrp1!Y79</f>
        <v>2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1</v>
      </c>
      <c r="H85" s="170">
        <f>CdTrp1!G80</f>
        <v>1</v>
      </c>
      <c r="I85" s="170">
        <f>CdTrp1!H80</f>
        <v>1</v>
      </c>
      <c r="J85" s="170">
        <f>CdTrp1!I80</f>
        <v>1</v>
      </c>
      <c r="K85" s="170">
        <f>CdTrp1!J80</f>
        <v>1</v>
      </c>
      <c r="L85" s="170">
        <f>CdTrp1!K80</f>
        <v>1</v>
      </c>
      <c r="M85" s="170">
        <f>CdTrp1!L80</f>
        <v>1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753</v>
      </c>
    </row>
    <row r="110" spans="1:27" x14ac:dyDescent="0.25">
      <c r="A110" s="40" t="s">
        <v>756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0</v>
      </c>
      <c r="N110" s="170">
        <f>IF($AA110=0,99,IF(N123&gt;3,CdTrp2!M76,CdTrp2!M52))</f>
        <v>0</v>
      </c>
      <c r="O110" s="170">
        <f>IF($AA110=0,99,IF(O123&gt;3,CdTrp2!N76,CdTrp2!N52))</f>
        <v>0</v>
      </c>
      <c r="P110" s="170">
        <f>IF($AA110=0,99,IF(P123&gt;3,CdTrp2!O76,CdTrp2!O52))</f>
        <v>0</v>
      </c>
      <c r="Q110" s="170">
        <f>IF($AA110=0,99,IF(Q123&gt;3,CdTrp2!P76,CdTrp2!P52))</f>
        <v>0</v>
      </c>
      <c r="R110" s="170">
        <f>IF($AA110=0,99,IF(R123&gt;3,CdTrp2!Q76,CdTrp2!Q52))</f>
        <v>0</v>
      </c>
      <c r="S110" s="170">
        <f>IF($AA110=0,99,IF(S123&gt;3,CdTrp2!R76,CdTrp2!R52))</f>
        <v>4</v>
      </c>
      <c r="T110" s="170">
        <f>IF($AA110=0,99,IF(T123&gt;3,CdTrp2!S76,CdTrp2!S52))</f>
        <v>0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0</v>
      </c>
      <c r="N111" s="170">
        <f>IF($AA111=0,99,IF(N124&gt;3,CdTrp2!M77,CdTrp2!M53))</f>
        <v>0</v>
      </c>
      <c r="O111" s="170">
        <f>IF($AA111=0,99,IF(O124&gt;3,CdTrp2!N77,CdTrp2!N53))</f>
        <v>0</v>
      </c>
      <c r="P111" s="170">
        <f>IF($AA111=0,99,IF(P124&gt;3,CdTrp2!O77,CdTrp2!O53))</f>
        <v>0</v>
      </c>
      <c r="Q111" s="170">
        <f>IF($AA111=0,99,IF(Q124&gt;3,CdTrp2!P77,CdTrp2!P53))</f>
        <v>0</v>
      </c>
      <c r="R111" s="170">
        <f>IF($AA111=0,99,IF(R124&gt;3,CdTrp2!Q77,CdTrp2!Q53))</f>
        <v>0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757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1</v>
      </c>
      <c r="G123" s="30">
        <f>CdTrp2!F76</f>
        <v>1</v>
      </c>
      <c r="H123" s="30">
        <f>CdTrp2!G76</f>
        <v>1</v>
      </c>
      <c r="I123" s="30">
        <f>CdTrp2!H76</f>
        <v>1</v>
      </c>
      <c r="J123" s="30">
        <f>CdTrp2!I76</f>
        <v>1</v>
      </c>
      <c r="K123" s="30">
        <f>CdTrp2!J76</f>
        <v>4</v>
      </c>
      <c r="L123" s="30">
        <f>CdTrp2!K76</f>
        <v>4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4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2</v>
      </c>
      <c r="J124" s="30">
        <f>CdTrp2!I77</f>
        <v>2</v>
      </c>
      <c r="K124" s="30">
        <f>CdTrp2!J77</f>
        <v>4</v>
      </c>
      <c r="L124" s="30">
        <f>CdTrp2!K77</f>
        <v>4</v>
      </c>
      <c r="M124" s="30">
        <f>CdTrp2!L77</f>
        <v>2</v>
      </c>
      <c r="N124" s="30">
        <f>CdTrp2!M77</f>
        <v>2</v>
      </c>
      <c r="O124" s="30">
        <f>CdTrp2!N77</f>
        <v>2</v>
      </c>
      <c r="P124" s="30">
        <f>CdTrp2!O77</f>
        <v>2</v>
      </c>
      <c r="Q124" s="30">
        <f>CdTrp2!P77</f>
        <v>2</v>
      </c>
      <c r="R124" s="30">
        <f>CdTrp2!Q77</f>
        <v>2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2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753</v>
      </c>
    </row>
    <row r="153" spans="1:27" x14ac:dyDescent="0.25">
      <c r="A153" s="40" t="s">
        <v>758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759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760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2</v>
      </c>
      <c r="O181" s="170">
        <f>IF(Troupeau!$B$3="OL",Protection!O19+O21,0)</f>
        <v>2</v>
      </c>
      <c r="P181" s="170">
        <f>IF(Troupeau!$B$3="OL",Protection!P19+P21,0)</f>
        <v>2</v>
      </c>
      <c r="Q181" s="170">
        <f>IF(Troupeau!$B$3="OL",Protection!Q19+Q21,0)</f>
        <v>2</v>
      </c>
      <c r="R181" s="170">
        <f>IF(Troupeau!$B$3="OL",Protection!R19+R21,0)</f>
        <v>2</v>
      </c>
      <c r="S181" s="170">
        <f>IF(Troupeau!$B$3="OL",Protection!S19+S21,0)</f>
        <v>2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761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762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763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764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765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766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767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768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2</v>
      </c>
      <c r="O196" s="170">
        <f t="shared" si="49"/>
        <v>2</v>
      </c>
      <c r="P196" s="170">
        <f t="shared" si="49"/>
        <v>2</v>
      </c>
      <c r="Q196" s="170">
        <f t="shared" si="49"/>
        <v>2</v>
      </c>
      <c r="R196" s="170">
        <f t="shared" si="49"/>
        <v>2</v>
      </c>
      <c r="S196" s="170">
        <f t="shared" si="49"/>
        <v>2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769</v>
      </c>
      <c r="C201" s="170">
        <f>IF(Troupeau!$B$3="OL",C8+C9,0)</f>
        <v>6</v>
      </c>
      <c r="D201" s="170">
        <f>IF(Troupeau!$B$3="OL",D8+D9,0)</f>
        <v>6</v>
      </c>
      <c r="E201" s="170">
        <f>IF(Troupeau!$B$3="OL",E8+E9,0)</f>
        <v>6</v>
      </c>
      <c r="F201" s="170">
        <f>IF(Troupeau!$B$3="OL",F8+F9,0)</f>
        <v>6</v>
      </c>
      <c r="G201" s="170">
        <f>IF(Troupeau!$B$3="OL",G8+G9,0)</f>
        <v>8</v>
      </c>
      <c r="H201" s="170">
        <f>IF(Troupeau!$B$3="OL",H8+H9,0)</f>
        <v>8</v>
      </c>
      <c r="I201" s="170">
        <f>IF(Troupeau!$B$3="OL",I8+I9,0)</f>
        <v>8</v>
      </c>
      <c r="J201" s="170">
        <f>IF(Troupeau!$B$3="OL",J8+J9,0)</f>
        <v>8</v>
      </c>
      <c r="K201" s="170">
        <f>IF(Troupeau!$B$3="OL",K8+K9,0)</f>
        <v>10</v>
      </c>
      <c r="L201" s="170">
        <f>IF(Troupeau!$B$3="OL",L8+L9,0)</f>
        <v>8</v>
      </c>
      <c r="M201" s="170">
        <f>IF(Troupeau!$B$3="OL",M8+M9,0)</f>
        <v>8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6</v>
      </c>
      <c r="Y201" s="170">
        <f>IF(Troupeau!$B$3="OL",Y8+Y9,0)</f>
        <v>6</v>
      </c>
      <c r="Z201" s="170">
        <f>IF(Troupeau!$B$3="OL",Z8+Z9,0)</f>
        <v>6</v>
      </c>
    </row>
    <row r="202" spans="1:26" x14ac:dyDescent="0.25">
      <c r="A202" t="s">
        <v>770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8</v>
      </c>
      <c r="O202" s="170">
        <f>IF(Troupeau!$B$3="OL",O10+O12,0)</f>
        <v>8</v>
      </c>
      <c r="P202" s="170">
        <f>IF(Troupeau!$B$3="OL",P10+P12,0)</f>
        <v>8</v>
      </c>
      <c r="Q202" s="170">
        <f>IF(Troupeau!$B$3="OL",Q10+Q12,0)</f>
        <v>8</v>
      </c>
      <c r="R202" s="170">
        <f>IF(Troupeau!$B$3="OL",R10+R12,0)</f>
        <v>8</v>
      </c>
      <c r="S202" s="170">
        <f>IF(Troupeau!$B$3="OL",S10+S12,0)</f>
        <v>8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771</v>
      </c>
      <c r="C203" s="170">
        <f>SUM(C201:C202)</f>
        <v>6</v>
      </c>
      <c r="D203" s="170">
        <f t="shared" ref="D203:Z203" si="50">SUM(D201:D202)</f>
        <v>6</v>
      </c>
      <c r="E203" s="170">
        <f t="shared" si="50"/>
        <v>6</v>
      </c>
      <c r="F203" s="170">
        <f t="shared" si="50"/>
        <v>6</v>
      </c>
      <c r="G203" s="170">
        <f t="shared" si="50"/>
        <v>8</v>
      </c>
      <c r="H203" s="170">
        <f t="shared" si="50"/>
        <v>8</v>
      </c>
      <c r="I203" s="170">
        <f t="shared" si="50"/>
        <v>8</v>
      </c>
      <c r="J203" s="170">
        <f t="shared" si="50"/>
        <v>8</v>
      </c>
      <c r="K203" s="170">
        <f t="shared" si="50"/>
        <v>10</v>
      </c>
      <c r="L203" s="170">
        <f t="shared" si="50"/>
        <v>8</v>
      </c>
      <c r="M203" s="170">
        <f t="shared" si="50"/>
        <v>8</v>
      </c>
      <c r="N203" s="170">
        <f t="shared" si="50"/>
        <v>8</v>
      </c>
      <c r="O203" s="170">
        <f t="shared" si="50"/>
        <v>8</v>
      </c>
      <c r="P203" s="170">
        <f t="shared" si="50"/>
        <v>8</v>
      </c>
      <c r="Q203" s="170">
        <f t="shared" si="50"/>
        <v>8</v>
      </c>
      <c r="R203" s="170">
        <f t="shared" si="50"/>
        <v>8</v>
      </c>
      <c r="S203" s="170">
        <f t="shared" si="50"/>
        <v>8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6</v>
      </c>
      <c r="Y203" s="170">
        <f t="shared" si="50"/>
        <v>6</v>
      </c>
      <c r="Z203" s="170">
        <f t="shared" si="50"/>
        <v>6</v>
      </c>
    </row>
    <row r="204" spans="1:26" x14ac:dyDescent="0.25">
      <c r="A204" t="s">
        <v>772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773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774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775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776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777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778</v>
      </c>
      <c r="C212" s="170">
        <f>C201+C204+C206+C208</f>
        <v>6</v>
      </c>
      <c r="D212" s="170">
        <f t="shared" ref="D212:Z213" si="51">D201+D204+D206+D208</f>
        <v>6</v>
      </c>
      <c r="E212" s="170">
        <f t="shared" si="51"/>
        <v>6</v>
      </c>
      <c r="F212" s="170">
        <f t="shared" si="51"/>
        <v>6</v>
      </c>
      <c r="G212" s="170">
        <f t="shared" si="51"/>
        <v>8</v>
      </c>
      <c r="H212" s="170">
        <f t="shared" si="51"/>
        <v>8</v>
      </c>
      <c r="I212" s="170">
        <f t="shared" si="51"/>
        <v>8</v>
      </c>
      <c r="J212" s="170">
        <f t="shared" si="51"/>
        <v>8</v>
      </c>
      <c r="K212" s="170">
        <f t="shared" si="51"/>
        <v>10</v>
      </c>
      <c r="L212" s="170">
        <f t="shared" si="51"/>
        <v>8</v>
      </c>
      <c r="M212" s="170">
        <f t="shared" si="51"/>
        <v>8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6</v>
      </c>
      <c r="Y212" s="170">
        <f t="shared" si="51"/>
        <v>6</v>
      </c>
      <c r="Z212" s="170">
        <f t="shared" si="51"/>
        <v>6</v>
      </c>
    </row>
    <row r="213" spans="1:26" x14ac:dyDescent="0.25">
      <c r="A213" s="15" t="s">
        <v>779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8</v>
      </c>
      <c r="O213" s="170">
        <f t="shared" si="51"/>
        <v>8</v>
      </c>
      <c r="P213" s="170">
        <f t="shared" si="51"/>
        <v>8</v>
      </c>
      <c r="Q213" s="170">
        <f t="shared" si="51"/>
        <v>8</v>
      </c>
      <c r="R213" s="170">
        <f t="shared" si="51"/>
        <v>8</v>
      </c>
      <c r="S213" s="170">
        <f t="shared" si="51"/>
        <v>8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780</v>
      </c>
      <c r="C214" s="170">
        <f>C212+C213</f>
        <v>6</v>
      </c>
      <c r="D214" s="170">
        <f t="shared" ref="D214:Z214" si="52">D212+D213</f>
        <v>6</v>
      </c>
      <c r="E214" s="170">
        <f t="shared" si="52"/>
        <v>6</v>
      </c>
      <c r="F214" s="170">
        <f t="shared" si="52"/>
        <v>6</v>
      </c>
      <c r="G214" s="170">
        <f t="shared" si="52"/>
        <v>8</v>
      </c>
      <c r="H214" s="170">
        <f t="shared" si="52"/>
        <v>8</v>
      </c>
      <c r="I214" s="170">
        <f t="shared" si="52"/>
        <v>8</v>
      </c>
      <c r="J214" s="170">
        <f t="shared" si="52"/>
        <v>8</v>
      </c>
      <c r="K214" s="170">
        <f t="shared" si="52"/>
        <v>10</v>
      </c>
      <c r="L214" s="170">
        <f t="shared" si="52"/>
        <v>8</v>
      </c>
      <c r="M214" s="170">
        <f t="shared" si="52"/>
        <v>8</v>
      </c>
      <c r="N214" s="170">
        <f t="shared" si="52"/>
        <v>8</v>
      </c>
      <c r="O214" s="170">
        <f t="shared" si="52"/>
        <v>8</v>
      </c>
      <c r="P214" s="170">
        <f t="shared" si="52"/>
        <v>8</v>
      </c>
      <c r="Q214" s="170">
        <f t="shared" si="52"/>
        <v>8</v>
      </c>
      <c r="R214" s="170">
        <f t="shared" si="52"/>
        <v>8</v>
      </c>
      <c r="S214" s="170">
        <f t="shared" si="52"/>
        <v>8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6</v>
      </c>
      <c r="Y214" s="170">
        <f t="shared" si="52"/>
        <v>6</v>
      </c>
      <c r="Z214" s="170">
        <f t="shared" si="52"/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110" activePane="bottomLeft" state="frozen"/>
      <selection activeCell="L18" sqref="L18"/>
      <selection pane="bottomLeft" activeCell="D128" sqref="D128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781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782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782</v>
      </c>
      <c r="AS2" s="40" t="s">
        <v>574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588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595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783</v>
      </c>
      <c r="B3" s="2"/>
      <c r="C3" s="2"/>
      <c r="D3" s="23"/>
      <c r="E3" s="23"/>
      <c r="AR3" s="183" t="s">
        <v>782</v>
      </c>
      <c r="AT3" s="2" t="s">
        <v>784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784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784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785</v>
      </c>
      <c r="B4" s="2"/>
      <c r="C4" s="2"/>
      <c r="D4" s="23"/>
      <c r="E4" s="23"/>
      <c r="F4" s="33"/>
      <c r="AR4" s="183" t="s">
        <v>782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574</v>
      </c>
      <c r="F5" s="170">
        <f>SUM(G5:AD5)</f>
        <v>875</v>
      </c>
      <c r="G5" s="170">
        <f>AV117</f>
        <v>49</v>
      </c>
      <c r="H5" s="170">
        <f t="shared" ref="H5:AD5" si="0">AW117</f>
        <v>49</v>
      </c>
      <c r="I5" s="170">
        <f t="shared" si="0"/>
        <v>49</v>
      </c>
      <c r="J5" s="170">
        <f t="shared" si="0"/>
        <v>49</v>
      </c>
      <c r="K5" s="170">
        <f t="shared" si="0"/>
        <v>63</v>
      </c>
      <c r="L5" s="170">
        <f t="shared" si="0"/>
        <v>63</v>
      </c>
      <c r="M5" s="170">
        <f t="shared" si="0"/>
        <v>63</v>
      </c>
      <c r="N5" s="170">
        <f t="shared" si="0"/>
        <v>63</v>
      </c>
      <c r="O5" s="170">
        <f t="shared" si="0"/>
        <v>77</v>
      </c>
      <c r="P5" s="170">
        <f t="shared" si="0"/>
        <v>63</v>
      </c>
      <c r="Q5" s="170">
        <f t="shared" si="0"/>
        <v>28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35</v>
      </c>
      <c r="Y5" s="170">
        <f t="shared" si="0"/>
        <v>35</v>
      </c>
      <c r="Z5" s="170">
        <f t="shared" si="0"/>
        <v>35</v>
      </c>
      <c r="AA5" s="170">
        <f t="shared" si="0"/>
        <v>35</v>
      </c>
      <c r="AB5" s="170">
        <f t="shared" si="0"/>
        <v>35</v>
      </c>
      <c r="AC5" s="170">
        <f t="shared" si="0"/>
        <v>42</v>
      </c>
      <c r="AD5" s="170">
        <f t="shared" si="0"/>
        <v>42</v>
      </c>
      <c r="AR5" s="183" t="s">
        <v>782</v>
      </c>
      <c r="AT5" s="184" t="str">
        <f t="shared" ref="AT5:AT13" si="1">AT27</f>
        <v>Brebis laitières tardives</v>
      </c>
      <c r="AU5" s="169"/>
      <c r="AV5" s="170">
        <f>CdTrp1!B16</f>
        <v>73.755102040816325</v>
      </c>
      <c r="AW5" s="170">
        <f>CdTrp1!C16</f>
        <v>65.244897959183675</v>
      </c>
      <c r="AX5" s="170">
        <f>CdTrp1!D16</f>
        <v>56.734693877551024</v>
      </c>
      <c r="AY5" s="170">
        <f>CdTrp1!E16</f>
        <v>48.224489795918366</v>
      </c>
      <c r="AZ5" s="170">
        <f>CdTrp1!F16</f>
        <v>39.714285714285715</v>
      </c>
      <c r="BA5" s="170">
        <f>CdTrp1!G16</f>
        <v>31.771428571428572</v>
      </c>
      <c r="BB5" s="170">
        <f>CdTrp1!H16</f>
        <v>23.828571428571429</v>
      </c>
      <c r="BC5" s="170">
        <f>CdTrp1!I16</f>
        <v>15.885714285714286</v>
      </c>
      <c r="BD5" s="170">
        <f>CdTrp1!J16</f>
        <v>7.9428571428571431</v>
      </c>
      <c r="BE5" s="170">
        <f>CdTrp1!K16</f>
        <v>0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0</v>
      </c>
      <c r="BR5" s="170">
        <f>CdTrp1!X16</f>
        <v>73.755102040816325</v>
      </c>
      <c r="BS5" s="170">
        <f>CdTrp1!Y16</f>
        <v>73.755102040816325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588</v>
      </c>
      <c r="F6" s="170">
        <f>IF(Troupeau!B3="OL",SUM(G6:AD6)*0.6,SUM(G6:AD6))</f>
        <v>115.5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24.5</v>
      </c>
      <c r="K6" s="170">
        <f t="shared" si="2"/>
        <v>15.75</v>
      </c>
      <c r="L6" s="170">
        <f t="shared" si="2"/>
        <v>15.75</v>
      </c>
      <c r="M6" s="170">
        <f t="shared" si="2"/>
        <v>15.75</v>
      </c>
      <c r="N6" s="170">
        <f t="shared" si="2"/>
        <v>15.75</v>
      </c>
      <c r="O6" s="170">
        <f t="shared" si="2"/>
        <v>0</v>
      </c>
      <c r="P6" s="170">
        <f t="shared" si="2"/>
        <v>0</v>
      </c>
      <c r="Q6" s="170">
        <f t="shared" si="2"/>
        <v>8.75</v>
      </c>
      <c r="R6" s="170">
        <f t="shared" si="2"/>
        <v>8.75</v>
      </c>
      <c r="S6" s="170">
        <f t="shared" si="2"/>
        <v>8.75</v>
      </c>
      <c r="T6" s="170">
        <f t="shared" si="2"/>
        <v>8.75</v>
      </c>
      <c r="U6" s="170">
        <f t="shared" si="2"/>
        <v>8.75</v>
      </c>
      <c r="V6" s="170">
        <f t="shared" si="2"/>
        <v>8.75</v>
      </c>
      <c r="W6" s="170">
        <f t="shared" si="2"/>
        <v>0</v>
      </c>
      <c r="X6" s="170">
        <f t="shared" si="2"/>
        <v>3.5</v>
      </c>
      <c r="Y6" s="170">
        <f t="shared" si="2"/>
        <v>8.75</v>
      </c>
      <c r="Z6" s="170">
        <f t="shared" si="2"/>
        <v>8.75</v>
      </c>
      <c r="AA6" s="170">
        <f t="shared" si="2"/>
        <v>8.75</v>
      </c>
      <c r="AB6" s="170">
        <f t="shared" si="2"/>
        <v>8.75</v>
      </c>
      <c r="AC6" s="170">
        <f t="shared" si="2"/>
        <v>0</v>
      </c>
      <c r="AD6" s="170">
        <f t="shared" si="2"/>
        <v>0</v>
      </c>
      <c r="AR6" s="183" t="s">
        <v>782</v>
      </c>
      <c r="AT6" s="184" t="str">
        <f t="shared" si="1"/>
        <v>Brebis vides</v>
      </c>
      <c r="AU6" s="169"/>
      <c r="AV6" s="170">
        <f>CdTrp1!B17</f>
        <v>14.183673469387756</v>
      </c>
      <c r="AW6" s="170">
        <f>CdTrp1!C17</f>
        <v>14.183673469387756</v>
      </c>
      <c r="AX6" s="170">
        <f>CdTrp1!D17</f>
        <v>14.183673469387756</v>
      </c>
      <c r="AY6" s="170">
        <f>CdTrp1!E17</f>
        <v>14.183673469387756</v>
      </c>
      <c r="AZ6" s="170">
        <f>CdTrp1!F17</f>
        <v>14.183673469387756</v>
      </c>
      <c r="BA6" s="170">
        <f>CdTrp1!G17</f>
        <v>14.183673469387756</v>
      </c>
      <c r="BB6" s="170">
        <f>CdTrp1!H17</f>
        <v>14.183673469387756</v>
      </c>
      <c r="BC6" s="170">
        <f>CdTrp1!I17</f>
        <v>14.183673469387756</v>
      </c>
      <c r="BD6" s="170">
        <f>CdTrp1!J17</f>
        <v>14.183673469387756</v>
      </c>
      <c r="BE6" s="170">
        <f>CdTrp1!K17</f>
        <v>14.183673469387756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14.183673469387756</v>
      </c>
      <c r="BR6" s="170">
        <f>CdTrp1!X17</f>
        <v>14.183673469387756</v>
      </c>
      <c r="BS6" s="170">
        <f>CdTrp1!Y17</f>
        <v>14.183673469387756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595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782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786</v>
      </c>
      <c r="B8" s="2"/>
      <c r="C8" s="2"/>
      <c r="D8" s="23"/>
      <c r="E8" s="23"/>
      <c r="AR8" s="183" t="s">
        <v>782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574</v>
      </c>
      <c r="F9" s="170">
        <f>SUM(G9:AD9)</f>
        <v>793.77257142857172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30.231000000000002</v>
      </c>
      <c r="P9" s="30">
        <f t="shared" si="4"/>
        <v>30.191285714285712</v>
      </c>
      <c r="Q9" s="30">
        <f t="shared" si="4"/>
        <v>29.694857142857146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21.196000000000002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782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588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782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595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782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782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787</v>
      </c>
      <c r="F13" s="170">
        <f t="shared" si="5"/>
        <v>2176.2725714285721</v>
      </c>
      <c r="G13" s="30">
        <f>SUM(G5:G11)</f>
        <v>143.14442857142856</v>
      </c>
      <c r="H13" s="30">
        <f t="shared" ref="H13:AD13" si="8">SUM(H5:H11)</f>
        <v>143.08485714285715</v>
      </c>
      <c r="I13" s="30">
        <f t="shared" si="8"/>
        <v>157.0252857142857</v>
      </c>
      <c r="J13" s="30">
        <f t="shared" si="8"/>
        <v>145.98914285714287</v>
      </c>
      <c r="K13" s="30">
        <f t="shared" si="8"/>
        <v>151.17957142857142</v>
      </c>
      <c r="L13" s="30">
        <f t="shared" si="8"/>
        <v>151.12</v>
      </c>
      <c r="M13" s="30">
        <f t="shared" si="8"/>
        <v>151.06042857142859</v>
      </c>
      <c r="N13" s="30">
        <f t="shared" si="8"/>
        <v>151.02071428571429</v>
      </c>
      <c r="O13" s="30">
        <f t="shared" si="8"/>
        <v>107.23099999999999</v>
      </c>
      <c r="P13" s="30">
        <f t="shared" si="8"/>
        <v>93.191285714285712</v>
      </c>
      <c r="Q13" s="30">
        <f t="shared" si="8"/>
        <v>66.444857142857146</v>
      </c>
      <c r="R13" s="30">
        <f t="shared" si="8"/>
        <v>8.75</v>
      </c>
      <c r="S13" s="30">
        <f t="shared" si="8"/>
        <v>8.75</v>
      </c>
      <c r="T13" s="30">
        <f t="shared" si="8"/>
        <v>8.75</v>
      </c>
      <c r="U13" s="30">
        <f t="shared" si="8"/>
        <v>8.75</v>
      </c>
      <c r="V13" s="30">
        <f t="shared" si="8"/>
        <v>8.75</v>
      </c>
      <c r="W13" s="30">
        <f t="shared" si="8"/>
        <v>21.196000000000002</v>
      </c>
      <c r="X13" s="30">
        <f t="shared" si="8"/>
        <v>67.698428571428565</v>
      </c>
      <c r="Y13" s="30">
        <f t="shared" si="8"/>
        <v>72.948428571428565</v>
      </c>
      <c r="Z13" s="30">
        <f t="shared" si="8"/>
        <v>72.948428571428565</v>
      </c>
      <c r="AA13" s="30">
        <f t="shared" si="8"/>
        <v>72.948428571428565</v>
      </c>
      <c r="AB13" s="30">
        <f t="shared" si="8"/>
        <v>93.948428571428565</v>
      </c>
      <c r="AC13" s="30">
        <f t="shared" si="8"/>
        <v>134.19842857142856</v>
      </c>
      <c r="AD13" s="30">
        <f t="shared" si="8"/>
        <v>136.14442857142856</v>
      </c>
      <c r="AR13" s="183" t="s">
        <v>782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782</v>
      </c>
      <c r="AT14" s="2" t="s">
        <v>788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788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788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789</v>
      </c>
      <c r="B15" s="168" t="s">
        <v>790</v>
      </c>
      <c r="C15" s="168" t="s">
        <v>791</v>
      </c>
      <c r="D15" s="169" t="s">
        <v>792</v>
      </c>
      <c r="E15" s="169" t="s">
        <v>793</v>
      </c>
      <c r="F15" s="168" t="s">
        <v>794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574</v>
      </c>
      <c r="B16" s="185">
        <f>Scénario!K56</f>
        <v>3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186.66666666666666</v>
      </c>
      <c r="H16" t="s">
        <v>795</v>
      </c>
      <c r="AR16" s="183"/>
      <c r="AT16" s="184" t="str">
        <f t="shared" ref="AT16:AT24" si="14">AT27</f>
        <v>Brebis laitières tardives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0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0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588</v>
      </c>
      <c r="B17" s="185">
        <f>Scénario!K63</f>
        <v>0</v>
      </c>
      <c r="C17" s="185">
        <f>VALUE(LEFT(Scénario!K64,1))</f>
        <v>1</v>
      </c>
      <c r="D17" s="185">
        <f>IF(B17&gt;0,VLOOKUP(C17,[1]Trav!$A$86:$D$90,4),0)</f>
        <v>0</v>
      </c>
      <c r="E17" s="185">
        <f>Scénario!K61*2</f>
        <v>0</v>
      </c>
      <c r="F17" s="170">
        <f t="shared" ref="F17:F18" si="15">IF(B17&gt;0,D17*E17/B17,0)</f>
        <v>0</v>
      </c>
      <c r="AR17" s="183"/>
      <c r="AT17" s="184" t="str">
        <f t="shared" si="14"/>
        <v>Brebis vides</v>
      </c>
      <c r="AV17" s="170">
        <f t="shared" si="9"/>
        <v>1</v>
      </c>
      <c r="AW17" s="170">
        <f t="shared" si="9"/>
        <v>1</v>
      </c>
      <c r="AX17" s="170">
        <f t="shared" si="9"/>
        <v>1</v>
      </c>
      <c r="AY17" s="170">
        <f t="shared" si="9"/>
        <v>1</v>
      </c>
      <c r="AZ17" s="170">
        <f t="shared" si="9"/>
        <v>1</v>
      </c>
      <c r="BA17" s="170">
        <f t="shared" si="9"/>
        <v>1</v>
      </c>
      <c r="BB17" s="170">
        <f t="shared" si="9"/>
        <v>1</v>
      </c>
      <c r="BC17" s="170">
        <f t="shared" si="9"/>
        <v>1</v>
      </c>
      <c r="BD17" s="170">
        <f t="shared" si="9"/>
        <v>1</v>
      </c>
      <c r="BE17" s="170">
        <f t="shared" si="9"/>
        <v>1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1</v>
      </c>
      <c r="BR17" s="170">
        <f t="shared" si="9"/>
        <v>1</v>
      </c>
      <c r="BS17" s="170">
        <f t="shared" si="9"/>
        <v>1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595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796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574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588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595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797</v>
      </c>
      <c r="AU25" s="179"/>
      <c r="BZ25" s="186" t="s">
        <v>797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797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798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Brebis laitières tardives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644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782</v>
      </c>
      <c r="AT28" s="184" t="str">
        <f>CdTrp1!A17</f>
        <v>Brebis vides</v>
      </c>
      <c r="AU28" s="187" t="str">
        <f>Scénario!K98</f>
        <v>fort</v>
      </c>
      <c r="AV28" s="170">
        <f t="shared" si="17"/>
        <v>2</v>
      </c>
      <c r="AW28" s="170">
        <f t="shared" si="17"/>
        <v>2</v>
      </c>
      <c r="AX28" s="170">
        <f t="shared" si="17"/>
        <v>2</v>
      </c>
      <c r="AY28" s="170">
        <f t="shared" si="17"/>
        <v>2</v>
      </c>
      <c r="AZ28" s="170">
        <f t="shared" si="17"/>
        <v>2</v>
      </c>
      <c r="BA28" s="170">
        <f t="shared" si="17"/>
        <v>2</v>
      </c>
      <c r="BB28" s="170">
        <f t="shared" si="17"/>
        <v>2</v>
      </c>
      <c r="BC28" s="170">
        <f t="shared" si="17"/>
        <v>2</v>
      </c>
      <c r="BD28" s="170">
        <f t="shared" si="17"/>
        <v>2</v>
      </c>
      <c r="BE28" s="170">
        <f t="shared" si="17"/>
        <v>2</v>
      </c>
      <c r="BF28" s="170">
        <f t="shared" si="17"/>
        <v>2</v>
      </c>
      <c r="BG28" s="170">
        <f t="shared" si="17"/>
        <v>2</v>
      </c>
      <c r="BH28" s="170">
        <f t="shared" si="17"/>
        <v>2</v>
      </c>
      <c r="BI28" s="170">
        <f t="shared" si="17"/>
        <v>2</v>
      </c>
      <c r="BJ28" s="170">
        <f t="shared" si="17"/>
        <v>2</v>
      </c>
      <c r="BK28" s="170">
        <f t="shared" si="17"/>
        <v>2</v>
      </c>
      <c r="BL28" s="170">
        <f t="shared" si="18"/>
        <v>2</v>
      </c>
      <c r="BM28" s="170">
        <f t="shared" si="18"/>
        <v>2</v>
      </c>
      <c r="BN28" s="170">
        <f t="shared" si="18"/>
        <v>2</v>
      </c>
      <c r="BO28" s="170">
        <f t="shared" si="18"/>
        <v>2</v>
      </c>
      <c r="BP28" s="170">
        <f t="shared" si="18"/>
        <v>2</v>
      </c>
      <c r="BQ28" s="170">
        <f t="shared" si="18"/>
        <v>2</v>
      </c>
      <c r="BR28" s="170">
        <f t="shared" si="18"/>
        <v>2</v>
      </c>
      <c r="BS28" s="170">
        <f t="shared" si="18"/>
        <v>2</v>
      </c>
      <c r="BU28">
        <v>1</v>
      </c>
      <c r="BV28" t="s">
        <v>645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782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799</v>
      </c>
      <c r="B30" s="188" t="s">
        <v>800</v>
      </c>
      <c r="C30" s="188" t="s">
        <v>801</v>
      </c>
      <c r="D30" s="189"/>
      <c r="E30" s="189"/>
      <c r="AR30" s="183" t="s">
        <v>782</v>
      </c>
      <c r="AT30" s="184" t="str">
        <f>CdTrp1!A19</f>
        <v>Béliers</v>
      </c>
      <c r="AU30" s="187" t="str">
        <f>Scénario!K100</f>
        <v>fort</v>
      </c>
      <c r="AV30" s="170">
        <f t="shared" si="17"/>
        <v>2</v>
      </c>
      <c r="AW30" s="170">
        <f t="shared" si="17"/>
        <v>2</v>
      </c>
      <c r="AX30" s="170">
        <f t="shared" si="17"/>
        <v>2</v>
      </c>
      <c r="AY30" s="170">
        <f t="shared" si="17"/>
        <v>2</v>
      </c>
      <c r="AZ30" s="170">
        <f t="shared" si="17"/>
        <v>2</v>
      </c>
      <c r="BA30" s="170">
        <f t="shared" si="17"/>
        <v>2</v>
      </c>
      <c r="BB30" s="170">
        <f t="shared" si="17"/>
        <v>2</v>
      </c>
      <c r="BC30" s="170">
        <f t="shared" si="17"/>
        <v>2</v>
      </c>
      <c r="BD30" s="170">
        <f t="shared" si="17"/>
        <v>2</v>
      </c>
      <c r="BE30" s="170">
        <f t="shared" si="17"/>
        <v>2</v>
      </c>
      <c r="BF30" s="170">
        <f t="shared" si="17"/>
        <v>2</v>
      </c>
      <c r="BG30" s="170">
        <f t="shared" si="17"/>
        <v>2</v>
      </c>
      <c r="BH30" s="170">
        <f t="shared" si="17"/>
        <v>2</v>
      </c>
      <c r="BI30" s="170">
        <f t="shared" si="17"/>
        <v>2</v>
      </c>
      <c r="BJ30" s="170">
        <f t="shared" si="17"/>
        <v>2</v>
      </c>
      <c r="BK30" s="170">
        <f t="shared" si="17"/>
        <v>2</v>
      </c>
      <c r="BL30" s="170">
        <f t="shared" si="18"/>
        <v>2</v>
      </c>
      <c r="BM30" s="170">
        <f t="shared" si="18"/>
        <v>2</v>
      </c>
      <c r="BN30" s="170">
        <f t="shared" si="18"/>
        <v>2</v>
      </c>
      <c r="BO30" s="170">
        <f t="shared" si="18"/>
        <v>2</v>
      </c>
      <c r="BP30" s="170">
        <f t="shared" si="18"/>
        <v>2</v>
      </c>
      <c r="BQ30" s="170">
        <f t="shared" si="18"/>
        <v>2</v>
      </c>
      <c r="BR30" s="170">
        <f t="shared" si="18"/>
        <v>2</v>
      </c>
      <c r="BS30" s="170">
        <f t="shared" si="18"/>
        <v>2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574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782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588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782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595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782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802</v>
      </c>
      <c r="B34" s="188" t="s">
        <v>803</v>
      </c>
      <c r="C34" s="188" t="s">
        <v>804</v>
      </c>
      <c r="D34" s="188" t="s">
        <v>805</v>
      </c>
      <c r="E34" s="189"/>
      <c r="F34" s="33"/>
      <c r="AR34" s="183" t="s">
        <v>782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574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782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588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782</v>
      </c>
      <c r="AT36" s="2" t="s">
        <v>758</v>
      </c>
      <c r="BZ36" s="2" t="s">
        <v>758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758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595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782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806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807</v>
      </c>
      <c r="B38" s="190" t="s">
        <v>808</v>
      </c>
      <c r="C38" s="190" t="s">
        <v>809</v>
      </c>
      <c r="D38" s="189"/>
      <c r="E38" s="189"/>
      <c r="F38" s="33"/>
      <c r="AR38" s="183" t="s">
        <v>782</v>
      </c>
      <c r="AT38" s="259" t="str">
        <f>CdTrp1!$A53</f>
        <v>Brebis laitières tardives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0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0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810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574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782</v>
      </c>
      <c r="AT39" s="259" t="str">
        <f>CdTrp1!$A54</f>
        <v>Brebis vides</v>
      </c>
      <c r="AU39" s="32"/>
      <c r="AV39" s="170">
        <f>IF(CdTrp1!B54=1,3,IF(CdTrp1!B54=0.5,2,IF(CdTrp1!B54=0,1,0)))</f>
        <v>2</v>
      </c>
      <c r="AW39" s="170">
        <f>IF(CdTrp1!C54=1,3,IF(CdTrp1!C54=0.5,2,IF(CdTrp1!C54=0,1,0)))</f>
        <v>2</v>
      </c>
      <c r="AX39" s="170">
        <f>IF(CdTrp1!D54=1,3,IF(CdTrp1!D54=0.5,2,IF(CdTrp1!D54=0,1,0)))</f>
        <v>2</v>
      </c>
      <c r="AY39" s="170">
        <f>IF(CdTrp1!E54=1,3,IF(CdTrp1!E54=0.5,2,IF(CdTrp1!E54=0,1,0)))</f>
        <v>2</v>
      </c>
      <c r="AZ39" s="170">
        <f>IF(CdTrp1!F54=1,3,IF(CdTrp1!F54=0.5,2,IF(CdTrp1!F54=0,1,0)))</f>
        <v>2</v>
      </c>
      <c r="BA39" s="170">
        <f>IF(CdTrp1!G54=1,3,IF(CdTrp1!G54=0.5,2,IF(CdTrp1!G54=0,1,0)))</f>
        <v>2</v>
      </c>
      <c r="BB39" s="170">
        <f>IF(CdTrp1!H54=1,3,IF(CdTrp1!H54=0.5,2,IF(CdTrp1!H54=0,1,0)))</f>
        <v>2</v>
      </c>
      <c r="BC39" s="170">
        <f>IF(CdTrp1!I54=1,3,IF(CdTrp1!I54=0.5,2,IF(CdTrp1!I54=0,1,0)))</f>
        <v>2</v>
      </c>
      <c r="BD39" s="170">
        <f>IF(CdTrp1!J54=1,3,IF(CdTrp1!J54=0.5,2,IF(CdTrp1!J54=0,1,0)))</f>
        <v>2</v>
      </c>
      <c r="BE39" s="170">
        <f>IF(CdTrp1!K54=1,3,IF(CdTrp1!K54=0.5,2,IF(CdTrp1!K54=0,1,0)))</f>
        <v>2</v>
      </c>
      <c r="BF39" s="170">
        <f>IF(CdTrp1!L54=1,3,IF(CdTrp1!L54=0.5,2,IF(CdTrp1!L54=0,1,0)))</f>
        <v>0</v>
      </c>
      <c r="BG39" s="170">
        <f>IF(CdTrp1!M54=1,3,IF(CdTrp1!M54=0.5,2,IF(CdTrp1!M54=0,1,0)))</f>
        <v>0</v>
      </c>
      <c r="BH39" s="170">
        <f>IF(CdTrp1!N54=1,3,IF(CdTrp1!N54=0.5,2,IF(CdTrp1!N54=0,1,0)))</f>
        <v>0</v>
      </c>
      <c r="BI39" s="170">
        <f>IF(CdTrp1!O54=1,3,IF(CdTrp1!O54=0.5,2,IF(CdTrp1!O54=0,1,0)))</f>
        <v>0</v>
      </c>
      <c r="BJ39" s="170">
        <f>IF(CdTrp1!P54=1,3,IF(CdTrp1!P54=0.5,2,IF(CdTrp1!P54=0,1,0)))</f>
        <v>0</v>
      </c>
      <c r="BK39" s="170">
        <f>IF(CdTrp1!Q54=1,3,IF(CdTrp1!Q54=0.5,2,IF(CdTrp1!Q54=0,1,0)))</f>
        <v>0</v>
      </c>
      <c r="BL39" s="170">
        <f>IF(CdTrp1!R54=1,3,IF(CdTrp1!R54=0.5,2,IF(CdTrp1!R54=0,1,0)))</f>
        <v>0</v>
      </c>
      <c r="BM39" s="170">
        <f>IF(CdTrp1!S54=1,3,IF(CdTrp1!S54=0.5,2,IF(CdTrp1!S54=0,1,0)))</f>
        <v>0</v>
      </c>
      <c r="BN39" s="170">
        <f>IF(CdTrp1!T54=1,3,IF(CdTrp1!T54=0.5,2,IF(CdTrp1!T54=0,1,0)))</f>
        <v>0</v>
      </c>
      <c r="BO39" s="170">
        <f>IF(CdTrp1!U54=1,3,IF(CdTrp1!U54=0.5,2,IF(CdTrp1!U54=0,1,0)))</f>
        <v>0</v>
      </c>
      <c r="BP39" s="170">
        <f>IF(CdTrp1!V54=1,3,IF(CdTrp1!V54=0.5,2,IF(CdTrp1!V54=0,1,0)))</f>
        <v>0</v>
      </c>
      <c r="BQ39" s="170">
        <f>IF(CdTrp1!W54=1,3,IF(CdTrp1!W54=0.5,2,IF(CdTrp1!W54=0,1,0)))</f>
        <v>2</v>
      </c>
      <c r="BR39" s="170">
        <f>IF(CdTrp1!X54=1,3,IF(CdTrp1!X54=0.5,2,IF(CdTrp1!X54=0,1,0)))</f>
        <v>2</v>
      </c>
      <c r="BS39" s="170">
        <f>IF(CdTrp1!Y54=1,3,IF(CdTrp1!Y54=0.5,2,IF(CdTrp1!Y54=0,1,0)))</f>
        <v>2</v>
      </c>
      <c r="BU39">
        <v>1</v>
      </c>
      <c r="BV39" t="s">
        <v>811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782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2</v>
      </c>
      <c r="BE40" s="170">
        <f>IF(CdTrp1!K55=1,3,IF(CdTrp1!K55=0.5,2,IF(CdTrp1!K55=0,1,0)))</f>
        <v>2</v>
      </c>
      <c r="BF40" s="170">
        <f>IF(CdTrp1!L55=1,3,IF(CdTrp1!L55=0.5,2,IF(CdTrp1!L55=0,1,0)))</f>
        <v>2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2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2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782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2</v>
      </c>
      <c r="BA41" s="170">
        <f>IF(CdTrp1!G56=1,3,IF(CdTrp1!G56=0.5,2,IF(CdTrp1!G56=0,1,0)))</f>
        <v>2</v>
      </c>
      <c r="BB41" s="170">
        <f>IF(CdTrp1!H56=1,3,IF(CdTrp1!H56=0.5,2,IF(CdTrp1!H56=0,1,0)))</f>
        <v>2</v>
      </c>
      <c r="BC41" s="170">
        <f>IF(CdTrp1!I56=1,3,IF(CdTrp1!I56=0.5,2,IF(CdTrp1!I56=0,1,0)))</f>
        <v>2</v>
      </c>
      <c r="BD41" s="170">
        <f>IF(CdTrp1!J56=1,3,IF(CdTrp1!J56=0.5,2,IF(CdTrp1!J56=0,1,0)))</f>
        <v>2</v>
      </c>
      <c r="BE41" s="170">
        <f>IF(CdTrp1!K56=1,3,IF(CdTrp1!K56=0.5,2,IF(CdTrp1!K56=0,1,0)))</f>
        <v>2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812</v>
      </c>
      <c r="B42" s="2"/>
      <c r="F42" s="33"/>
      <c r="AR42" s="183" t="s">
        <v>782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574</v>
      </c>
      <c r="AR43" s="183" t="s">
        <v>782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588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782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595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782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782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782</v>
      </c>
      <c r="AT47" s="2" t="s">
        <v>813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813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813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814</v>
      </c>
      <c r="AR48" s="183" t="s">
        <v>782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1</v>
      </c>
      <c r="CF48" s="170">
        <f>IF(CdTrp2!F76=1,1,IF(CdTrp2!F76=2,2,IF(CdTrp2!F76=3,2,0)))</f>
        <v>1</v>
      </c>
      <c r="CG48" s="170">
        <f>IF(CdTrp2!G76=1,1,IF(CdTrp2!G76=2,2,IF(CdTrp2!G76=3,2,0)))</f>
        <v>1</v>
      </c>
      <c r="CH48" s="170">
        <f>IF(CdTrp2!H76=1,1,IF(CdTrp2!H76=2,2,IF(CdTrp2!H76=3,2,0)))</f>
        <v>1</v>
      </c>
      <c r="CI48" s="170">
        <f>IF(CdTrp2!I76=1,1,IF(CdTrp2!I76=2,2,IF(CdTrp2!I76=3,2,0)))</f>
        <v>1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1</v>
      </c>
      <c r="CM48" s="170">
        <f>IF(CdTrp2!M76=1,1,IF(CdTrp2!M76=2,2,IF(CdTrp2!M76=3,2,0)))</f>
        <v>1</v>
      </c>
      <c r="CN48" s="170">
        <f>IF(CdTrp2!N76=1,1,IF(CdTrp2!N76=2,2,IF(CdTrp2!N76=3,2,0)))</f>
        <v>1</v>
      </c>
      <c r="CO48" s="170">
        <f>IF(CdTrp2!O76=1,1,IF(CdTrp2!O76=2,2,IF(CdTrp2!O76=3,2,0)))</f>
        <v>1</v>
      </c>
      <c r="CP48" s="170">
        <f>IF(CdTrp2!P76=1,1,IF(CdTrp2!P76=2,2,IF(CdTrp2!P76=3,2,0)))</f>
        <v>1</v>
      </c>
      <c r="CQ48" s="170">
        <f>IF(CdTrp2!Q76=1,1,IF(CdTrp2!Q76=2,2,IF(CdTrp2!Q76=3,2,0)))</f>
        <v>1</v>
      </c>
      <c r="CR48" s="170">
        <f>IF(CdTrp2!R76=1,1,IF(CdTrp2!R76=2,2,IF(CdTrp2!R76=3,2,0)))</f>
        <v>0</v>
      </c>
      <c r="CS48" s="170">
        <f>IF(CdTrp2!S76=1,1,IF(CdTrp2!S76=2,2,IF(CdTrp2!S76=3,2,0)))</f>
        <v>1</v>
      </c>
      <c r="CT48" s="170">
        <f>IF(CdTrp2!T76=1,1,IF(CdTrp2!T76=2,2,IF(CdTrp2!T76=3,2,0)))</f>
        <v>1</v>
      </c>
      <c r="CU48" s="170">
        <f>IF(CdTrp2!U76=1,1,IF(CdTrp2!U76=2,2,IF(CdTrp2!U76=3,2,0)))</f>
        <v>1</v>
      </c>
      <c r="CV48" s="170">
        <f>IF(CdTrp2!V76=1,1,IF(CdTrp2!V76=2,2,IF(CdTrp2!V76=3,2,0)))</f>
        <v>1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815</v>
      </c>
      <c r="B49" s="168" t="s">
        <v>51</v>
      </c>
      <c r="C49" t="s">
        <v>816</v>
      </c>
      <c r="AR49" s="183" t="s">
        <v>782</v>
      </c>
      <c r="AT49" s="184" t="str">
        <f t="shared" ref="AT49:AT57" si="31">AT38</f>
        <v>Brebis laitières tardives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0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0</v>
      </c>
      <c r="BR49" s="170">
        <f>IF(CdTrp1!X77=1,1,IF(CdTrp1!X77=2,2,IF(CdTrp1!X77=3,2,0)))</f>
        <v>2</v>
      </c>
      <c r="BS49" s="170">
        <f>IF(CdTrp1!Y77=1,1,IF(CdTrp1!Y77=2,2,IF(CdTrp1!Y77=3,2,0)))</f>
        <v>2</v>
      </c>
      <c r="BU49">
        <v>2</v>
      </c>
      <c r="BV49" t="s">
        <v>817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2</v>
      </c>
      <c r="CG49" s="170">
        <f>IF(CdTrp2!G77=1,1,IF(CdTrp2!G77=2,2,IF(CdTrp2!G77=3,2,0)))</f>
        <v>2</v>
      </c>
      <c r="CH49" s="170">
        <f>IF(CdTrp2!H77=1,1,IF(CdTrp2!H77=2,2,IF(CdTrp2!H77=3,2,0)))</f>
        <v>2</v>
      </c>
      <c r="CI49" s="170">
        <f>IF(CdTrp2!I77=1,1,IF(CdTrp2!I77=2,2,IF(CdTrp2!I77=3,2,0)))</f>
        <v>2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2</v>
      </c>
      <c r="CM49" s="170">
        <f>IF(CdTrp2!M77=1,1,IF(CdTrp2!M77=2,2,IF(CdTrp2!M77=3,2,0)))</f>
        <v>2</v>
      </c>
      <c r="CN49" s="170">
        <f>IF(CdTrp2!N77=1,1,IF(CdTrp2!N77=2,2,IF(CdTrp2!N77=3,2,0)))</f>
        <v>2</v>
      </c>
      <c r="CO49" s="170">
        <f>IF(CdTrp2!O77=1,1,IF(CdTrp2!O77=2,2,IF(CdTrp2!O77=3,2,0)))</f>
        <v>2</v>
      </c>
      <c r="CP49" s="170">
        <f>IF(CdTrp2!P77=1,1,IF(CdTrp2!P77=2,2,IF(CdTrp2!P77=3,2,0)))</f>
        <v>2</v>
      </c>
      <c r="CQ49" s="170">
        <f>IF(CdTrp2!Q77=1,1,IF(CdTrp2!Q77=2,2,IF(CdTrp2!Q77=3,2,0)))</f>
        <v>2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2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818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782</v>
      </c>
      <c r="AT50" s="184" t="str">
        <f t="shared" si="31"/>
        <v>Brebis vides</v>
      </c>
      <c r="AU50" s="32"/>
      <c r="AV50" s="170">
        <f>IF(CdTrp1!B78=1,1,IF(CdTrp1!B78=2,2,IF(CdTrp1!B78=3,2,0)))</f>
        <v>2</v>
      </c>
      <c r="AW50" s="170">
        <f>IF(CdTrp1!C78=1,1,IF(CdTrp1!C78=2,2,IF(CdTrp1!C78=3,2,0)))</f>
        <v>2</v>
      </c>
      <c r="AX50" s="170">
        <f>IF(CdTrp1!D78=1,1,IF(CdTrp1!D78=2,2,IF(CdTrp1!D78=3,2,0)))</f>
        <v>2</v>
      </c>
      <c r="AY50" s="170">
        <f>IF(CdTrp1!E78=1,1,IF(CdTrp1!E78=2,2,IF(CdTrp1!E78=3,2,0)))</f>
        <v>2</v>
      </c>
      <c r="AZ50" s="170">
        <f>IF(CdTrp1!F78=1,1,IF(CdTrp1!F78=2,2,IF(CdTrp1!F78=3,2,0)))</f>
        <v>2</v>
      </c>
      <c r="BA50" s="170">
        <f>IF(CdTrp1!G78=1,1,IF(CdTrp1!G78=2,2,IF(CdTrp1!G78=3,2,0)))</f>
        <v>2</v>
      </c>
      <c r="BB50" s="170">
        <f>IF(CdTrp1!H78=1,1,IF(CdTrp1!H78=2,2,IF(CdTrp1!H78=3,2,0)))</f>
        <v>2</v>
      </c>
      <c r="BC50" s="170">
        <f>IF(CdTrp1!I78=1,1,IF(CdTrp1!I78=2,2,IF(CdTrp1!I78=3,2,0)))</f>
        <v>2</v>
      </c>
      <c r="BD50" s="170">
        <f>IF(CdTrp1!J78=1,1,IF(CdTrp1!J78=2,2,IF(CdTrp1!J78=3,2,0)))</f>
        <v>2</v>
      </c>
      <c r="BE50" s="170">
        <f>IF(CdTrp1!K78=1,1,IF(CdTrp1!K78=2,2,IF(CdTrp1!K78=3,2,0)))</f>
        <v>2</v>
      </c>
      <c r="BF50" s="170">
        <f>IF(CdTrp1!L78=1,1,IF(CdTrp1!L78=2,2,IF(CdTrp1!L78=3,2,0)))</f>
        <v>2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2</v>
      </c>
      <c r="BR50" s="170">
        <f>IF(CdTrp1!X78=1,1,IF(CdTrp1!X78=2,2,IF(CdTrp1!X78=3,2,0)))</f>
        <v>2</v>
      </c>
      <c r="BS50" s="170">
        <f>IF(CdTrp1!Y78=1,1,IF(CdTrp1!Y78=2,2,IF(CdTrp1!Y78=3,2,0)))</f>
        <v>2</v>
      </c>
      <c r="BU50" s="191">
        <v>4</v>
      </c>
      <c r="BV50" t="s">
        <v>819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820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782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1</v>
      </c>
      <c r="BE51" s="170">
        <f>IF(CdTrp1!K79=1,1,IF(CdTrp1!K79=2,2,IF(CdTrp1!K79=3,2,0)))</f>
        <v>1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2</v>
      </c>
      <c r="BN51" s="170">
        <f>IF(CdTrp1!T79=1,1,IF(CdTrp1!T79=2,2,IF(CdTrp1!T79=3,2,0)))</f>
        <v>2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2</v>
      </c>
      <c r="BR51" s="170">
        <f>IF(CdTrp1!X79=1,1,IF(CdTrp1!X79=2,2,IF(CdTrp1!X79=3,2,0)))</f>
        <v>2</v>
      </c>
      <c r="BS51" s="170">
        <f>IF(CdTrp1!Y79=1,1,IF(CdTrp1!Y79=2,2,IF(CdTrp1!Y79=3,2,0)))</f>
        <v>2</v>
      </c>
      <c r="BU51">
        <v>0</v>
      </c>
      <c r="BV51" t="s">
        <v>821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822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782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1</v>
      </c>
      <c r="BA52" s="170">
        <f>IF(CdTrp1!G80=1,1,IF(CdTrp1!G80=2,2,IF(CdTrp1!G80=3,2,0)))</f>
        <v>1</v>
      </c>
      <c r="BB52" s="170">
        <f>IF(CdTrp1!H80=1,1,IF(CdTrp1!H80=2,2,IF(CdTrp1!H80=3,2,0)))</f>
        <v>1</v>
      </c>
      <c r="BC52" s="170">
        <f>IF(CdTrp1!I80=1,1,IF(CdTrp1!I80=2,2,IF(CdTrp1!I80=3,2,0)))</f>
        <v>1</v>
      </c>
      <c r="BD52" s="170">
        <f>IF(CdTrp1!J80=1,1,IF(CdTrp1!J80=2,2,IF(CdTrp1!J80=3,2,0)))</f>
        <v>1</v>
      </c>
      <c r="BE52" s="170">
        <f>IF(CdTrp1!K80=1,1,IF(CdTrp1!K80=2,2,IF(CdTrp1!K80=3,2,0)))</f>
        <v>1</v>
      </c>
      <c r="BF52" s="170">
        <f>IF(CdTrp1!L80=1,1,IF(CdTrp1!L80=2,2,IF(CdTrp1!L80=3,2,0)))</f>
        <v>1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823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782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824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782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825</v>
      </c>
      <c r="B55" s="170">
        <f>Scénario!M28*(1-Scénario!K31/100)</f>
        <v>18.64</v>
      </c>
      <c r="C55" s="185">
        <f>IF(B55&gt;[1]Trav!E121,[1]Trav!C121,[1]Trav!B121)</f>
        <v>7.2</v>
      </c>
      <c r="D55"/>
      <c r="E55" s="169"/>
      <c r="F55" s="170">
        <f t="shared" si="32"/>
        <v>134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782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826</v>
      </c>
      <c r="B56" s="170">
        <f>Scénario!M29</f>
        <v>10.8</v>
      </c>
      <c r="C56" s="185">
        <f>IF(B56&gt;[1]Trav!E121,[1]Trav!C121,[1]Trav!B121)</f>
        <v>7.2</v>
      </c>
      <c r="D56"/>
      <c r="E56" s="169"/>
      <c r="F56" s="170">
        <f t="shared" si="32"/>
        <v>78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782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827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782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828</v>
      </c>
      <c r="B58" s="174">
        <f>Scénario!M28-Travail!B55</f>
        <v>4.66</v>
      </c>
      <c r="C58" s="185">
        <f>IF(B58&gt;[1]Trav!E122,[1]Trav!C122,[1]Trav!B122)</f>
        <v>4.4000000000000004</v>
      </c>
      <c r="E58" s="169"/>
      <c r="F58" s="170">
        <f t="shared" si="32"/>
        <v>21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782</v>
      </c>
      <c r="AT58" s="40" t="s">
        <v>829</v>
      </c>
      <c r="AU58" s="14"/>
      <c r="BZ58" s="40" t="s">
        <v>829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829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830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782</v>
      </c>
      <c r="AT59" s="14" t="s">
        <v>831</v>
      </c>
      <c r="AU59" s="30">
        <f>VALUE(CONCATENATE(Scénario!K8,Travail!AU2))</f>
        <v>21</v>
      </c>
      <c r="BZ59" s="14" t="s">
        <v>831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831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832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782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210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833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221</v>
      </c>
      <c r="CF60" s="170">
        <f>IF(CF15=0,0,IF(CF37=3,0,VALUE(CONCATENATE(Travail!CF26,Travail!CF37,Travail!CF48))))</f>
        <v>221</v>
      </c>
      <c r="CG60" s="170">
        <f>IF(CG15=0,0,IF(CG37=3,0,VALUE(CONCATENATE(Travail!CG26,Travail!CG37,Travail!CG48))))</f>
        <v>221</v>
      </c>
      <c r="CH60" s="170">
        <f>IF(CH15=0,0,IF(CH37=3,0,VALUE(CONCATENATE(Travail!CH26,Travail!CH37,Travail!CH48))))</f>
        <v>221</v>
      </c>
      <c r="CI60" s="170">
        <f>IF(CI15=0,0,IF(CI37=3,0,VALUE(CONCATENATE(Travail!CI26,Travail!CI37,Travail!CI48))))</f>
        <v>221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211</v>
      </c>
      <c r="CM60" s="170">
        <f>IF(CM15=0,0,IF(CM37=3,0,VALUE(CONCATENATE(Travail!CM26,Travail!CM37,Travail!CM48))))</f>
        <v>211</v>
      </c>
      <c r="CN60" s="170">
        <f>IF(CN15=0,0,IF(CN37=3,0,VALUE(CONCATENATE(Travail!CN26,Travail!CN37,Travail!CN48))))</f>
        <v>211</v>
      </c>
      <c r="CO60" s="170">
        <f>IF(CO15=0,0,IF(CO37=3,0,VALUE(CONCATENATE(Travail!CO26,Travail!CO37,Travail!CO48))))</f>
        <v>211</v>
      </c>
      <c r="CP60" s="170">
        <f>IF(CP15=0,0,IF(CP37=3,0,VALUE(CONCATENATE(Travail!CP26,Travail!CP37,Travail!CP48))))</f>
        <v>211</v>
      </c>
      <c r="CQ60" s="170">
        <f>IF(CQ15=0,0,IF(CQ37=3,0,VALUE(CONCATENATE(Travail!CQ26,Travail!CQ37,Travail!CQ48))))</f>
        <v>211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211</v>
      </c>
      <c r="CT60" s="170">
        <f>IF(CT15=0,0,IF(CT37=3,0,VALUE(CONCATENATE(Travail!CT26,Travail!CT37,Travail!CT48))))</f>
        <v>211</v>
      </c>
      <c r="CU60" s="170">
        <f>IF(CU15=0,0,IF(CU37=3,0,VALUE(CONCATENATE(Travail!CU26,Travail!CU37,Travail!CU48))))</f>
        <v>211</v>
      </c>
      <c r="CV60" s="170">
        <f>IF(CV15=0,0,IF(CV37=3,0,VALUE(CONCATENATE(Travail!CV26,Travail!CV37,Travail!CV48))))</f>
        <v>211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834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782</v>
      </c>
      <c r="AT61" s="184" t="str">
        <f>+AT49</f>
        <v>Brebis laitières tardives</v>
      </c>
      <c r="AV61" s="170">
        <f>IF(AV16=0,0,IF(AV38=3,0,VALUE(CONCATENATE(Travail!AV27,Travail!AV38,Travail!AV49))))</f>
        <v>221</v>
      </c>
      <c r="AW61" s="170">
        <f>IF(AW16=0,0,IF(AW38=3,0,VALUE(CONCATENATE(Travail!AW27,Travail!AW38,Travail!AW49))))</f>
        <v>221</v>
      </c>
      <c r="AX61" s="170">
        <f>IF(AX16=0,0,IF(AX38=3,0,VALUE(CONCATENATE(Travail!AX27,Travail!AX38,Travail!AX49))))</f>
        <v>221</v>
      </c>
      <c r="AY61" s="170">
        <f>IF(AY16=0,0,IF(AY38=3,0,VALUE(CONCATENATE(Travail!AY27,Travail!AY38,Travail!AY49))))</f>
        <v>221</v>
      </c>
      <c r="AZ61" s="170">
        <f>IF(AZ16=0,0,IF(AZ38=3,0,VALUE(CONCATENATE(Travail!AZ27,Travail!AZ38,Travail!AZ49))))</f>
        <v>221</v>
      </c>
      <c r="BA61" s="170">
        <f>IF(BA16=0,0,IF(BA38=3,0,VALUE(CONCATENATE(Travail!BA27,Travail!BA38,Travail!BA49))))</f>
        <v>221</v>
      </c>
      <c r="BB61" s="170">
        <f>IF(BB16=0,0,IF(BB38=3,0,VALUE(CONCATENATE(Travail!BB27,Travail!BB38,Travail!BB49))))</f>
        <v>221</v>
      </c>
      <c r="BC61" s="170">
        <f>IF(BC16=0,0,IF(BC38=3,0,VALUE(CONCATENATE(Travail!BC27,Travail!BC38,Travail!BC49))))</f>
        <v>221</v>
      </c>
      <c r="BD61" s="170">
        <f>IF(BD16=0,0,IF(BD38=3,0,VALUE(CONCATENATE(Travail!BD27,Travail!BD38,Travail!BD49))))</f>
        <v>221</v>
      </c>
      <c r="BE61" s="170">
        <f>IF(BE16=0,0,IF(BE38=3,0,VALUE(CONCATENATE(Travail!BE27,Travail!BE38,Travail!BE49))))</f>
        <v>0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0</v>
      </c>
      <c r="BR61" s="170">
        <f>IF(BR16=0,0,IF(BR38=3,0,VALUE(CONCATENATE(Travail!BR27,Travail!BR38,Travail!BR49))))</f>
        <v>222</v>
      </c>
      <c r="BS61" s="170">
        <f>IF(BS16=0,0,IF(BS38=3,0,VALUE(CONCATENATE(Travail!BS27,Travail!BS38,Travail!BS49))))</f>
        <v>222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112</v>
      </c>
      <c r="CG61" s="170">
        <f>IF(CG16=0,0,IF(CG38=3,0,VALUE(CONCATENATE(Travail!CG27,Travail!CG38,Travail!CG49))))</f>
        <v>112</v>
      </c>
      <c r="CH61" s="170">
        <f>IF(CH16=0,0,IF(CH38=3,0,VALUE(CONCATENATE(Travail!CH27,Travail!CH38,Travail!CH49))))</f>
        <v>112</v>
      </c>
      <c r="CI61" s="170">
        <f>IF(CI16=0,0,IF(CI38=3,0,VALUE(CONCATENATE(Travail!CI27,Travail!CI38,Travail!CI49))))</f>
        <v>112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112</v>
      </c>
      <c r="CM61" s="170">
        <f>IF(CM16=0,0,IF(CM38=3,0,VALUE(CONCATENATE(Travail!CM27,Travail!CM38,Travail!CM49))))</f>
        <v>112</v>
      </c>
      <c r="CN61" s="170">
        <f>IF(CN16=0,0,IF(CN38=3,0,VALUE(CONCATENATE(Travail!CN27,Travail!CN38,Travail!CN49))))</f>
        <v>112</v>
      </c>
      <c r="CO61" s="170">
        <f>IF(CO16=0,0,IF(CO38=3,0,VALUE(CONCATENATE(Travail!CO27,Travail!CO38,Travail!CO49))))</f>
        <v>112</v>
      </c>
      <c r="CP61" s="170">
        <f>IF(CP16=0,0,IF(CP38=3,0,VALUE(CONCATENATE(Travail!CP27,Travail!CP38,Travail!CP49))))</f>
        <v>112</v>
      </c>
      <c r="CQ61" s="170">
        <f>IF(CQ16=0,0,IF(CQ38=3,0,VALUE(CONCATENATE(Travail!CQ27,Travail!CQ38,Travail!CQ49))))</f>
        <v>112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112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835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782</v>
      </c>
      <c r="AS62" s="17"/>
      <c r="AT62" s="184" t="str">
        <f>+AT50</f>
        <v>Brebis vides</v>
      </c>
      <c r="AV62" s="170">
        <f>IF(AV17=0,0,IF(AV39=3,0,VALUE(CONCATENATE(Travail!AV28,Travail!AV39,Travail!AV50))))</f>
        <v>222</v>
      </c>
      <c r="AW62" s="170">
        <f>IF(AW17=0,0,IF(AW39=3,0,VALUE(CONCATENATE(Travail!AW28,Travail!AW39,Travail!AW50))))</f>
        <v>222</v>
      </c>
      <c r="AX62" s="170">
        <f>IF(AX17=0,0,IF(AX39=3,0,VALUE(CONCATENATE(Travail!AX28,Travail!AX39,Travail!AX50))))</f>
        <v>222</v>
      </c>
      <c r="AY62" s="170">
        <f>IF(AY17=0,0,IF(AY39=3,0,VALUE(CONCATENATE(Travail!AY28,Travail!AY39,Travail!AY50))))</f>
        <v>222</v>
      </c>
      <c r="AZ62" s="170">
        <f>IF(AZ17=0,0,IF(AZ39=3,0,VALUE(CONCATENATE(Travail!AZ28,Travail!AZ39,Travail!AZ50))))</f>
        <v>222</v>
      </c>
      <c r="BA62" s="170">
        <f>IF(BA17=0,0,IF(BA39=3,0,VALUE(CONCATENATE(Travail!BA28,Travail!BA39,Travail!BA50))))</f>
        <v>222</v>
      </c>
      <c r="BB62" s="170">
        <f>IF(BB17=0,0,IF(BB39=3,0,VALUE(CONCATENATE(Travail!BB28,Travail!BB39,Travail!BB50))))</f>
        <v>222</v>
      </c>
      <c r="BC62" s="170">
        <f>IF(BC17=0,0,IF(BC39=3,0,VALUE(CONCATENATE(Travail!BC28,Travail!BC39,Travail!BC50))))</f>
        <v>222</v>
      </c>
      <c r="BD62" s="170">
        <f>IF(BD17=0,0,IF(BD39=3,0,VALUE(CONCATENATE(Travail!BD28,Travail!BD39,Travail!BD50))))</f>
        <v>222</v>
      </c>
      <c r="BE62" s="170">
        <f>IF(BE17=0,0,IF(BE39=3,0,VALUE(CONCATENATE(Travail!BE28,Travail!BE39,Travail!BE50))))</f>
        <v>222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222</v>
      </c>
      <c r="BR62" s="170">
        <f>IF(BR17=0,0,IF(BR39=3,0,VALUE(CONCATENATE(Travail!BR28,Travail!BR39,Travail!BR50))))</f>
        <v>222</v>
      </c>
      <c r="BS62" s="170">
        <f>IF(BS17=0,0,IF(BS39=3,0,VALUE(CONCATENATE(Travail!BS28,Travail!BS39,Travail!BS50))))</f>
        <v>222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836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782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221</v>
      </c>
      <c r="BE63" s="170">
        <f>IF(BE18=0,0,IF(BE40=3,0,VALUE(CONCATENATE(Travail!BE29,Travail!BE40,Travail!BE51))))</f>
        <v>221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220</v>
      </c>
      <c r="BM63" s="170">
        <f>IF(BM18=0,0,IF(BM40=3,0,VALUE(CONCATENATE(Travail!BM29,Travail!BM40,Travail!BM51))))</f>
        <v>222</v>
      </c>
      <c r="BN63" s="170">
        <f>IF(BN18=0,0,IF(BN40=3,0,VALUE(CONCATENATE(Travail!BN29,Travail!BN40,Travail!BN51))))</f>
        <v>222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837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221</v>
      </c>
      <c r="BA64" s="170">
        <f>IF(BA19=0,0,IF(BA41=3,0,VALUE(CONCATENATE(Travail!BA30,Travail!BA41,Travail!BA52))))</f>
        <v>221</v>
      </c>
      <c r="BB64" s="170">
        <f>IF(BB19=0,0,IF(BB41=3,0,VALUE(CONCATENATE(Travail!BB30,Travail!BB41,Travail!BB52))))</f>
        <v>221</v>
      </c>
      <c r="BC64" s="170">
        <f>IF(BC19=0,0,IF(BC41=3,0,VALUE(CONCATENATE(Travail!BC30,Travail!BC41,Travail!BC52))))</f>
        <v>221</v>
      </c>
      <c r="BD64" s="170">
        <f>IF(BD19=0,0,IF(BD41=3,0,VALUE(CONCATENATE(Travail!BD30,Travail!BD41,Travail!BD52))))</f>
        <v>221</v>
      </c>
      <c r="BE64" s="170">
        <f>IF(BE19=0,0,IF(BE41=3,0,VALUE(CONCATENATE(Travail!BE30,Travail!BE41,Travail!BE52))))</f>
        <v>221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838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782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782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839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782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840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782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841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782</v>
      </c>
      <c r="AT70" s="40" t="s">
        <v>842</v>
      </c>
      <c r="BZ70" s="40" t="s">
        <v>842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842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843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782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844</v>
      </c>
      <c r="B72" s="5"/>
      <c r="C72" s="5"/>
      <c r="F72" s="170">
        <f t="shared" ref="F72:F73" si="39">ROUND(SUM(G72:AD72),0)</f>
        <v>290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15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15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15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25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20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15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15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782</v>
      </c>
      <c r="AT72" s="184" t="str">
        <f t="shared" ref="AT72:AT80" si="40">AT61</f>
        <v>Brebis laitières tardives</v>
      </c>
      <c r="AV72" s="170">
        <f t="shared" si="36"/>
        <v>22</v>
      </c>
      <c r="AW72" s="170">
        <f t="shared" si="36"/>
        <v>22</v>
      </c>
      <c r="AX72" s="170">
        <f t="shared" si="36"/>
        <v>22</v>
      </c>
      <c r="AY72" s="170">
        <f t="shared" si="36"/>
        <v>22</v>
      </c>
      <c r="AZ72" s="170">
        <f t="shared" si="36"/>
        <v>22</v>
      </c>
      <c r="BA72" s="170">
        <f t="shared" si="36"/>
        <v>22</v>
      </c>
      <c r="BB72" s="170">
        <f t="shared" si="36"/>
        <v>22</v>
      </c>
      <c r="BC72" s="170">
        <f t="shared" si="36"/>
        <v>22</v>
      </c>
      <c r="BD72" s="170">
        <f t="shared" si="36"/>
        <v>22</v>
      </c>
      <c r="BE72" s="170">
        <f t="shared" si="36"/>
        <v>0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0</v>
      </c>
      <c r="BR72" s="170">
        <f t="shared" si="36"/>
        <v>22</v>
      </c>
      <c r="BS72" s="170">
        <f t="shared" si="36"/>
        <v>22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845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782</v>
      </c>
      <c r="AT73" s="184" t="str">
        <f t="shared" si="40"/>
        <v>Brebis vides</v>
      </c>
      <c r="AV73" s="170">
        <f t="shared" si="36"/>
        <v>22</v>
      </c>
      <c r="AW73" s="170">
        <f t="shared" si="36"/>
        <v>22</v>
      </c>
      <c r="AX73" s="170">
        <f t="shared" si="36"/>
        <v>22</v>
      </c>
      <c r="AY73" s="170">
        <f t="shared" si="36"/>
        <v>22</v>
      </c>
      <c r="AZ73" s="170">
        <f t="shared" si="36"/>
        <v>22</v>
      </c>
      <c r="BA73" s="170">
        <f t="shared" si="36"/>
        <v>22</v>
      </c>
      <c r="BB73" s="170">
        <f t="shared" si="36"/>
        <v>22</v>
      </c>
      <c r="BC73" s="170">
        <f t="shared" si="36"/>
        <v>22</v>
      </c>
      <c r="BD73" s="170">
        <f t="shared" si="36"/>
        <v>22</v>
      </c>
      <c r="BE73" s="170">
        <f t="shared" si="36"/>
        <v>22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22</v>
      </c>
      <c r="BR73" s="170">
        <f t="shared" si="36"/>
        <v>22</v>
      </c>
      <c r="BS73" s="170">
        <f t="shared" si="36"/>
        <v>22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846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782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22</v>
      </c>
      <c r="BE74" s="170">
        <f t="shared" si="36"/>
        <v>22</v>
      </c>
      <c r="BF74" s="170">
        <f t="shared" si="36"/>
        <v>22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22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847</v>
      </c>
      <c r="F75" s="193">
        <f>IF(Protection!$AJ$8=0,0,SUM(G75:AD75))</f>
        <v>63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23</v>
      </c>
      <c r="AW75" s="170">
        <f t="shared" si="36"/>
        <v>23</v>
      </c>
      <c r="AX75" s="170">
        <f t="shared" si="36"/>
        <v>23</v>
      </c>
      <c r="AY75" s="170">
        <f t="shared" si="36"/>
        <v>23</v>
      </c>
      <c r="AZ75" s="170">
        <f t="shared" si="36"/>
        <v>22</v>
      </c>
      <c r="BA75" s="170">
        <f t="shared" si="36"/>
        <v>22</v>
      </c>
      <c r="BB75" s="170">
        <f t="shared" si="36"/>
        <v>22</v>
      </c>
      <c r="BC75" s="170">
        <f t="shared" si="36"/>
        <v>22</v>
      </c>
      <c r="BD75" s="170">
        <f t="shared" si="36"/>
        <v>22</v>
      </c>
      <c r="BE75" s="170">
        <f t="shared" si="36"/>
        <v>22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23</v>
      </c>
      <c r="BR75" s="170">
        <f t="shared" si="36"/>
        <v>23</v>
      </c>
      <c r="BS75" s="170">
        <f t="shared" si="36"/>
        <v>23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848</v>
      </c>
      <c r="F76" s="193">
        <f>IF(Protection!$AJ$8=0,0,SUM(G76:AD76))</f>
        <v>42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782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395</v>
      </c>
      <c r="G77" s="46">
        <f t="shared" ref="G77:AD77" si="43">+SUM(G69:G76)</f>
        <v>18.5</v>
      </c>
      <c r="H77" s="46">
        <f t="shared" si="43"/>
        <v>18.5</v>
      </c>
      <c r="I77" s="46">
        <f t="shared" si="43"/>
        <v>18.5</v>
      </c>
      <c r="J77" s="46">
        <f t="shared" si="43"/>
        <v>18.5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28.5</v>
      </c>
      <c r="P77" s="46">
        <f t="shared" si="43"/>
        <v>23.5</v>
      </c>
      <c r="Q77" s="46">
        <f t="shared" si="43"/>
        <v>23.5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18.5</v>
      </c>
      <c r="AC77" s="46">
        <f t="shared" si="43"/>
        <v>18.5</v>
      </c>
      <c r="AD77" s="46">
        <f t="shared" si="43"/>
        <v>18.5</v>
      </c>
      <c r="AG77" s="5"/>
      <c r="AH77" s="5"/>
      <c r="AI77" s="5"/>
      <c r="AJ77" s="5"/>
      <c r="AK77" s="5"/>
      <c r="AL77" s="5"/>
      <c r="AM77" s="5"/>
      <c r="AN77" s="5"/>
      <c r="AR77" s="183" t="s">
        <v>782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782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849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782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850</v>
      </c>
      <c r="B80" s="168" t="s">
        <v>851</v>
      </c>
      <c r="C80" s="168" t="s">
        <v>852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782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853</v>
      </c>
      <c r="B81" s="174">
        <f>ROUND(Protection!AJ8/[1]Protect!$B$11,2)</f>
        <v>1.43</v>
      </c>
      <c r="C81" s="185">
        <f>[1]Protect!$B$10</f>
        <v>4</v>
      </c>
      <c r="D81" s="169"/>
      <c r="E81" s="169"/>
      <c r="F81" s="170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782</v>
      </c>
      <c r="AT81" s="19" t="s">
        <v>854</v>
      </c>
      <c r="AV81" s="170">
        <f>COUNTIF(AV$71:AV$80,23)</f>
        <v>2</v>
      </c>
      <c r="AW81" s="170">
        <f t="shared" ref="AW81:BS81" si="44">COUNTIF(AW$71:AW$80,23)</f>
        <v>2</v>
      </c>
      <c r="AX81" s="170">
        <f t="shared" si="44"/>
        <v>2</v>
      </c>
      <c r="AY81" s="170">
        <f t="shared" si="44"/>
        <v>2</v>
      </c>
      <c r="AZ81" s="170">
        <f t="shared" si="44"/>
        <v>1</v>
      </c>
      <c r="BA81" s="170">
        <f t="shared" si="44"/>
        <v>1</v>
      </c>
      <c r="BB81" s="170">
        <f t="shared" si="44"/>
        <v>1</v>
      </c>
      <c r="BC81" s="170">
        <f t="shared" si="44"/>
        <v>1</v>
      </c>
      <c r="BD81" s="170">
        <f t="shared" si="44"/>
        <v>0</v>
      </c>
      <c r="BE81" s="170">
        <f t="shared" si="44"/>
        <v>0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1</v>
      </c>
      <c r="BR81" s="170">
        <f t="shared" si="44"/>
        <v>2</v>
      </c>
      <c r="BS81" s="170">
        <f t="shared" si="44"/>
        <v>3</v>
      </c>
      <c r="BZ81" s="19" t="s">
        <v>854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854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855</v>
      </c>
      <c r="C82" t="s">
        <v>856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782</v>
      </c>
      <c r="AT82" s="19" t="s">
        <v>857</v>
      </c>
      <c r="AV82" s="170">
        <f>COUNTIF(AV$71:AV$80,13)</f>
        <v>0</v>
      </c>
      <c r="AW82" s="170">
        <f t="shared" ref="AW82:BS82" si="47">COUNTIF(AW$71:AW$80,13)</f>
        <v>0</v>
      </c>
      <c r="AX82" s="170">
        <f t="shared" si="47"/>
        <v>0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0</v>
      </c>
      <c r="BR82" s="170">
        <f t="shared" si="47"/>
        <v>0</v>
      </c>
      <c r="BS82" s="170">
        <f t="shared" si="47"/>
        <v>0</v>
      </c>
      <c r="BZ82" s="19" t="s">
        <v>857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857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858</v>
      </c>
      <c r="B83" s="174">
        <f>Protection!AK25/1000</f>
        <v>6.0439999999999996</v>
      </c>
      <c r="C83" s="185">
        <f>[1]Protect!$B$24+[1]Protect!$B$26</f>
        <v>0.33</v>
      </c>
      <c r="D83" s="169"/>
      <c r="E83" s="169"/>
      <c r="F83" s="170">
        <f>ROUND(B83*C83,1)</f>
        <v>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782</v>
      </c>
      <c r="AT83" s="19" t="s">
        <v>859</v>
      </c>
      <c r="AV83" s="170">
        <f>COUNTIF(AV$71:AV$80,22)</f>
        <v>3</v>
      </c>
      <c r="AW83" s="170">
        <f t="shared" ref="AW83:BS83" si="50">COUNTIF(AW$71:AW$80,22)</f>
        <v>3</v>
      </c>
      <c r="AX83" s="170">
        <f t="shared" si="50"/>
        <v>3</v>
      </c>
      <c r="AY83" s="170">
        <f t="shared" si="50"/>
        <v>3</v>
      </c>
      <c r="AZ83" s="170">
        <f t="shared" si="50"/>
        <v>4</v>
      </c>
      <c r="BA83" s="170">
        <f t="shared" si="50"/>
        <v>4</v>
      </c>
      <c r="BB83" s="170">
        <f t="shared" si="50"/>
        <v>4</v>
      </c>
      <c r="BC83" s="170">
        <f t="shared" si="50"/>
        <v>4</v>
      </c>
      <c r="BD83" s="170">
        <f t="shared" si="50"/>
        <v>5</v>
      </c>
      <c r="BE83" s="170">
        <f t="shared" si="50"/>
        <v>4</v>
      </c>
      <c r="BF83" s="170">
        <f t="shared" si="50"/>
        <v>2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1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2</v>
      </c>
      <c r="BR83" s="170">
        <f t="shared" si="50"/>
        <v>2</v>
      </c>
      <c r="BS83" s="170">
        <f t="shared" si="50"/>
        <v>2</v>
      </c>
      <c r="BZ83" s="19" t="s">
        <v>859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859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860</v>
      </c>
      <c r="B84" s="5"/>
      <c r="C84" s="185">
        <f>[1]Protect!$B$25*8</f>
        <v>8</v>
      </c>
      <c r="D84" s="169"/>
      <c r="E84" s="169"/>
      <c r="F84" s="170">
        <f>ROUND(B83*C84/10,1)</f>
        <v>4.8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782</v>
      </c>
      <c r="AT84" s="19" t="s">
        <v>861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861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861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862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782</v>
      </c>
      <c r="AT85" s="40" t="s">
        <v>863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863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863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864</v>
      </c>
      <c r="B86" s="174">
        <f>IF(Scénario!K94=0,0,Scénario!K94/Scénario!K56*Scénario!K54)</f>
        <v>1.6666666666666665</v>
      </c>
      <c r="C86" s="173"/>
      <c r="D86" s="173"/>
      <c r="E86" s="173"/>
      <c r="F86" s="170">
        <f>B86*[1]Eco!$B$108*[1]Eco!$B$109</f>
        <v>399.99999999999994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782</v>
      </c>
      <c r="AT86" s="40" t="s">
        <v>865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21</v>
      </c>
      <c r="BE86" s="185">
        <f>IF(BE85=0,0,HLOOKUP(BE85,[1]Trav!$C$39:$G$59,$AU$105))</f>
        <v>21</v>
      </c>
      <c r="BF86" s="185">
        <f>IF(BF85=0,0,HLOOKUP(BF85,[1]Trav!$C$39:$G$59,$AU$105))</f>
        <v>21</v>
      </c>
      <c r="BG86" s="185">
        <f>IF(BG85=0,0,HLOOKUP(BG85,[1]Trav!$C$39:$G$59,$AU$105))</f>
        <v>0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21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865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865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866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782</v>
      </c>
      <c r="AT87" s="40" t="s">
        <v>867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0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1.75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867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867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868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868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868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869</v>
      </c>
      <c r="B90" s="5" t="s">
        <v>870</v>
      </c>
      <c r="C90" s="5"/>
      <c r="D90" s="5" t="s">
        <v>871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872</v>
      </c>
      <c r="B91" s="197">
        <f>F5+F9</f>
        <v>1668.7725714285716</v>
      </c>
      <c r="C91" s="5"/>
      <c r="D91" s="198">
        <f>B91/Troupeau!$B$17</f>
        <v>6.0027790339157256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Brebis laitières tardives</v>
      </c>
      <c r="AV91" s="170">
        <f t="shared" si="60"/>
        <v>73.755102040816325</v>
      </c>
      <c r="AW91" s="170">
        <f t="shared" si="60"/>
        <v>65.244897959183675</v>
      </c>
      <c r="AX91" s="170">
        <f t="shared" si="60"/>
        <v>56.734693877551024</v>
      </c>
      <c r="AY91" s="170">
        <f t="shared" si="60"/>
        <v>48.224489795918366</v>
      </c>
      <c r="AZ91" s="170">
        <f t="shared" si="60"/>
        <v>39.714285714285715</v>
      </c>
      <c r="BA91" s="170">
        <f t="shared" si="60"/>
        <v>31.771428571428572</v>
      </c>
      <c r="BB91" s="170">
        <f t="shared" si="60"/>
        <v>23.828571428571429</v>
      </c>
      <c r="BC91" s="170">
        <f t="shared" si="60"/>
        <v>15.885714285714286</v>
      </c>
      <c r="BD91" s="170">
        <f t="shared" si="60"/>
        <v>7.9428571428571431</v>
      </c>
      <c r="BE91" s="170">
        <f t="shared" si="60"/>
        <v>0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0</v>
      </c>
      <c r="BR91" s="170">
        <f t="shared" si="60"/>
        <v>73.755102040816325</v>
      </c>
      <c r="BS91" s="170">
        <f t="shared" si="60"/>
        <v>73.755102040816325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873</v>
      </c>
      <c r="B92" s="197">
        <f>F6+F10</f>
        <v>430.5</v>
      </c>
      <c r="C92" s="5"/>
      <c r="D92" s="198">
        <f>IF(B92=0,0,B92/Troupeau!$C$17)</f>
        <v>21.524999999999999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Brebis vides</v>
      </c>
      <c r="AV92" s="170">
        <f t="shared" si="60"/>
        <v>14.183673469387756</v>
      </c>
      <c r="AW92" s="170">
        <f t="shared" si="60"/>
        <v>14.183673469387756</v>
      </c>
      <c r="AX92" s="170">
        <f t="shared" si="60"/>
        <v>14.183673469387756</v>
      </c>
      <c r="AY92" s="170">
        <f t="shared" si="60"/>
        <v>14.183673469387756</v>
      </c>
      <c r="AZ92" s="170">
        <f t="shared" si="60"/>
        <v>14.183673469387756</v>
      </c>
      <c r="BA92" s="170">
        <f t="shared" si="60"/>
        <v>14.183673469387756</v>
      </c>
      <c r="BB92" s="170">
        <f t="shared" si="60"/>
        <v>14.183673469387756</v>
      </c>
      <c r="BC92" s="170">
        <f t="shared" si="60"/>
        <v>14.183673469387756</v>
      </c>
      <c r="BD92" s="170">
        <f t="shared" si="60"/>
        <v>14.183673469387756</v>
      </c>
      <c r="BE92" s="170">
        <f t="shared" si="60"/>
        <v>14.183673469387756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14.183673469387756</v>
      </c>
      <c r="BR92" s="170">
        <f t="shared" si="60"/>
        <v>14.183673469387756</v>
      </c>
      <c r="BS92" s="170">
        <f t="shared" si="60"/>
        <v>14.183673469387756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874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55.6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875</v>
      </c>
      <c r="B94" s="199">
        <f>SUM(B91:B93)</f>
        <v>2099.2725714285716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876</v>
      </c>
      <c r="B95" s="30">
        <f>F16+F20</f>
        <v>186.66666666666666</v>
      </c>
      <c r="C95" s="5"/>
      <c r="D95" s="198">
        <f>B95/Troupeau!$B$17</f>
        <v>0.67146282973621096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877</v>
      </c>
      <c r="B96" s="30">
        <f>F17+F21</f>
        <v>48</v>
      </c>
      <c r="C96" s="5"/>
      <c r="D96" s="198">
        <f>IF(B96=0,0,B96/Troupeau!$C$17)</f>
        <v>2.4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878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879</v>
      </c>
      <c r="B98" s="46">
        <f>SUM(B95:B97)</f>
        <v>234.66666666666666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880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338.13877551020414</v>
      </c>
      <c r="AX99" s="62">
        <f t="shared" si="68"/>
        <v>336.43673469387761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314.87755102040819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55.6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881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882</v>
      </c>
      <c r="AV100" s="170">
        <f>IF($AT$2="OL",AV99/50,AV99/10)</f>
        <v>6.7968163265306121</v>
      </c>
      <c r="AW100" s="170">
        <f t="shared" ref="AW100:BS100" si="71">IF($AT$2="OL",AW99/50,AW99/10)</f>
        <v>6.762775510204083</v>
      </c>
      <c r="AX100" s="170">
        <f t="shared" si="71"/>
        <v>6.7287346938775521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6.2975510204081635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0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1.1120000000000001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882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882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883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884</v>
      </c>
      <c r="AV101" s="170">
        <f>IF(AV100&gt;1,AV100-1,0)</f>
        <v>5.7968163265306121</v>
      </c>
      <c r="AW101" s="170">
        <f t="shared" ref="AW101:BS101" si="74">IF(AW100&gt;1,AW100-1,0)</f>
        <v>5.762775510204083</v>
      </c>
      <c r="AX101" s="170">
        <f t="shared" si="74"/>
        <v>5.7287346938775521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5.2975510204081635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0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0.1120000000000001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884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884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885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886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30.231000000000002</v>
      </c>
      <c r="BE102" s="62">
        <f t="shared" si="77"/>
        <v>30.191285714285712</v>
      </c>
      <c r="BF102" s="62">
        <f t="shared" si="77"/>
        <v>29.694857142857146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21.196000000000002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886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886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887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888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889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890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891</v>
      </c>
      <c r="AU105" s="17">
        <f>VLOOKUP(AU59,[1]Trav!$B$12:$C$31,2)</f>
        <v>6</v>
      </c>
      <c r="BZ105" s="147" t="s">
        <v>891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891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892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10.5</v>
      </c>
      <c r="CF106" s="185">
        <f>IF(CF60&gt;0,HLOOKUP(CF60,[1]Trav!$C$11:$O$31,$CA$105),0)</f>
        <v>10.5</v>
      </c>
      <c r="CG106" s="185">
        <f>IF(CG60&gt;0,HLOOKUP(CG60,[1]Trav!$C$11:$O$31,$CA$105),0)</f>
        <v>10.5</v>
      </c>
      <c r="CH106" s="185">
        <f>IF(CH60&gt;0,HLOOKUP(CH60,[1]Trav!$C$11:$O$31,$CA$105),0)</f>
        <v>10.5</v>
      </c>
      <c r="CI106" s="185">
        <f>IF(CI60&gt;0,HLOOKUP(CI60,[1]Trav!$C$11:$O$31,$CA$105),0)</f>
        <v>10.5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3.5</v>
      </c>
      <c r="CM106" s="185">
        <f>IF(CM60&gt;0,HLOOKUP(CM60,[1]Trav!$C$11:$O$31,$CA$105),0)</f>
        <v>3.5</v>
      </c>
      <c r="CN106" s="185">
        <f>IF(CN60&gt;0,HLOOKUP(CN60,[1]Trav!$C$11:$O$31,$CA$105),0)</f>
        <v>3.5</v>
      </c>
      <c r="CO106" s="185">
        <f>IF(CO60&gt;0,HLOOKUP(CO60,[1]Trav!$C$11:$O$31,$CA$105),0)</f>
        <v>3.5</v>
      </c>
      <c r="CP106" s="185">
        <f>IF(CP60&gt;0,HLOOKUP(CP60,[1]Trav!$C$11:$O$31,$CA$105),0)</f>
        <v>3.5</v>
      </c>
      <c r="CQ106" s="185">
        <f>IF(CQ60&gt;0,HLOOKUP(CQ60,[1]Trav!$C$11:$O$31,$CA$105),0)</f>
        <v>3.5</v>
      </c>
      <c r="CR106" s="185">
        <f>IF(CR60&gt;0,HLOOKUP(CR60,[1]Trav!$C$11:$O$31,$CA$105),0)</f>
        <v>0</v>
      </c>
      <c r="CS106" s="185">
        <f>IF(CS60&gt;0,HLOOKUP(CS60,[1]Trav!$C$11:$O$31,$CA$105),0)</f>
        <v>3.5</v>
      </c>
      <c r="CT106" s="185">
        <f>IF(CT60&gt;0,HLOOKUP(CT60,[1]Trav!$C$11:$O$31,$CA$105),0)</f>
        <v>3.5</v>
      </c>
      <c r="CU106" s="185">
        <f>IF(CU60&gt;0,HLOOKUP(CU60,[1]Trav!$C$11:$O$31,$CA$105),0)</f>
        <v>3.5</v>
      </c>
      <c r="CV106" s="185">
        <f>IF(CV60&gt;0,HLOOKUP(CV60,[1]Trav!$C$11:$O$31,$CA$105),0)</f>
        <v>3.5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893</v>
      </c>
      <c r="B107" s="46">
        <f>SUM(F61:F64)</f>
        <v>600</v>
      </c>
      <c r="D107" s="192"/>
      <c r="AT107" s="184" t="str">
        <f t="shared" si="80"/>
        <v>Brebis laitières tardives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0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0</v>
      </c>
      <c r="BR107" s="185">
        <f>IF(BR61&gt;0,HLOOKUP(BR61,[1]Trav!$C$11:$O$31,$AU$105),0)</f>
        <v>21</v>
      </c>
      <c r="BS107" s="185">
        <f>IF(BS61&gt;0,HLOOKUP(BS61,[1]Trav!$C$11:$O$31,$AU$105),0)</f>
        <v>21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5.25</v>
      </c>
      <c r="CG107" s="185">
        <f>IF(CG61&gt;0,HLOOKUP(CG61,[1]Trav!$C$11:$O$31,$CA$105),0)</f>
        <v>5.25</v>
      </c>
      <c r="CH107" s="185">
        <f>IF(CH61&gt;0,HLOOKUP(CH61,[1]Trav!$C$11:$O$31,$CA$105),0)</f>
        <v>5.25</v>
      </c>
      <c r="CI107" s="185">
        <f>IF(CI61&gt;0,HLOOKUP(CI61,[1]Trav!$C$11:$O$31,$CA$105),0)</f>
        <v>5.25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5.25</v>
      </c>
      <c r="CM107" s="185">
        <f>IF(CM61&gt;0,HLOOKUP(CM61,[1]Trav!$C$11:$O$31,$CA$105),0)</f>
        <v>5.25</v>
      </c>
      <c r="CN107" s="185">
        <f>IF(CN61&gt;0,HLOOKUP(CN61,[1]Trav!$C$11:$O$31,$CA$105),0)</f>
        <v>5.25</v>
      </c>
      <c r="CO107" s="185">
        <f>IF(CO61&gt;0,HLOOKUP(CO61,[1]Trav!$C$11:$O$31,$CA$105),0)</f>
        <v>5.25</v>
      </c>
      <c r="CP107" s="185">
        <f>IF(CP61&gt;0,HLOOKUP(CP61,[1]Trav!$C$11:$O$31,$CA$105),0)</f>
        <v>5.25</v>
      </c>
      <c r="CQ107" s="185">
        <f>IF(CQ61&gt;0,HLOOKUP(CQ61,[1]Trav!$C$11:$O$31,$CA$105),0)</f>
        <v>5.25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5.25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894</v>
      </c>
      <c r="B108" s="46">
        <f>SUM(F50:F59)</f>
        <v>302</v>
      </c>
      <c r="D108" s="192"/>
      <c r="AT108" s="184" t="str">
        <f t="shared" si="80"/>
        <v>Brebis vides</v>
      </c>
      <c r="AV108" s="185">
        <f>IF(AV62&gt;0,HLOOKUP(AV62,[1]Trav!$C$11:$O$31,$AU$105),0)</f>
        <v>21</v>
      </c>
      <c r="AW108" s="185">
        <f>IF(AW62&gt;0,HLOOKUP(AW62,[1]Trav!$C$11:$O$31,$AU$105),0)</f>
        <v>21</v>
      </c>
      <c r="AX108" s="185">
        <f>IF(AX62&gt;0,HLOOKUP(AX62,[1]Trav!$C$11:$O$31,$AU$105),0)</f>
        <v>21</v>
      </c>
      <c r="AY108" s="185">
        <f>IF(AY62&gt;0,HLOOKUP(AY62,[1]Trav!$C$11:$O$31,$AU$105),0)</f>
        <v>21</v>
      </c>
      <c r="AZ108" s="185">
        <f>IF(AZ62&gt;0,HLOOKUP(AZ62,[1]Trav!$C$11:$O$31,$AU$105),0)</f>
        <v>21</v>
      </c>
      <c r="BA108" s="185">
        <f>IF(BA62&gt;0,HLOOKUP(BA62,[1]Trav!$C$11:$O$31,$AU$105),0)</f>
        <v>21</v>
      </c>
      <c r="BB108" s="185">
        <f>IF(BB62&gt;0,HLOOKUP(BB62,[1]Trav!$C$11:$O$31,$AU$105),0)</f>
        <v>21</v>
      </c>
      <c r="BC108" s="185">
        <f>IF(BC62&gt;0,HLOOKUP(BC62,[1]Trav!$C$11:$O$31,$AU$105),0)</f>
        <v>21</v>
      </c>
      <c r="BD108" s="185">
        <f>IF(BD62&gt;0,HLOOKUP(BD62,[1]Trav!$C$11:$O$31,$AU$105),0)</f>
        <v>21</v>
      </c>
      <c r="BE108" s="185">
        <f>IF(BE62&gt;0,HLOOKUP(BE62,[1]Trav!$C$11:$O$31,$AU$105),0)</f>
        <v>21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21</v>
      </c>
      <c r="BR108" s="185">
        <f>IF(BR62&gt;0,HLOOKUP(BR62,[1]Trav!$C$11:$O$31,$AU$105),0)</f>
        <v>21</v>
      </c>
      <c r="BS108" s="185">
        <f>IF(BS62&gt;0,HLOOKUP(BS62,[1]Trav!$C$11:$O$31,$AU$105),0)</f>
        <v>21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895</v>
      </c>
      <c r="B109" s="30">
        <f>F69+F72</f>
        <v>290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14</v>
      </c>
      <c r="BE109" s="185">
        <f>IF(BE63&gt;0,HLOOKUP(BE63,[1]Trav!$C$11:$O$31,$AU$105),0)</f>
        <v>14</v>
      </c>
      <c r="BF109" s="185">
        <f>IF(BF63&gt;0,HLOOKUP(BF63,[1]Trav!$C$11:$O$31,$AU$105),0)</f>
        <v>14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21</v>
      </c>
      <c r="BN109" s="185">
        <f>IF(BN63&gt;0,HLOOKUP(BN63,[1]Trav!$C$11:$O$31,$AU$105),0)</f>
        <v>21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896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14</v>
      </c>
      <c r="BA110" s="185">
        <f>IF(BA64&gt;0,HLOOKUP(BA64,[1]Trav!$C$11:$O$31,$AU$105),0)</f>
        <v>14</v>
      </c>
      <c r="BB110" s="185">
        <f>IF(BB64&gt;0,HLOOKUP(BB64,[1]Trav!$C$11:$O$31,$AU$105),0)</f>
        <v>14</v>
      </c>
      <c r="BC110" s="185">
        <f>IF(BC64&gt;0,HLOOKUP(BC64,[1]Trav!$C$11:$O$31,$AU$105),0)</f>
        <v>14</v>
      </c>
      <c r="BD110" s="185">
        <f>IF(BD64&gt;0,HLOOKUP(BD64,[1]Trav!$C$11:$O$31,$AU$105),0)</f>
        <v>14</v>
      </c>
      <c r="BE110" s="185">
        <f>IF(BE64&gt;0,HLOOKUP(BE64,[1]Trav!$C$11:$O$31,$AU$105),0)</f>
        <v>14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897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898</v>
      </c>
      <c r="B112" s="46">
        <f>SUM(B109:B111)</f>
        <v>290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899</v>
      </c>
      <c r="B113" s="30">
        <f>F76</f>
        <v>42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900</v>
      </c>
      <c r="B114" s="30">
        <f>F81</f>
        <v>46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901</v>
      </c>
      <c r="B115" s="30">
        <f>F83+F84</f>
        <v>6.8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902</v>
      </c>
      <c r="B116" s="30">
        <f>F86</f>
        <v>399.99999999999994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903</v>
      </c>
      <c r="AV117" s="170">
        <f>SUM(AV106:AV115)</f>
        <v>49</v>
      </c>
      <c r="AW117" s="170">
        <f t="shared" ref="AW117:BS117" si="83">SUM(AW106:AW115)</f>
        <v>49</v>
      </c>
      <c r="AX117" s="170">
        <f t="shared" si="83"/>
        <v>49</v>
      </c>
      <c r="AY117" s="170">
        <f t="shared" si="83"/>
        <v>49</v>
      </c>
      <c r="AZ117" s="170">
        <f t="shared" si="83"/>
        <v>63</v>
      </c>
      <c r="BA117" s="170">
        <f t="shared" si="83"/>
        <v>63</v>
      </c>
      <c r="BB117" s="170">
        <f t="shared" si="83"/>
        <v>63</v>
      </c>
      <c r="BC117" s="170">
        <f t="shared" si="83"/>
        <v>63</v>
      </c>
      <c r="BD117" s="170">
        <f t="shared" si="83"/>
        <v>77</v>
      </c>
      <c r="BE117" s="170">
        <f t="shared" si="83"/>
        <v>63</v>
      </c>
      <c r="BF117" s="170">
        <f t="shared" si="83"/>
        <v>28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35</v>
      </c>
      <c r="BN117" s="170">
        <f t="shared" si="83"/>
        <v>35</v>
      </c>
      <c r="BO117" s="170">
        <f t="shared" si="83"/>
        <v>35</v>
      </c>
      <c r="BP117" s="170">
        <f t="shared" si="83"/>
        <v>35</v>
      </c>
      <c r="BQ117" s="170">
        <f t="shared" si="83"/>
        <v>35</v>
      </c>
      <c r="BR117" s="170">
        <f t="shared" si="83"/>
        <v>42</v>
      </c>
      <c r="BS117" s="170">
        <f t="shared" si="83"/>
        <v>42</v>
      </c>
      <c r="CA117" s="40" t="s">
        <v>903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24.5</v>
      </c>
      <c r="CF117" s="170">
        <f t="shared" si="84"/>
        <v>15.75</v>
      </c>
      <c r="CG117" s="170">
        <f t="shared" si="84"/>
        <v>15.75</v>
      </c>
      <c r="CH117" s="170">
        <f t="shared" si="84"/>
        <v>15.75</v>
      </c>
      <c r="CI117" s="170">
        <f t="shared" si="84"/>
        <v>15.75</v>
      </c>
      <c r="CJ117" s="170">
        <f t="shared" si="84"/>
        <v>0</v>
      </c>
      <c r="CK117" s="170">
        <f t="shared" si="84"/>
        <v>0</v>
      </c>
      <c r="CL117" s="170">
        <f t="shared" si="84"/>
        <v>8.75</v>
      </c>
      <c r="CM117" s="170">
        <f t="shared" si="84"/>
        <v>8.75</v>
      </c>
      <c r="CN117" s="170">
        <f t="shared" si="84"/>
        <v>8.75</v>
      </c>
      <c r="CO117" s="170">
        <f t="shared" si="84"/>
        <v>8.75</v>
      </c>
      <c r="CP117" s="170">
        <f t="shared" si="84"/>
        <v>8.75</v>
      </c>
      <c r="CQ117" s="170">
        <f t="shared" si="84"/>
        <v>8.75</v>
      </c>
      <c r="CR117" s="170">
        <f t="shared" si="84"/>
        <v>0</v>
      </c>
      <c r="CS117" s="170">
        <f t="shared" si="84"/>
        <v>3.5</v>
      </c>
      <c r="CT117" s="170">
        <f t="shared" si="84"/>
        <v>8.75</v>
      </c>
      <c r="CU117" s="170">
        <f t="shared" si="84"/>
        <v>8.75</v>
      </c>
      <c r="CV117" s="170">
        <f t="shared" si="84"/>
        <v>8.75</v>
      </c>
      <c r="CW117" s="170">
        <f t="shared" si="84"/>
        <v>8.75</v>
      </c>
      <c r="CX117" s="170">
        <f t="shared" si="84"/>
        <v>0</v>
      </c>
      <c r="CY117" s="170">
        <f t="shared" si="84"/>
        <v>0</v>
      </c>
      <c r="DD117" s="40" t="s">
        <v>903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904</v>
      </c>
      <c r="B118" s="197">
        <f>B91+B95+B99+B103</f>
        <v>4502.9392380952386</v>
      </c>
      <c r="D118" s="198">
        <f>B118/Troupeau!$B$17</f>
        <v>16.197623158615965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905</v>
      </c>
      <c r="B119" s="197">
        <f t="shared" ref="B119" si="86">B92+B96+B100+B104</f>
        <v>568.5</v>
      </c>
      <c r="D119" s="198">
        <f>IF(B119=0,0,B119/Troupeau!$C$17)</f>
        <v>28.425000000000001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906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907</v>
      </c>
      <c r="B122" s="197">
        <f>SUM(B118:B120)</f>
        <v>5071.4392380952386</v>
      </c>
    </row>
    <row r="123" spans="1:132" x14ac:dyDescent="0.25">
      <c r="A123" s="2" t="s">
        <v>894</v>
      </c>
      <c r="B123" s="30">
        <f>B108</f>
        <v>302</v>
      </c>
    </row>
    <row r="124" spans="1:132" x14ac:dyDescent="0.25">
      <c r="A124" s="2" t="s">
        <v>908</v>
      </c>
      <c r="B124" s="30">
        <f>B107</f>
        <v>600</v>
      </c>
    </row>
    <row r="125" spans="1:132" x14ac:dyDescent="0.25">
      <c r="A125" s="2" t="s">
        <v>909</v>
      </c>
      <c r="B125" s="30">
        <f>B112+B113</f>
        <v>332</v>
      </c>
    </row>
    <row r="126" spans="1:132" x14ac:dyDescent="0.25">
      <c r="A126" s="2" t="s">
        <v>910</v>
      </c>
      <c r="B126" s="30">
        <f>B114+B115+B116</f>
        <v>452.79999999999995</v>
      </c>
    </row>
    <row r="128" spans="1:132" x14ac:dyDescent="0.25">
      <c r="A128" s="2" t="s">
        <v>911</v>
      </c>
      <c r="B128" s="197">
        <f>SUM(B122:B126)</f>
        <v>6758.2392380952388</v>
      </c>
    </row>
    <row r="129" spans="1:2" x14ac:dyDescent="0.25">
      <c r="A129" s="2" t="s">
        <v>912</v>
      </c>
      <c r="B129" s="30">
        <f>IF(Scénario!K129=1,Travail!F77+Travail!F86,F86)</f>
        <v>795</v>
      </c>
    </row>
    <row r="130" spans="1:2" x14ac:dyDescent="0.25">
      <c r="A130" s="2" t="s">
        <v>913</v>
      </c>
      <c r="B130" s="197">
        <f>ROUND((B128-B129)/(Scénario!K4+Scénario!K6),0)</f>
        <v>2982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abSelected="1" topLeftCell="K243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915</v>
      </c>
      <c r="R2" s="23" t="s">
        <v>916</v>
      </c>
      <c r="S2" s="23"/>
      <c r="T2" t="s">
        <v>917</v>
      </c>
    </row>
    <row r="3" spans="1:59" ht="18.75" x14ac:dyDescent="0.3">
      <c r="A3" s="203"/>
      <c r="B3" s="33" t="s">
        <v>918</v>
      </c>
      <c r="C3" s="33" t="s">
        <v>919</v>
      </c>
      <c r="D3" s="33" t="s">
        <v>920</v>
      </c>
      <c r="E3" s="168"/>
      <c r="F3" s="33" t="s">
        <v>921</v>
      </c>
      <c r="G3" s="33" t="s">
        <v>922</v>
      </c>
      <c r="H3" s="33" t="s">
        <v>923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924</v>
      </c>
      <c r="U4" s="14"/>
      <c r="V4" s="14"/>
      <c r="W4" s="14"/>
      <c r="AB4" s="2" t="s">
        <v>925</v>
      </c>
    </row>
    <row r="5" spans="1:59" x14ac:dyDescent="0.25">
      <c r="A5" t="s">
        <v>926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927</v>
      </c>
      <c r="T5" s="30">
        <f>Scénario!K16</f>
        <v>100</v>
      </c>
      <c r="U5" s="14"/>
      <c r="V5" s="14"/>
      <c r="X5" s="14" t="s">
        <v>928</v>
      </c>
      <c r="Y5" s="30">
        <f>IF(Scénario!K17=1,[1]Eco!$B$51,[1]Eco!$B$52)</f>
        <v>1064</v>
      </c>
      <c r="AB5" t="s">
        <v>929</v>
      </c>
      <c r="AC5" t="s">
        <v>17</v>
      </c>
      <c r="AD5" t="s">
        <v>278</v>
      </c>
      <c r="AF5" s="168" t="s">
        <v>930</v>
      </c>
      <c r="AG5" s="168" t="s">
        <v>931</v>
      </c>
      <c r="AH5" s="168" t="s">
        <v>932</v>
      </c>
      <c r="AI5" s="168" t="s">
        <v>933</v>
      </c>
      <c r="AJ5" s="168" t="s">
        <v>934</v>
      </c>
    </row>
    <row r="6" spans="1:59" x14ac:dyDescent="0.25">
      <c r="A6" t="s">
        <v>935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936</v>
      </c>
      <c r="T6" s="30">
        <f>Troupeau!B35</f>
        <v>34750</v>
      </c>
      <c r="U6" s="14"/>
      <c r="V6" s="14"/>
      <c r="X6" s="14" t="s">
        <v>937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938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939</v>
      </c>
      <c r="T9" s="36" t="s">
        <v>924</v>
      </c>
      <c r="U9" s="168" t="s">
        <v>940</v>
      </c>
      <c r="V9" s="36" t="s">
        <v>941</v>
      </c>
      <c r="W9" s="168" t="s">
        <v>942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943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944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945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946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947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948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949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950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925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951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952</v>
      </c>
      <c r="S15" s="32" t="s">
        <v>953</v>
      </c>
      <c r="T15" s="5" t="s">
        <v>954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955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930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956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952</v>
      </c>
      <c r="AE17" s="170" t="s">
        <v>957</v>
      </c>
      <c r="AF17" s="170" t="s">
        <v>958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959</v>
      </c>
      <c r="B18" s="168"/>
      <c r="C18" s="36" t="s">
        <v>960</v>
      </c>
      <c r="D18" s="33" t="s">
        <v>961</v>
      </c>
      <c r="E18" s="169"/>
      <c r="F18" s="36" t="s">
        <v>962</v>
      </c>
      <c r="G18" s="36" t="s">
        <v>963</v>
      </c>
      <c r="H18" s="169"/>
      <c r="I18" s="169"/>
      <c r="J18" s="5"/>
      <c r="K18" s="5"/>
      <c r="L18" s="5"/>
      <c r="M18" s="5"/>
      <c r="N18" s="5"/>
      <c r="P18" s="5"/>
      <c r="Q18" s="5" t="s">
        <v>964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930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930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965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965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966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934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967</v>
      </c>
      <c r="AA22"/>
      <c r="AB22"/>
      <c r="AC22"/>
      <c r="AD22"/>
      <c r="AE22" t="s">
        <v>968</v>
      </c>
      <c r="AF22"/>
      <c r="AG22"/>
      <c r="AH22"/>
      <c r="AI22" t="s">
        <v>969</v>
      </c>
      <c r="AJ22"/>
      <c r="AK22"/>
      <c r="AM22"/>
      <c r="AN22" t="s">
        <v>970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971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972</v>
      </c>
      <c r="S24" s="18"/>
      <c r="T24" s="5" t="s">
        <v>973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974</v>
      </c>
      <c r="X26" t="s">
        <v>975</v>
      </c>
      <c r="AA26" s="168" t="s">
        <v>976</v>
      </c>
      <c r="AB26" s="168" t="s">
        <v>977</v>
      </c>
      <c r="AC26" s="168" t="s">
        <v>726</v>
      </c>
      <c r="AD26" s="5"/>
      <c r="AE26" s="168" t="s">
        <v>976</v>
      </c>
      <c r="AF26" s="168" t="s">
        <v>978</v>
      </c>
      <c r="AG26" s="168" t="s">
        <v>726</v>
      </c>
      <c r="AI26" s="168" t="s">
        <v>976</v>
      </c>
      <c r="AJ26" s="168" t="s">
        <v>979</v>
      </c>
      <c r="AK26" s="168" t="s">
        <v>726</v>
      </c>
      <c r="AL26" s="169"/>
      <c r="AN26" s="168" t="s">
        <v>976</v>
      </c>
      <c r="AO26" s="168" t="s">
        <v>980</v>
      </c>
      <c r="AP26" s="168" t="s">
        <v>726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924</v>
      </c>
      <c r="S27" s="168" t="s">
        <v>940</v>
      </c>
      <c r="T27" s="168" t="s">
        <v>941</v>
      </c>
      <c r="U27" s="168" t="s">
        <v>942</v>
      </c>
      <c r="V27" s="168" t="s">
        <v>13</v>
      </c>
      <c r="X27" s="15" t="s">
        <v>981</v>
      </c>
      <c r="Z27" s="209" t="s">
        <v>982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983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984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460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460</v>
      </c>
      <c r="X28" s="170">
        <f>V28/$T$25</f>
        <v>20</v>
      </c>
      <c r="Z28" s="14" t="s">
        <v>985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986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987</v>
      </c>
      <c r="AK28" s="62">
        <f>AK27*T25</f>
        <v>0</v>
      </c>
      <c r="AL28" s="36"/>
      <c r="AM28" s="14" t="s">
        <v>988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989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508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508</v>
      </c>
      <c r="X29" s="170">
        <f>V29/$T$25</f>
        <v>0</v>
      </c>
      <c r="Z29" s="14" t="s">
        <v>990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987</v>
      </c>
      <c r="AG29" s="62">
        <f>SUM(AG27:AG28)*T25</f>
        <v>6755.4000000000005</v>
      </c>
      <c r="AO29" s="40" t="s">
        <v>987</v>
      </c>
      <c r="AP29" s="62">
        <f>IF(Scénario!K10=1,'Calcul éco'!AP27,'Calcul éco'!AP28)*T25</f>
        <v>0</v>
      </c>
    </row>
    <row r="30" spans="1:143" x14ac:dyDescent="0.25">
      <c r="A30" s="15" t="s">
        <v>991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459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992</v>
      </c>
      <c r="X30" s="170">
        <f>(V30+V31)/$T$25</f>
        <v>278</v>
      </c>
      <c r="AB30" s="40" t="s">
        <v>987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993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1435</v>
      </c>
      <c r="AH31" s="277"/>
      <c r="AI31" s="277"/>
      <c r="AJ31" s="277" t="s">
        <v>1436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994</v>
      </c>
      <c r="Q32" s="14" t="s">
        <v>995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995</v>
      </c>
      <c r="X32" s="170">
        <f>V32/T25</f>
        <v>0</v>
      </c>
      <c r="AE32" s="276"/>
      <c r="AF32" s="276"/>
      <c r="AG32" s="276" t="s">
        <v>1437</v>
      </c>
      <c r="AH32" s="276" t="s">
        <v>1438</v>
      </c>
      <c r="AI32" s="276" t="s">
        <v>169</v>
      </c>
      <c r="AJ32" s="276" t="s">
        <v>1439</v>
      </c>
    </row>
    <row r="33" spans="1:143" x14ac:dyDescent="0.25">
      <c r="A33" s="2" t="s">
        <v>996</v>
      </c>
      <c r="Q33" s="168"/>
      <c r="R33" s="168"/>
      <c r="S33" s="168"/>
      <c r="T33" s="168"/>
      <c r="U33" s="168"/>
      <c r="X33" s="169"/>
      <c r="AE33" s="276"/>
      <c r="AF33" s="276" t="s">
        <v>460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997</v>
      </c>
      <c r="J34" s="170">
        <f>AC30</f>
        <v>3320</v>
      </c>
      <c r="K34" s="170"/>
      <c r="L34" s="170"/>
      <c r="M34" s="170"/>
      <c r="N34" s="170"/>
      <c r="O34" s="206"/>
      <c r="Q34" s="200" t="s">
        <v>998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508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999</v>
      </c>
      <c r="J35" s="170">
        <f>AP29</f>
        <v>0</v>
      </c>
      <c r="K35" s="170"/>
      <c r="L35" s="170"/>
      <c r="M35" s="170"/>
      <c r="N35" s="170"/>
      <c r="O35" s="206"/>
      <c r="X35" s="2" t="s">
        <v>1000</v>
      </c>
      <c r="Y35" s="14" t="s">
        <v>1001</v>
      </c>
      <c r="Z35" s="62" t="str">
        <f>Scénario!K9</f>
        <v>M1</v>
      </c>
      <c r="AE35" s="276"/>
      <c r="AF35" s="276" t="s">
        <v>459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1003</v>
      </c>
      <c r="Z36" s="62" t="str">
        <f>IF(Y53&gt;50,CONCATENATE(Z35,"O"),Z35)</f>
        <v>M1O</v>
      </c>
      <c r="AA36" s="5"/>
      <c r="AB36" s="14" t="s">
        <v>1004</v>
      </c>
      <c r="AC36" s="185">
        <f>VLOOKUP(Z36,[1]Eco!$A$36:$B$45,2)</f>
        <v>258</v>
      </c>
      <c r="AD36" s="5"/>
      <c r="AE36" s="276"/>
      <c r="AF36" s="278" t="s">
        <v>1043</v>
      </c>
      <c r="AG36" s="276"/>
      <c r="AH36" s="276"/>
      <c r="AI36" s="276">
        <f>SUM(AI33:AI35)</f>
        <v>66.199999999999989</v>
      </c>
      <c r="AJ36" s="278">
        <f>ROUND(AI36/V46,2)</f>
        <v>0.68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1005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1006</v>
      </c>
      <c r="T37" t="s">
        <v>1007</v>
      </c>
      <c r="U37" t="s">
        <v>1008</v>
      </c>
      <c r="V37" t="s">
        <v>1009</v>
      </c>
      <c r="X37" s="169"/>
      <c r="AB37" s="168" t="s">
        <v>1010</v>
      </c>
      <c r="AC37" s="168" t="s">
        <v>976</v>
      </c>
      <c r="AD37" s="168" t="s">
        <v>726</v>
      </c>
      <c r="AE37" s="279" t="s">
        <v>1440</v>
      </c>
      <c r="AF37" s="276"/>
      <c r="AG37" s="276"/>
      <c r="AH37" s="276"/>
      <c r="AI37" s="276"/>
      <c r="AJ37" s="277" t="s">
        <v>1441</v>
      </c>
    </row>
    <row r="38" spans="1:143" x14ac:dyDescent="0.25">
      <c r="A38" t="s">
        <v>1011</v>
      </c>
      <c r="J38" s="170">
        <f>AK28</f>
        <v>0</v>
      </c>
      <c r="K38" s="170"/>
      <c r="L38" s="170"/>
      <c r="M38" s="170"/>
      <c r="N38" s="170"/>
      <c r="O38" s="206"/>
      <c r="S38" s="14" t="s">
        <v>1012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1013</v>
      </c>
      <c r="Z38" s="30">
        <f>V46</f>
        <v>97.25</v>
      </c>
      <c r="AA38" s="14" t="s">
        <v>1014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1442</v>
      </c>
      <c r="AJ38" s="278">
        <f>VLOOKUP(Z35,[1]Eco!$I$37:$K$41,2)</f>
        <v>1.7</v>
      </c>
    </row>
    <row r="39" spans="1:143" x14ac:dyDescent="0.25">
      <c r="A39" t="s">
        <v>1015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1016</v>
      </c>
      <c r="Z39" s="30">
        <f>Z38/T25</f>
        <v>97.25</v>
      </c>
      <c r="AA39" s="14" t="s">
        <v>1017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1443</v>
      </c>
      <c r="AJ39" s="278">
        <f>VLOOKUP(Z36,[1]Eco!$I$37:$K$41,3)</f>
        <v>2.5</v>
      </c>
    </row>
    <row r="40" spans="1:143" x14ac:dyDescent="0.25">
      <c r="A40" t="s">
        <v>564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1018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1444</v>
      </c>
      <c r="AJ40" s="278">
        <f>IF(AJ36&lt;=AJ38,100,IF(AJ36&lt;=AJ39,90,0))</f>
        <v>100</v>
      </c>
    </row>
    <row r="41" spans="1:143" x14ac:dyDescent="0.25">
      <c r="A41" s="23" t="s">
        <v>1019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987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1020</v>
      </c>
      <c r="B42" s="30">
        <f>V46</f>
        <v>97.25</v>
      </c>
      <c r="C42" s="211">
        <f>[1]Eco!$B$24</f>
        <v>97</v>
      </c>
      <c r="J42" s="170">
        <f>B42*C42</f>
        <v>9433.25</v>
      </c>
      <c r="K42" s="170"/>
      <c r="L42" s="170"/>
      <c r="M42" s="170"/>
      <c r="N42" s="170"/>
      <c r="O42" s="206"/>
      <c r="R42" s="212"/>
      <c r="S42" s="207" t="s">
        <v>1021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1022</v>
      </c>
      <c r="AG42" s="213" t="s">
        <v>1023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1024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1025</v>
      </c>
      <c r="B44" s="30">
        <f>B42</f>
        <v>97.25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6515.75</v>
      </c>
      <c r="K44" s="170"/>
      <c r="L44" s="170"/>
      <c r="M44" s="170"/>
      <c r="N44" s="170"/>
      <c r="O44" s="206"/>
      <c r="U44" s="40" t="s">
        <v>1026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1027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1028</v>
      </c>
      <c r="V45" s="170">
        <f>S55</f>
        <v>68.149999999999991</v>
      </c>
      <c r="X45" s="213" t="s">
        <v>1029</v>
      </c>
      <c r="Y45" s="213"/>
      <c r="Z45" s="213"/>
      <c r="AA45" s="213"/>
      <c r="AB45" s="213"/>
      <c r="AC45" s="213"/>
      <c r="AD45" s="213"/>
      <c r="AE45" s="213"/>
      <c r="AF45" s="215" t="s">
        <v>574</v>
      </c>
      <c r="AG45" s="213"/>
      <c r="AH45" s="213" t="s">
        <v>1030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588</v>
      </c>
      <c r="BH45" s="213"/>
      <c r="BI45" s="213" t="s">
        <v>1030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595</v>
      </c>
      <c r="CJ45" s="215"/>
      <c r="CK45" s="215" t="s">
        <v>1030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1031</v>
      </c>
      <c r="DL45" s="215"/>
      <c r="DM45" s="215" t="s">
        <v>1030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1032</v>
      </c>
      <c r="B46"/>
      <c r="C46"/>
      <c r="D46"/>
      <c r="E46"/>
      <c r="F46"/>
      <c r="G46"/>
      <c r="H46"/>
      <c r="I46"/>
      <c r="J46" s="170">
        <f>V263</f>
        <v>11164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1033</v>
      </c>
      <c r="V46" s="62">
        <f>V44+V45</f>
        <v>97.25</v>
      </c>
      <c r="W46"/>
      <c r="X46" s="213"/>
      <c r="Y46" s="217" t="s">
        <v>924</v>
      </c>
      <c r="Z46" s="217" t="s">
        <v>940</v>
      </c>
      <c r="AA46" s="217" t="s">
        <v>941</v>
      </c>
      <c r="AB46" s="217" t="s">
        <v>942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460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1034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1034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1034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1034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1035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153604.4</v>
      </c>
      <c r="K48" s="222"/>
      <c r="L48" s="222"/>
      <c r="M48" s="222"/>
      <c r="N48" s="222"/>
      <c r="O48" s="223"/>
      <c r="X48" s="214" t="s">
        <v>508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Brebis laitières tardives</v>
      </c>
      <c r="AH48" s="217">
        <f>CdTrp1!B40</f>
        <v>11.063265306122448</v>
      </c>
      <c r="AI48" s="217">
        <f>CdTrp1!C40</f>
        <v>9.7867346938775501</v>
      </c>
      <c r="AJ48" s="217">
        <f>CdTrp1!D40</f>
        <v>8.5102040816326525</v>
      </c>
      <c r="AK48" s="217">
        <f>CdTrp1!E40</f>
        <v>7.2336734693877549</v>
      </c>
      <c r="AL48" s="217">
        <f>CdTrp1!F40</f>
        <v>5.9571428571428573</v>
      </c>
      <c r="AM48" s="217">
        <f>CdTrp1!G40</f>
        <v>4.765714285714286</v>
      </c>
      <c r="AN48" s="217">
        <f>CdTrp1!H40</f>
        <v>3.5742857142857143</v>
      </c>
      <c r="AO48" s="217">
        <f>CdTrp1!I40</f>
        <v>2.382857142857143</v>
      </c>
      <c r="AP48" s="217">
        <f>CdTrp1!J40</f>
        <v>1.1914285714285715</v>
      </c>
      <c r="AQ48" s="217">
        <f>CdTrp1!K40</f>
        <v>0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1</v>
      </c>
      <c r="CF48" s="213">
        <f>IF(CdTrp2!F76=1,1,IF(CdTrp2!F76=2,2,IF(CdTrp2!F76=3,2,0)))</f>
        <v>1</v>
      </c>
      <c r="CG48" s="213">
        <f>IF(CdTrp2!G76=1,1,IF(CdTrp2!G76=2,2,IF(CdTrp2!G76=3,2,0)))</f>
        <v>1</v>
      </c>
      <c r="CH48" s="213">
        <f>IF(CdTrp2!H76=1,1,IF(CdTrp2!H76=2,2,IF(CdTrp2!H76=3,2,0)))</f>
        <v>1</v>
      </c>
      <c r="CI48" s="213">
        <f>IF(CdTrp2!I76=1,1,IF(CdTrp2!I76=2,2,IF(CdTrp2!I76=3,2,0)))</f>
        <v>1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1</v>
      </c>
      <c r="CM48" s="213">
        <f>IF(CdTrp2!M76=1,1,IF(CdTrp2!M76=2,2,IF(CdTrp2!M76=3,2,0)))</f>
        <v>1</v>
      </c>
      <c r="CN48" s="213">
        <f>IF(CdTrp2!N76=1,1,IF(CdTrp2!N76=2,2,IF(CdTrp2!N76=3,2,0)))</f>
        <v>1</v>
      </c>
      <c r="CO48" s="213">
        <f>IF(CdTrp2!O76=1,1,IF(CdTrp2!O76=2,2,IF(CdTrp2!O76=3,2,0)))</f>
        <v>1</v>
      </c>
      <c r="CP48" s="213">
        <f>IF(CdTrp2!P76=1,1,IF(CdTrp2!P76=2,2,IF(CdTrp2!P76=3,2,0)))</f>
        <v>1</v>
      </c>
      <c r="CQ48" s="213">
        <f>IF(CdTrp2!Q76=1,1,IF(CdTrp2!Q76=2,2,IF(CdTrp2!Q76=3,2,0)))</f>
        <v>1</v>
      </c>
      <c r="CR48" s="213">
        <f>IF(CdTrp2!R76=1,1,IF(CdTrp2!R76=2,2,IF(CdTrp2!R76=3,2,0)))</f>
        <v>0</v>
      </c>
      <c r="CS48" s="213">
        <f>IF(CdTrp2!S76=1,1,IF(CdTrp2!S76=2,2,IF(CdTrp2!S76=3,2,0)))</f>
        <v>1</v>
      </c>
      <c r="CT48" s="213">
        <f>IF(CdTrp2!T76=1,1,IF(CdTrp2!T76=2,2,IF(CdTrp2!T76=3,2,0)))</f>
        <v>1</v>
      </c>
      <c r="CU48" s="213">
        <f>IF(CdTrp2!U76=1,1,IF(CdTrp2!U76=2,2,IF(CdTrp2!U76=3,2,0)))</f>
        <v>1</v>
      </c>
      <c r="CV48" s="213">
        <f>IF(CdTrp2!V76=1,1,IF(CdTrp2!V76=2,2,IF(CdTrp2!V76=3,2,0)))</f>
        <v>1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1036</v>
      </c>
      <c r="X49" s="214" t="s">
        <v>459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Brebis vides</v>
      </c>
      <c r="AH49" s="217">
        <f>CdTrp1!B41</f>
        <v>2.1275510204081631</v>
      </c>
      <c r="AI49" s="217">
        <f>CdTrp1!C41</f>
        <v>2.1275510204081631</v>
      </c>
      <c r="AJ49" s="217">
        <f>CdTrp1!D41</f>
        <v>2.1275510204081631</v>
      </c>
      <c r="AK49" s="217">
        <f>CdTrp1!E41</f>
        <v>2.1275510204081631</v>
      </c>
      <c r="AL49" s="217">
        <f>CdTrp1!F41</f>
        <v>2.1275510204081631</v>
      </c>
      <c r="AM49" s="217">
        <f>CdTrp1!G41</f>
        <v>2.1275510204081631</v>
      </c>
      <c r="AN49" s="217">
        <f>CdTrp1!H41</f>
        <v>2.1275510204081631</v>
      </c>
      <c r="AO49" s="217">
        <f>CdTrp1!I41</f>
        <v>2.1275510204081631</v>
      </c>
      <c r="AP49" s="217">
        <f>CdTrp1!J41</f>
        <v>2.1275510204081631</v>
      </c>
      <c r="AQ49" s="217">
        <f>CdTrp1!K41</f>
        <v>2.1275510204081631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0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2</v>
      </c>
      <c r="BS49" s="217">
        <f>IF(CdTrp1!Y77=1,1,IF(CdTrp1!Y77=2,2,IF(CdTrp1!Y77=3,2,0)))</f>
        <v>2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2</v>
      </c>
      <c r="CG49" s="213">
        <f>IF(CdTrp2!G77=1,1,IF(CdTrp2!G77=2,2,IF(CdTrp2!G77=3,2,0)))</f>
        <v>2</v>
      </c>
      <c r="CH49" s="213">
        <f>IF(CdTrp2!H77=1,1,IF(CdTrp2!H77=2,2,IF(CdTrp2!H77=3,2,0)))</f>
        <v>2</v>
      </c>
      <c r="CI49" s="213">
        <f>IF(CdTrp2!I77=1,1,IF(CdTrp2!I77=2,2,IF(CdTrp2!I77=3,2,0)))</f>
        <v>2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2</v>
      </c>
      <c r="CM49" s="213">
        <f>IF(CdTrp2!M77=1,1,IF(CdTrp2!M77=2,2,IF(CdTrp2!M77=3,2,0)))</f>
        <v>2</v>
      </c>
      <c r="CN49" s="213">
        <f>IF(CdTrp2!N77=1,1,IF(CdTrp2!N77=2,2,IF(CdTrp2!N77=3,2,0)))</f>
        <v>2</v>
      </c>
      <c r="CO49" s="213">
        <f>IF(CdTrp2!O77=1,1,IF(CdTrp2!O77=2,2,IF(CdTrp2!O77=3,2,0)))</f>
        <v>2</v>
      </c>
      <c r="CP49" s="213">
        <f>IF(CdTrp2!P77=1,1,IF(CdTrp2!P77=2,2,IF(CdTrp2!P77=3,2,0)))</f>
        <v>2</v>
      </c>
      <c r="CQ49" s="213">
        <f>IF(CdTrp2!Q77=1,1,IF(CdTrp2!Q77=2,2,IF(CdTrp2!Q77=3,2,0)))</f>
        <v>2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2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574</v>
      </c>
      <c r="R50" t="str">
        <f>Troupeau!B3</f>
        <v>OL</v>
      </c>
      <c r="S50" s="30">
        <f>Scénario!K54*Scénario!K55+Scénario!K76*Scénario!K77</f>
        <v>105</v>
      </c>
      <c r="X50" s="214" t="s">
        <v>993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2</v>
      </c>
      <c r="AW50" s="217">
        <f>IF(CdTrp1!C78=1,1,IF(CdTrp1!C78=2,2,IF(CdTrp1!C78=3,2,0)))</f>
        <v>2</v>
      </c>
      <c r="AX50" s="217">
        <f>IF(CdTrp1!D78=1,1,IF(CdTrp1!D78=2,2,IF(CdTrp1!D78=3,2,0)))</f>
        <v>2</v>
      </c>
      <c r="AY50" s="217">
        <f>IF(CdTrp1!E78=1,1,IF(CdTrp1!E78=2,2,IF(CdTrp1!E78=3,2,0)))</f>
        <v>2</v>
      </c>
      <c r="AZ50" s="217">
        <f>IF(CdTrp1!F78=1,1,IF(CdTrp1!F78=2,2,IF(CdTrp1!F78=3,2,0)))</f>
        <v>2</v>
      </c>
      <c r="BA50" s="217">
        <f>IF(CdTrp1!G78=1,1,IF(CdTrp1!G78=2,2,IF(CdTrp1!G78=3,2,0)))</f>
        <v>2</v>
      </c>
      <c r="BB50" s="217">
        <f>IF(CdTrp1!H78=1,1,IF(CdTrp1!H78=2,2,IF(CdTrp1!H78=3,2,0)))</f>
        <v>2</v>
      </c>
      <c r="BC50" s="217">
        <f>IF(CdTrp1!I78=1,1,IF(CdTrp1!I78=2,2,IF(CdTrp1!I78=3,2,0)))</f>
        <v>2</v>
      </c>
      <c r="BD50" s="217">
        <f>IF(CdTrp1!J78=1,1,IF(CdTrp1!J78=2,2,IF(CdTrp1!J78=3,2,0)))</f>
        <v>2</v>
      </c>
      <c r="BE50" s="217">
        <f>IF(CdTrp1!K78=1,1,IF(CdTrp1!K78=2,2,IF(CdTrp1!K78=3,2,0)))</f>
        <v>2</v>
      </c>
      <c r="BF50" s="217">
        <f>IF(CdTrp1!L78=1,1,IF(CdTrp1!L78=2,2,IF(CdTrp1!L78=3,2,0)))</f>
        <v>2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2</v>
      </c>
      <c r="BR50" s="217">
        <f>IF(CdTrp1!X78=1,1,IF(CdTrp1!X78=2,2,IF(CdTrp1!X78=3,2,0)))</f>
        <v>2</v>
      </c>
      <c r="BS50" s="217">
        <f>IF(CdTrp1!Y78=1,1,IF(CdTrp1!Y78=2,2,IF(CdTrp1!Y78=3,2,0)))</f>
        <v>2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588</v>
      </c>
      <c r="R51" s="219" t="str">
        <f>Troupeau!C3</f>
        <v>BV</v>
      </c>
      <c r="S51" s="48">
        <f>Scénario!K61*Scénario!K62+Scénario!K79*Scénario!K80</f>
        <v>40</v>
      </c>
      <c r="T51" s="219"/>
      <c r="U51" s="219"/>
      <c r="V51" s="219"/>
      <c r="W51" s="219"/>
      <c r="X51" s="214" t="s">
        <v>995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2</v>
      </c>
      <c r="BN51" s="217">
        <f>IF(CdTrp1!T79=1,1,IF(CdTrp1!T79=2,2,IF(CdTrp1!T79=3,2,0)))</f>
        <v>2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2</v>
      </c>
      <c r="BR51" s="217">
        <f>IF(CdTrp1!X79=1,1,IF(CdTrp1!X79=2,2,IF(CdTrp1!X79=3,2,0)))</f>
        <v>2</v>
      </c>
      <c r="BS51" s="217">
        <f>IF(CdTrp1!Y79=1,1,IF(CdTrp1!Y79=2,2,IF(CdTrp1!Y79=3,2,0)))</f>
        <v>2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595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1</v>
      </c>
      <c r="BA52" s="217">
        <f>IF(CdTrp1!G80=1,1,IF(CdTrp1!G80=2,2,IF(CdTrp1!G80=3,2,0)))</f>
        <v>1</v>
      </c>
      <c r="BB52" s="217">
        <f>IF(CdTrp1!H80=1,1,IF(CdTrp1!H80=2,2,IF(CdTrp1!H80=3,2,0)))</f>
        <v>1</v>
      </c>
      <c r="BC52" s="217">
        <f>IF(CdTrp1!I80=1,1,IF(CdTrp1!I80=2,2,IF(CdTrp1!I80=3,2,0)))</f>
        <v>1</v>
      </c>
      <c r="BD52" s="217">
        <f>IF(CdTrp1!J80=1,1,IF(CdTrp1!J80=2,2,IF(CdTrp1!J80=3,2,0)))</f>
        <v>1</v>
      </c>
      <c r="BE52" s="217">
        <f>IF(CdTrp1!K80=1,1,IF(CdTrp1!K80=2,2,IF(CdTrp1!K80=3,2,0)))</f>
        <v>1</v>
      </c>
      <c r="BF52" s="217">
        <f>IF(CdTrp1!L80=1,1,IF(CdTrp1!L80=2,2,IF(CdTrp1!L80=3,2,0)))</f>
        <v>1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1037</v>
      </c>
      <c r="Y53" s="213">
        <f>ROUND(SUM(AC49:AC51)/SUM(AC47:AC51)*100,0)</f>
        <v>70</v>
      </c>
      <c r="Z53" s="213" t="s">
        <v>455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1038</v>
      </c>
      <c r="S54" s="30">
        <f>SUM(S50:S53)</f>
        <v>145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1039</v>
      </c>
      <c r="S55" s="30">
        <f>S54*[1]Eco!$B$25</f>
        <v>68.149999999999991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1040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1040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1040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1040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Brebis laitières tardives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Brebis vides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1041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1041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0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1041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1041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Brebis laitières tardives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Brebis vides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1042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1043</v>
      </c>
      <c r="AG79" s="215">
        <f>SUM(AH69:BE78)</f>
        <v>0</v>
      </c>
      <c r="AH79" s="213" t="s">
        <v>1044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1043</v>
      </c>
      <c r="BH79" s="213">
        <f>SUM(BI69:CF78)</f>
        <v>55.166666666666671</v>
      </c>
      <c r="BI79" s="213" t="s">
        <v>1044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1043</v>
      </c>
      <c r="CJ79" s="213">
        <f>SUM(CK69:DH78)</f>
        <v>0</v>
      </c>
      <c r="CK79" s="213" t="s">
        <v>1044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1043</v>
      </c>
      <c r="DL79" s="213">
        <f>SUM(DM69:EJ78)</f>
        <v>0</v>
      </c>
      <c r="DM79" s="213" t="s">
        <v>1044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1045</v>
      </c>
      <c r="D80" s="33" t="s">
        <v>1046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1047</v>
      </c>
      <c r="C81" s="36" t="s">
        <v>1048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1049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1050</v>
      </c>
      <c r="X83" s="14" t="s">
        <v>1051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1052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1053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1054</v>
      </c>
      <c r="AB87" t="s">
        <v>86</v>
      </c>
      <c r="AL87"/>
      <c r="BG87"/>
      <c r="BY87" t="s">
        <v>950</v>
      </c>
      <c r="CC87" t="s">
        <v>1055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1056</v>
      </c>
      <c r="Z88" t="s">
        <v>726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924</v>
      </c>
      <c r="BZ88" s="168" t="s">
        <v>940</v>
      </c>
      <c r="CA88" s="168" t="s">
        <v>941</v>
      </c>
      <c r="CB88" s="168"/>
      <c r="CC88" s="168" t="s">
        <v>924</v>
      </c>
      <c r="CD88" s="168" t="s">
        <v>940</v>
      </c>
      <c r="CE88" s="168" t="s">
        <v>941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1057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1058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1059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1060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1061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1062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1063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1064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1065</v>
      </c>
      <c r="B118" s="174">
        <f>IF('Alim -Surf'!K27&lt;0,-'Alim -Surf'!K27,0)</f>
        <v>68.424999999999997</v>
      </c>
      <c r="C118" s="185">
        <f>IF(Scénario!$K$12="BV",[1]Eco!$B$78,IF(Scénario!$K$12="BL",[1]Eco!$B$77,[1]Eco!$B$76))</f>
        <v>223</v>
      </c>
      <c r="J118" s="170">
        <f>B118*C118</f>
        <v>15258.775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1066</v>
      </c>
      <c r="B119" s="174">
        <f>IF('Alim -Surf'!K9&lt;0,-'Alim -Surf'!K9,0)</f>
        <v>37.801000000000002</v>
      </c>
      <c r="C119" s="185">
        <f>[1]Eco!$B$79</f>
        <v>80</v>
      </c>
      <c r="J119" s="170">
        <f>B119*C119</f>
        <v>3024.08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1067</v>
      </c>
      <c r="B121" t="s">
        <v>1068</v>
      </c>
      <c r="C121" t="s">
        <v>37</v>
      </c>
      <c r="D121" t="s">
        <v>1069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574</v>
      </c>
      <c r="U122" s="2" t="s">
        <v>588</v>
      </c>
      <c r="V122" s="2" t="s">
        <v>595</v>
      </c>
      <c r="W122" s="2" t="s">
        <v>1031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1070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1071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1072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574</v>
      </c>
      <c r="AG124" s="2" t="s">
        <v>588</v>
      </c>
      <c r="AH124" s="2" t="s">
        <v>595</v>
      </c>
      <c r="AI124" s="2" t="s">
        <v>1031</v>
      </c>
      <c r="AJ124" s="230" t="s">
        <v>1073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1074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1075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1076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1077</v>
      </c>
      <c r="AE126" t="s">
        <v>1078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1079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1080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1081</v>
      </c>
      <c r="AE128" t="s">
        <v>1082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1083</v>
      </c>
      <c r="AE129" t="s">
        <v>1078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574</v>
      </c>
      <c r="U130" s="2"/>
      <c r="V130" s="2" t="s">
        <v>588</v>
      </c>
      <c r="W130" s="2"/>
      <c r="X130" s="2" t="s">
        <v>595</v>
      </c>
      <c r="Y130" s="2"/>
      <c r="Z130" s="2" t="s">
        <v>1031</v>
      </c>
      <c r="AA130" s="2"/>
      <c r="AB130" s="204"/>
      <c r="AE130" t="s">
        <v>1080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1084</v>
      </c>
      <c r="U131" s="168" t="s">
        <v>1085</v>
      </c>
      <c r="V131" s="168" t="s">
        <v>1084</v>
      </c>
      <c r="W131" s="168" t="s">
        <v>1085</v>
      </c>
      <c r="X131" s="168" t="s">
        <v>1084</v>
      </c>
      <c r="Y131" s="168" t="s">
        <v>1085</v>
      </c>
      <c r="Z131" s="168" t="s">
        <v>1084</v>
      </c>
      <c r="AA131" s="168" t="s">
        <v>1085</v>
      </c>
      <c r="AB131" s="204" t="s">
        <v>1086</v>
      </c>
      <c r="AE131" t="s">
        <v>1082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1087</v>
      </c>
      <c r="B132" s="5"/>
      <c r="C132" s="170">
        <f>AH228</f>
        <v>5.2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234</v>
      </c>
      <c r="K132" s="169"/>
      <c r="L132" s="169"/>
      <c r="M132" s="169"/>
      <c r="N132" s="169"/>
      <c r="O132" s="229">
        <v>10</v>
      </c>
      <c r="S132" s="14" t="s">
        <v>1057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1088</v>
      </c>
      <c r="AE132" t="s">
        <v>1078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1089</v>
      </c>
      <c r="B133" s="5"/>
      <c r="C133" s="170">
        <f>AI228</f>
        <v>12.5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756.375</v>
      </c>
      <c r="K133" s="169"/>
      <c r="L133" s="169"/>
      <c r="M133" s="169"/>
      <c r="N133" s="169"/>
      <c r="O133" s="229">
        <v>11</v>
      </c>
      <c r="S133" s="14" t="s">
        <v>1059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1080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1090</v>
      </c>
      <c r="B134" s="5"/>
      <c r="C134" s="170">
        <f>AJ228</f>
        <v>10.8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731.7</v>
      </c>
      <c r="K134" s="169"/>
      <c r="L134" s="169"/>
      <c r="M134" s="169"/>
      <c r="N134" s="169"/>
      <c r="O134" s="229">
        <v>12</v>
      </c>
      <c r="S134" s="14" t="s">
        <v>1060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1082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1091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1061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1092</v>
      </c>
      <c r="AE135" t="s">
        <v>1078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1093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1094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1080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1095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1096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1082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1097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1098</v>
      </c>
      <c r="AE138" t="s">
        <v>1078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1080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1099</v>
      </c>
      <c r="J140" s="169"/>
      <c r="K140" s="169"/>
      <c r="L140" s="169"/>
      <c r="M140" s="169"/>
      <c r="N140" s="169"/>
      <c r="Y140" s="168"/>
      <c r="AE140" t="s">
        <v>1082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1100</v>
      </c>
      <c r="J141" s="170">
        <f>X245</f>
        <v>9043</v>
      </c>
      <c r="K141" s="169"/>
      <c r="L141" s="169"/>
      <c r="M141" s="169"/>
      <c r="N141" s="169"/>
      <c r="Y141" s="168"/>
      <c r="AD141" s="14" t="s">
        <v>1101</v>
      </c>
      <c r="AE141" t="s">
        <v>1078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1102</v>
      </c>
      <c r="J142" s="170">
        <f>SUM(X271:X275)</f>
        <v>743.95999999999992</v>
      </c>
      <c r="K142" s="169"/>
      <c r="L142" s="169"/>
      <c r="M142" s="169"/>
      <c r="N142" s="169"/>
      <c r="Y142" s="168"/>
      <c r="AE142" t="s">
        <v>1080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1082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1103</v>
      </c>
      <c r="AE144" t="s">
        <v>1078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1104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60293.69</v>
      </c>
      <c r="K145" s="222"/>
      <c r="L145" s="222"/>
      <c r="M145" s="222"/>
      <c r="N145" s="222"/>
      <c r="Y145" s="168"/>
      <c r="AE145" t="s">
        <v>1080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1082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1105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1106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1107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1108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1109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1110</v>
      </c>
    </row>
    <row r="152" spans="1:39" x14ac:dyDescent="0.25">
      <c r="A152" t="s">
        <v>1111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1112</v>
      </c>
    </row>
    <row r="153" spans="1:39" x14ac:dyDescent="0.25">
      <c r="A153" s="5" t="s">
        <v>1113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1114</v>
      </c>
      <c r="W153" s="170">
        <f>U$228</f>
        <v>23.3</v>
      </c>
      <c r="X153" t="s">
        <v>51</v>
      </c>
      <c r="Y153" s="170">
        <f>W153-Scénario!K28</f>
        <v>-5.1999999999999993</v>
      </c>
      <c r="Z153" s="170">
        <f>Y153-Y156</f>
        <v>-4.1599999999999993</v>
      </c>
    </row>
    <row r="154" spans="1:39" x14ac:dyDescent="0.25">
      <c r="A154" t="s">
        <v>1115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1116</v>
      </c>
      <c r="W154" s="170">
        <f>V$228</f>
        <v>10.8</v>
      </c>
      <c r="X154" t="s">
        <v>51</v>
      </c>
      <c r="Y154" s="170">
        <f>W154-Scénario!K29</f>
        <v>-7.6999999999999993</v>
      </c>
      <c r="Z154" s="170">
        <f>Y154</f>
        <v>-7.6999999999999993</v>
      </c>
    </row>
    <row r="155" spans="1:39" x14ac:dyDescent="0.25">
      <c r="A155" s="17" t="s">
        <v>1117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1118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1119</v>
      </c>
      <c r="V156" s="14"/>
      <c r="W156" s="14"/>
      <c r="X156" s="14"/>
      <c r="Y156" s="170">
        <f>Y153*Scénario!K31/100</f>
        <v>-1.0399999999999998</v>
      </c>
      <c r="Z156" s="170">
        <f t="shared" si="68"/>
        <v>-1.0399999999999998</v>
      </c>
    </row>
    <row r="157" spans="1:39" x14ac:dyDescent="0.25">
      <c r="A157" s="5" t="s">
        <v>1120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1121</v>
      </c>
      <c r="B158" s="170">
        <f>Z153</f>
        <v>-4.1599999999999993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-150.59199999999998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1122</v>
      </c>
      <c r="B159" s="170">
        <f t="shared" ref="B159:B161" si="69">Z154</f>
        <v>-7.6999999999999993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-230.99999999999997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1123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1124</v>
      </c>
      <c r="B161" s="170">
        <f t="shared" si="69"/>
        <v>-1.0399999999999998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-161.61599999999999</v>
      </c>
      <c r="K161" s="170"/>
      <c r="L161" s="170"/>
      <c r="M161" s="170"/>
      <c r="N161" s="170"/>
      <c r="O161" s="229">
        <v>4</v>
      </c>
      <c r="R161" s="2" t="s">
        <v>654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1</v>
      </c>
      <c r="T164" s="170">
        <f>VLOOKUP($R164,[1]MEP!$A$4:$M$300,13)</f>
        <v>2</v>
      </c>
      <c r="U164" s="170">
        <f>IF($T164&gt;0,$S164,0)</f>
        <v>1</v>
      </c>
      <c r="V164" s="170">
        <f>IF($T164&gt;1,$S164,0)</f>
        <v>1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1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1</v>
      </c>
      <c r="AO164" s="168" t="s">
        <v>51</v>
      </c>
    </row>
    <row r="165" spans="1:41" x14ac:dyDescent="0.25">
      <c r="A165" s="5" t="s">
        <v>1125</v>
      </c>
      <c r="B165" s="5"/>
      <c r="C165" s="192" t="s">
        <v>1126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672</v>
      </c>
      <c r="AO165" s="170">
        <f>SUM(AD164:AD183)</f>
        <v>13.5</v>
      </c>
    </row>
    <row r="166" spans="1:41" x14ac:dyDescent="0.25">
      <c r="A166" s="5" t="s">
        <v>1127</v>
      </c>
      <c r="B166" s="30">
        <f>T246*[1]Eco!$B$108*[1]Eco!$B$109</f>
        <v>399.99999999999994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4252</v>
      </c>
      <c r="K166" s="170"/>
      <c r="L166" s="170"/>
      <c r="M166" s="170"/>
      <c r="N166" s="170"/>
      <c r="Q166">
        <v>3</v>
      </c>
      <c r="R166" s="170">
        <f>'Alim -Surf'!Q9</f>
        <v>260</v>
      </c>
      <c r="S166" s="170">
        <f>'Alim -Surf'!R9</f>
        <v>4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4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4</v>
      </c>
      <c r="AI166" s="170">
        <f t="shared" si="81"/>
        <v>0</v>
      </c>
      <c r="AJ166" s="170">
        <f t="shared" si="82"/>
        <v>0</v>
      </c>
      <c r="AN166" s="32" t="s">
        <v>673</v>
      </c>
      <c r="AO166" s="170">
        <f>SUM(AC164:AC183)</f>
        <v>0</v>
      </c>
    </row>
    <row r="167" spans="1:41" x14ac:dyDescent="0.25">
      <c r="A167" s="5" t="s">
        <v>1128</v>
      </c>
      <c r="B167" s="30">
        <f>IF(Scénario!K129=1,SUM(Travail!F69:F75)+Travail!F81+Travail!F83+Travail!F84,0)</f>
        <v>405.8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4313.6540000000005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674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675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676</v>
      </c>
      <c r="AO169" s="170">
        <f>SUM(AC186:AC205)</f>
        <v>0</v>
      </c>
    </row>
    <row r="170" spans="1:41" x14ac:dyDescent="0.25">
      <c r="A170" s="221" t="s">
        <v>1129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58740.546000000002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677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678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1130</v>
      </c>
      <c r="B174" s="222">
        <f>J48-J145-J170</f>
        <v>34570.16399999999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1131</v>
      </c>
      <c r="B175" s="222">
        <f>ROUND(B174/Scénario!K4,0)</f>
        <v>17285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1132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1133</v>
      </c>
      <c r="B178" s="236">
        <f>SUM(AF237:AF240)</f>
        <v>2929.8860010613639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1134</v>
      </c>
      <c r="B180" s="222">
        <f>B174-B177-B178</f>
        <v>20640.277998938625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1135</v>
      </c>
      <c r="B181" s="222">
        <f>ROUND(B180/Scénario!K4,0)</f>
        <v>10320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6.8</v>
      </c>
      <c r="T188" s="170">
        <f>VLOOKUP(R188,[1]MEP!$A$4:$M$300,13)</f>
        <v>2</v>
      </c>
      <c r="U188" s="170">
        <f t="shared" si="72"/>
        <v>6.8</v>
      </c>
      <c r="V188" s="170">
        <f t="shared" si="73"/>
        <v>6.8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6.8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6.8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260</v>
      </c>
      <c r="S189" s="170">
        <f>'Alim -Surf'!R32</f>
        <v>1.2</v>
      </c>
      <c r="T189" s="170">
        <f>VLOOKUP(R189,[1]MEP!$A$4:$M$300,13)</f>
        <v>0</v>
      </c>
      <c r="U189" s="170">
        <f t="shared" si="72"/>
        <v>0</v>
      </c>
      <c r="V189" s="170">
        <f t="shared" si="73"/>
        <v>0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1.2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1.2</v>
      </c>
      <c r="AI189" s="170">
        <f t="shared" si="81"/>
        <v>0</v>
      </c>
      <c r="AJ189" s="170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287</v>
      </c>
      <c r="S190" s="170">
        <f>'Alim -Surf'!R33</f>
        <v>0</v>
      </c>
      <c r="T190" s="170">
        <f>VLOOKUP(R190,[1]MEP!$A$4:$M$300,13)</f>
        <v>2</v>
      </c>
      <c r="U190" s="170">
        <f t="shared" si="72"/>
        <v>0</v>
      </c>
      <c r="V190" s="170">
        <f t="shared" si="73"/>
        <v>0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236</v>
      </c>
      <c r="S191" s="170">
        <f>'Alim -Surf'!R34</f>
        <v>2.5</v>
      </c>
      <c r="T191" s="170">
        <f>VLOOKUP(R191,[1]MEP!$A$4:$M$300,13)</f>
        <v>1</v>
      </c>
      <c r="U191" s="170">
        <f t="shared" si="72"/>
        <v>2.5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2.5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2.5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679</v>
      </c>
      <c r="R228" s="2"/>
      <c r="S228" s="62">
        <f t="shared" ref="S228" si="83">SUM(S164:S227)</f>
        <v>28.5</v>
      </c>
      <c r="U228" s="62">
        <f>SUM(U164:U227)</f>
        <v>23.3</v>
      </c>
      <c r="V228" s="62">
        <f t="shared" ref="V228:W228" si="84">SUM(V164:V227)</f>
        <v>10.8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5.2</v>
      </c>
      <c r="AI228" s="62">
        <f t="shared" si="86"/>
        <v>12.5</v>
      </c>
      <c r="AJ228" s="62">
        <f t="shared" si="86"/>
        <v>10.8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1136</v>
      </c>
      <c r="V232" t="s">
        <v>1137</v>
      </c>
      <c r="W232" t="s">
        <v>1138</v>
      </c>
      <c r="X232" t="s">
        <v>1139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1140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1141</v>
      </c>
      <c r="T234" s="30">
        <f>Protection!AK25</f>
        <v>6044</v>
      </c>
      <c r="U234" t="s">
        <v>1142</v>
      </c>
      <c r="V234" s="170"/>
      <c r="W234" s="170">
        <f>[1]Protect!$B$4</f>
        <v>6</v>
      </c>
      <c r="X234" s="170">
        <f>T234*W234</f>
        <v>36264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1143</v>
      </c>
      <c r="T235" s="30">
        <f>IF(AND(Troupeau!B3="OL",OR(Scénario!K87=1,Scénario!K87=2)),(Protection!AD28+Protection!AD30)/Scénario!K56,0)</f>
        <v>0.66666666666666663</v>
      </c>
      <c r="W235" s="170">
        <f>[1]Protect!$B$83</f>
        <v>2000</v>
      </c>
      <c r="X235" s="170">
        <f t="shared" ref="X235:X236" si="87">T235*W235</f>
        <v>1333.3333333333333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1144</v>
      </c>
      <c r="T236" s="30">
        <f>IF(AND(Troupeau!B3="OL",OR(Scénario!K87=1,Scénario!K87=2)),(Protection!AD29+Protection!AD31)/Scénario!K56,0)</f>
        <v>0.33333333333333331</v>
      </c>
      <c r="W236" s="170">
        <f>[1]Protect!$B$84</f>
        <v>5000</v>
      </c>
      <c r="X236" s="170">
        <f t="shared" si="87"/>
        <v>1666.6666666666665</v>
      </c>
      <c r="Z236" t="s">
        <v>1145</v>
      </c>
      <c r="AA236" t="s">
        <v>1146</v>
      </c>
      <c r="AB236" t="s">
        <v>1147</v>
      </c>
      <c r="AC236" t="s">
        <v>1148</v>
      </c>
      <c r="AD236" t="s">
        <v>1149</v>
      </c>
      <c r="AE236" t="s">
        <v>1150</v>
      </c>
      <c r="AF236" t="s">
        <v>1151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1152</v>
      </c>
      <c r="X237" s="46">
        <f>SUM(X233:X236)</f>
        <v>39264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23764</v>
      </c>
      <c r="AB237" s="30">
        <f>(Scénario!K127/100)*AA237</f>
        <v>0</v>
      </c>
      <c r="AC237" s="30">
        <f>AA237-AB237</f>
        <v>23764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2929.8860010613639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1153</v>
      </c>
      <c r="T240" s="30">
        <f>IF(Scénario!K87=3,Protection!AE33,0)</f>
        <v>0</v>
      </c>
      <c r="U240" t="s">
        <v>1142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1154</v>
      </c>
      <c r="W244" t="s">
        <v>1085</v>
      </c>
      <c r="X244" t="s">
        <v>976</v>
      </c>
    </row>
    <row r="245" spans="17:31" x14ac:dyDescent="0.25">
      <c r="Q245" s="15"/>
      <c r="S245" s="14" t="s">
        <v>1155</v>
      </c>
      <c r="T245" s="30">
        <f>IF(Scénario!K87=0,0,Protection!AJ8)</f>
        <v>10</v>
      </c>
      <c r="X245" s="170">
        <f>ROUND((([1]Protect!$B$5/[1]Protect!$B$11)+[1]Protect!$B$8)*T245,0)</f>
        <v>9043</v>
      </c>
    </row>
    <row r="246" spans="17:31" x14ac:dyDescent="0.25">
      <c r="Q246" s="15"/>
      <c r="S246" s="14" t="s">
        <v>1156</v>
      </c>
      <c r="T246" s="30">
        <f>IF(Scénario!K94=0,0,Scénario!K94/Scénario!K56*Scénario!K54)</f>
        <v>1.6666666666666665</v>
      </c>
      <c r="W246" s="170">
        <f>[1]Eco!$B$106*[1]Eco!$B$108*[1]Eco!$B$109</f>
        <v>2551.2000000000003</v>
      </c>
      <c r="X246" s="170">
        <f>T246*W246</f>
        <v>4252</v>
      </c>
    </row>
    <row r="247" spans="17:31" x14ac:dyDescent="0.25">
      <c r="S247" s="14" t="s">
        <v>1157</v>
      </c>
      <c r="T247" s="30">
        <f>Travail!F16/8</f>
        <v>23.333333333333332</v>
      </c>
      <c r="W247" s="170">
        <f>[1]Eco!$B$111</f>
        <v>28.3</v>
      </c>
      <c r="X247" s="170">
        <f>T247*W247</f>
        <v>660.33333333333337</v>
      </c>
    </row>
    <row r="248" spans="17:31" x14ac:dyDescent="0.25">
      <c r="W248" s="14" t="s">
        <v>1158</v>
      </c>
      <c r="X248" s="170">
        <f>SUM(X245:X247)</f>
        <v>13955.333333333334</v>
      </c>
    </row>
    <row r="249" spans="17:31" x14ac:dyDescent="0.25">
      <c r="W249" s="14" t="s">
        <v>1159</v>
      </c>
      <c r="X249" s="170">
        <f>ROUND(X246+X247+Protection!AJ5*(([1]Protect!$B$5/[1]Protect!$B$11)+[1]Protect!$B$8),0)</f>
        <v>13955</v>
      </c>
      <c r="AB249" t="s">
        <v>1160</v>
      </c>
    </row>
    <row r="250" spans="17:31" x14ac:dyDescent="0.25">
      <c r="AB250" t="s">
        <v>1161</v>
      </c>
    </row>
    <row r="254" spans="17:31" x14ac:dyDescent="0.25">
      <c r="S254" s="40" t="s">
        <v>1162</v>
      </c>
      <c r="T254" s="4">
        <f>IF(Scénario!K53="OL",Scénario!K55*(1/0.15)*Scénario!K56,0)</f>
        <v>840</v>
      </c>
      <c r="Y254" s="40" t="s">
        <v>1163</v>
      </c>
      <c r="Z254">
        <f>IF(Troupeau!B3="OL",Troupeau!B17,0)</f>
        <v>278</v>
      </c>
    </row>
    <row r="255" spans="17:31" x14ac:dyDescent="0.25">
      <c r="U255" t="s">
        <v>1164</v>
      </c>
      <c r="AA255" t="s">
        <v>1164</v>
      </c>
    </row>
    <row r="256" spans="17:31" x14ac:dyDescent="0.25">
      <c r="S256" s="14" t="s">
        <v>1165</v>
      </c>
      <c r="T256" s="30">
        <f>IF(T254&lt;151,1,0)</f>
        <v>0</v>
      </c>
      <c r="U256" s="170">
        <f>IF(T256=0,0,[1]Protect!$B76)</f>
        <v>0</v>
      </c>
      <c r="Y256" s="14" t="s">
        <v>1166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1167</v>
      </c>
      <c r="T257" s="30">
        <f>IF(AND(150 &lt;T$254,T$254&lt;451),1,0)</f>
        <v>0</v>
      </c>
      <c r="U257" s="170">
        <f>IF(T257=0,0,[1]Protect!$B77)</f>
        <v>0</v>
      </c>
      <c r="Y257" s="14" t="s">
        <v>1168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1169</v>
      </c>
      <c r="T258" s="30">
        <f>IF(AND(540 &lt;T$254,T$254&lt;1201),1,0)</f>
        <v>1</v>
      </c>
      <c r="U258" s="170">
        <f>IF(T258=0,0,[1]Protect!$B78)</f>
        <v>20000</v>
      </c>
      <c r="Y258" s="14" t="s">
        <v>1170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1171</v>
      </c>
      <c r="T259" s="30">
        <f>IF(AND(1200&lt;T$254,T$254&lt;1501),1,0)</f>
        <v>0</v>
      </c>
      <c r="U259" s="170">
        <f>IF(T259=0,0,[1]Protect!$B79)</f>
        <v>0</v>
      </c>
      <c r="Y259" s="14" t="s">
        <v>1172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1173</v>
      </c>
      <c r="T260" s="30">
        <f>IF(1500&lt;T$254,1,0)</f>
        <v>0</v>
      </c>
      <c r="U260" s="170">
        <f>IF(T260=0,0,[1]Protect!$B80)</f>
        <v>0</v>
      </c>
      <c r="Y260" s="14" t="s">
        <v>1174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1175</v>
      </c>
      <c r="V263" s="170">
        <f>IF(Scénario!K84=2,'Calcul éco'!V264,IF(Scénario!K84=1,'Calcul éco'!V265,0))</f>
        <v>11164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1176</v>
      </c>
      <c r="V264" s="170">
        <f>IF(X$249&lt;SUM(U256:U260),X$249*0.8,SUM(U256:U260))</f>
        <v>11164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1177</v>
      </c>
      <c r="V265" s="170">
        <f>IF(X$249&lt;SUM(AA256:AA260),X$249*0.8,SUM(AA256:AA260))</f>
        <v>10000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1178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1179</v>
      </c>
      <c r="U270" s="33"/>
      <c r="V270" s="33"/>
      <c r="W270" s="33" t="s">
        <v>1180</v>
      </c>
      <c r="X270" s="33" t="s">
        <v>1043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1181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1182</v>
      </c>
      <c r="T272" s="170">
        <f>T234*[1]Protect!$B$17/100</f>
        <v>90.66</v>
      </c>
      <c r="U272" s="170"/>
      <c r="V272" s="170"/>
      <c r="W272" s="170">
        <f>W234</f>
        <v>6</v>
      </c>
      <c r="X272" s="170">
        <f>T272*W272</f>
        <v>543.96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1183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1143</v>
      </c>
      <c r="T274" s="170">
        <f>IF(T235&gt;0,[1]Protect!$B$85*T235,0)</f>
        <v>1.3333333333333333</v>
      </c>
      <c r="U274" s="170"/>
      <c r="V274" s="170"/>
      <c r="W274" s="170">
        <f>W271</f>
        <v>100</v>
      </c>
      <c r="X274" s="170">
        <f>T274*W274</f>
        <v>133.33333333333331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1144</v>
      </c>
      <c r="T275" s="170">
        <f>T236</f>
        <v>0.33333333333333331</v>
      </c>
      <c r="U275" s="170"/>
      <c r="V275" s="170"/>
      <c r="W275" s="170">
        <f>[1]Protect!$B$42</f>
        <v>200</v>
      </c>
      <c r="X275" s="170">
        <f>T275*W275</f>
        <v>66.666666666666657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1" zoomScale="110" zoomScaleNormal="110" workbookViewId="0">
      <selection activeCell="E293" sqref="E293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492</v>
      </c>
      <c r="C1" s="253" t="str">
        <f>Scénario!K1</f>
        <v>Z2_OLBV_T3_MC2s1</v>
      </c>
      <c r="D1" s="253" t="str">
        <f>CONCATENATE(C1,"_corr")</f>
        <v>Z2_OLBV_T3_MC2s1_corr</v>
      </c>
    </row>
    <row r="2" spans="2:4" x14ac:dyDescent="0.25">
      <c r="B2" s="14" t="s">
        <v>493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496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499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501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504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510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513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517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521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524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503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532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535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538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540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541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554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555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556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557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1184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576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577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578</v>
      </c>
      <c r="C25" s="174">
        <f>Scénario!K56</f>
        <v>3</v>
      </c>
      <c r="D25" s="174">
        <f t="shared" si="0"/>
        <v>3</v>
      </c>
    </row>
    <row r="26" spans="2:5" x14ac:dyDescent="0.25">
      <c r="B26" s="14" t="s">
        <v>581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584</v>
      </c>
      <c r="C27" s="174">
        <f>Scénario!K58</f>
        <v>2</v>
      </c>
      <c r="D27" s="174">
        <f t="shared" si="0"/>
        <v>2</v>
      </c>
    </row>
    <row r="28" spans="2:5" x14ac:dyDescent="0.25">
      <c r="B28" s="14" t="s">
        <v>586</v>
      </c>
      <c r="C28" s="174">
        <f>Scénario!K59</f>
        <v>2</v>
      </c>
      <c r="D28" s="174">
        <f t="shared" si="0"/>
        <v>2</v>
      </c>
    </row>
    <row r="29" spans="2:5" x14ac:dyDescent="0.25">
      <c r="B29" s="14" t="s">
        <v>572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588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591</v>
      </c>
      <c r="C31" s="174">
        <f>Scénario!K61</f>
        <v>0</v>
      </c>
      <c r="D31" s="174">
        <f t="shared" si="0"/>
        <v>0</v>
      </c>
    </row>
    <row r="32" spans="2:5" x14ac:dyDescent="0.25">
      <c r="B32" s="14" t="s">
        <v>593</v>
      </c>
      <c r="C32" s="174">
        <f>Scénario!K62</f>
        <v>0</v>
      </c>
      <c r="D32" s="174">
        <f t="shared" si="0"/>
        <v>0</v>
      </c>
      <c r="E32" s="14"/>
    </row>
    <row r="33" spans="2:5" x14ac:dyDescent="0.25">
      <c r="B33" s="14" t="s">
        <v>594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1185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597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598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599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600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601</v>
      </c>
      <c r="C39" s="174">
        <f>Scénario!K71</f>
        <v>0</v>
      </c>
      <c r="D39" s="174">
        <f t="shared" si="0"/>
        <v>0</v>
      </c>
      <c r="E39" s="14"/>
    </row>
    <row r="40" spans="2:5" x14ac:dyDescent="0.25">
      <c r="B40" s="14" t="s">
        <v>602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603</v>
      </c>
      <c r="C41" s="174">
        <f>Scénario!K73</f>
        <v>0</v>
      </c>
      <c r="D41" s="174">
        <f t="shared" si="0"/>
        <v>0</v>
      </c>
      <c r="E41" s="14"/>
    </row>
    <row r="42" spans="2:5" x14ac:dyDescent="0.25">
      <c r="B42" s="14" t="s">
        <v>1186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608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610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1187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613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614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1188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617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620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630</v>
      </c>
      <c r="C51" s="174">
        <f>Scénario!K87</f>
        <v>1</v>
      </c>
      <c r="D51" s="174">
        <f t="shared" si="0"/>
        <v>1</v>
      </c>
      <c r="E51" s="14"/>
    </row>
    <row r="52" spans="1:132" x14ac:dyDescent="0.25">
      <c r="B52" s="19" t="s">
        <v>607</v>
      </c>
      <c r="C52" s="174">
        <f>Scénario!K84</f>
        <v>2</v>
      </c>
      <c r="D52" s="174">
        <f t="shared" si="0"/>
        <v>2</v>
      </c>
      <c r="E52" s="14"/>
    </row>
    <row r="53" spans="1:132" x14ac:dyDescent="0.25">
      <c r="B53" s="14" t="s">
        <v>618</v>
      </c>
      <c r="C53" s="174">
        <f>Scénario!K88</f>
        <v>1</v>
      </c>
      <c r="D53" s="174">
        <f t="shared" si="0"/>
        <v>1</v>
      </c>
      <c r="E53" s="14"/>
    </row>
    <row r="54" spans="1:132" x14ac:dyDescent="0.25">
      <c r="B54" s="14" t="s">
        <v>635</v>
      </c>
      <c r="C54" s="174">
        <f>Scénario!K89</f>
        <v>1</v>
      </c>
      <c r="D54" s="174">
        <f t="shared" si="0"/>
        <v>1</v>
      </c>
      <c r="E54" s="14"/>
    </row>
    <row r="55" spans="1:132" x14ac:dyDescent="0.25">
      <c r="B55" s="14" t="s">
        <v>635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616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1189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637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638</v>
      </c>
      <c r="C59" s="174">
        <f>Scénario!K94</f>
        <v>2</v>
      </c>
      <c r="D59" s="174">
        <f t="shared" si="0"/>
        <v>2</v>
      </c>
      <c r="E59" s="14"/>
    </row>
    <row r="60" spans="1:132" x14ac:dyDescent="0.25">
      <c r="B60" s="14" t="s">
        <v>648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650</v>
      </c>
      <c r="C61" s="174">
        <f>Scénario!K129</f>
        <v>1</v>
      </c>
      <c r="D61" s="174">
        <f t="shared" si="0"/>
        <v>1</v>
      </c>
      <c r="E61" s="14"/>
    </row>
    <row r="62" spans="1:132" x14ac:dyDescent="0.25">
      <c r="A62" s="2" t="s">
        <v>1190</v>
      </c>
      <c r="B62" s="14" t="s">
        <v>1191</v>
      </c>
      <c r="C62" s="170" t="str">
        <f>Scénario!K12</f>
        <v>OL/BV</v>
      </c>
      <c r="D62" s="170" t="str">
        <f>C62</f>
        <v>OL/BV</v>
      </c>
      <c r="AS62" s="40" t="s">
        <v>574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588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595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1192</v>
      </c>
      <c r="C63" s="170">
        <f>IF(Troupeau!B3="OL",Troupeau!B17,0)</f>
        <v>278</v>
      </c>
      <c r="D63" s="254">
        <f>ROUND(C63*$D$82/$C$82,3)</f>
        <v>0</v>
      </c>
      <c r="F63" s="255" t="s">
        <v>1193</v>
      </c>
      <c r="G63">
        <f>D82/C82</f>
        <v>0</v>
      </c>
      <c r="AT63" s="2" t="s">
        <v>784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784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784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1194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1195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1196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1197</v>
      </c>
      <c r="AT65" s="184" t="str">
        <f t="shared" ref="AT65:AT73" si="2">AT88</f>
        <v>Brebis laitières tardives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1198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Brebis vides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1199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1200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1201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1202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1203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1204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1205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1206</v>
      </c>
      <c r="C74" s="170">
        <f>C71+C73</f>
        <v>0</v>
      </c>
      <c r="D74" s="254">
        <f t="shared" si="3"/>
        <v>0</v>
      </c>
      <c r="AT74" s="2" t="s">
        <v>788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788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788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1207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1208</v>
      </c>
      <c r="C76" s="170">
        <f>'Calcul éco'!AO166</f>
        <v>0</v>
      </c>
      <c r="D76" s="254">
        <f t="shared" si="3"/>
        <v>0</v>
      </c>
      <c r="AT76" s="184" t="str">
        <f t="shared" si="4"/>
        <v>Brebis laitières tardives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1209</v>
      </c>
      <c r="C77" s="170">
        <f>'Calcul éco'!AO169</f>
        <v>0</v>
      </c>
      <c r="D77" s="254">
        <f t="shared" si="3"/>
        <v>0</v>
      </c>
      <c r="AT77" s="184" t="str">
        <f t="shared" si="4"/>
        <v>Brebis vides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1210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1211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1212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1213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1214</v>
      </c>
      <c r="C82" s="170">
        <f>C81+C80</f>
        <v>29.5</v>
      </c>
      <c r="D82" s="80"/>
      <c r="E82" s="85" t="s">
        <v>1215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1216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1217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1218</v>
      </c>
      <c r="B85" s="14" t="s">
        <v>1219</v>
      </c>
      <c r="C85" s="170">
        <f>'Calcul éco'!$U$228</f>
        <v>23.3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1220</v>
      </c>
      <c r="C86" s="170">
        <f>'Calcul éco'!$V$228</f>
        <v>10.8</v>
      </c>
      <c r="D86" s="257">
        <f t="shared" ref="D86:D97" si="14">ROUND(C86*$D$82/$C$82,3)</f>
        <v>0</v>
      </c>
      <c r="AT86" s="186" t="s">
        <v>797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797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797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1221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798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569</v>
      </c>
      <c r="C88" s="170">
        <f>Scénario!K43</f>
        <v>4.66</v>
      </c>
      <c r="D88" s="257">
        <f t="shared" si="14"/>
        <v>0</v>
      </c>
      <c r="AT88" s="184" t="str">
        <f>CdTrp1!A16</f>
        <v>Brebis laitières tardives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644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558</v>
      </c>
      <c r="C89" s="170">
        <f>Scénario!K32</f>
        <v>1</v>
      </c>
      <c r="D89" s="257">
        <f t="shared" si="14"/>
        <v>0</v>
      </c>
      <c r="AT89" s="184" t="str">
        <f>CdTrp1!A17</f>
        <v>Brebis vides</v>
      </c>
      <c r="AU89" s="187" t="str">
        <f>Scénario!K98</f>
        <v>fort</v>
      </c>
      <c r="AV89" s="170">
        <f t="shared" si="15"/>
        <v>2</v>
      </c>
      <c r="AW89" s="170">
        <f t="shared" si="15"/>
        <v>2</v>
      </c>
      <c r="AX89" s="170">
        <f t="shared" si="15"/>
        <v>2</v>
      </c>
      <c r="AY89" s="170">
        <f t="shared" si="15"/>
        <v>2</v>
      </c>
      <c r="AZ89" s="170">
        <f t="shared" si="15"/>
        <v>2</v>
      </c>
      <c r="BA89" s="170">
        <f t="shared" si="15"/>
        <v>2</v>
      </c>
      <c r="BB89" s="170">
        <f t="shared" si="15"/>
        <v>2</v>
      </c>
      <c r="BC89" s="170">
        <f t="shared" si="15"/>
        <v>2</v>
      </c>
      <c r="BD89" s="170">
        <f t="shared" si="15"/>
        <v>2</v>
      </c>
      <c r="BE89" s="170">
        <f t="shared" si="15"/>
        <v>2</v>
      </c>
      <c r="BF89" s="170">
        <f t="shared" si="15"/>
        <v>2</v>
      </c>
      <c r="BG89" s="170">
        <f t="shared" si="15"/>
        <v>2</v>
      </c>
      <c r="BH89" s="170">
        <f t="shared" si="15"/>
        <v>2</v>
      </c>
      <c r="BI89" s="170">
        <f t="shared" si="15"/>
        <v>2</v>
      </c>
      <c r="BJ89" s="170">
        <f t="shared" si="15"/>
        <v>2</v>
      </c>
      <c r="BK89" s="170">
        <f t="shared" si="15"/>
        <v>2</v>
      </c>
      <c r="BL89" s="170">
        <f t="shared" si="16"/>
        <v>2</v>
      </c>
      <c r="BM89" s="170">
        <f t="shared" si="16"/>
        <v>2</v>
      </c>
      <c r="BN89" s="170">
        <f t="shared" si="16"/>
        <v>2</v>
      </c>
      <c r="BO89" s="170">
        <f t="shared" si="16"/>
        <v>2</v>
      </c>
      <c r="BP89" s="170">
        <f t="shared" si="16"/>
        <v>2</v>
      </c>
      <c r="BQ89" s="170">
        <f t="shared" si="16"/>
        <v>2</v>
      </c>
      <c r="BR89" s="170">
        <f t="shared" si="16"/>
        <v>2</v>
      </c>
      <c r="BS89" s="170">
        <f t="shared" si="16"/>
        <v>2</v>
      </c>
      <c r="BU89">
        <v>1</v>
      </c>
      <c r="BV89" t="s">
        <v>645</v>
      </c>
      <c r="BZ89" s="184" t="str">
        <f t="shared" si="17"/>
        <v>lot3</v>
      </c>
      <c r="CA89" s="187">
        <f>Scénario!K108</f>
        <v>0</v>
      </c>
      <c r="CB89" s="170">
        <f t="shared" si="21"/>
        <v>0</v>
      </c>
      <c r="CC89" s="170">
        <f t="shared" si="18"/>
        <v>0</v>
      </c>
      <c r="CD89" s="170">
        <f t="shared" si="18"/>
        <v>0</v>
      </c>
      <c r="CE89" s="170">
        <f t="shared" si="18"/>
        <v>0</v>
      </c>
      <c r="CF89" s="170">
        <f t="shared" si="18"/>
        <v>0</v>
      </c>
      <c r="CG89" s="170">
        <f t="shared" si="18"/>
        <v>0</v>
      </c>
      <c r="CH89" s="170">
        <f t="shared" si="18"/>
        <v>0</v>
      </c>
      <c r="CI89" s="170">
        <f t="shared" si="18"/>
        <v>0</v>
      </c>
      <c r="CJ89" s="170">
        <f t="shared" si="18"/>
        <v>0</v>
      </c>
      <c r="CK89" s="170">
        <f t="shared" si="18"/>
        <v>0</v>
      </c>
      <c r="CL89" s="170">
        <f t="shared" si="18"/>
        <v>0</v>
      </c>
      <c r="CM89" s="170">
        <f t="shared" si="18"/>
        <v>0</v>
      </c>
      <c r="CN89" s="170">
        <f t="shared" si="18"/>
        <v>0</v>
      </c>
      <c r="CO89" s="170">
        <f t="shared" si="18"/>
        <v>0</v>
      </c>
      <c r="CP89" s="170">
        <f t="shared" si="18"/>
        <v>0</v>
      </c>
      <c r="CQ89" s="170">
        <f t="shared" si="18"/>
        <v>0</v>
      </c>
      <c r="CR89" s="170">
        <f t="shared" si="18"/>
        <v>0</v>
      </c>
      <c r="CS89" s="170">
        <f t="shared" si="18"/>
        <v>0</v>
      </c>
      <c r="CT89" s="170">
        <f t="shared" si="18"/>
        <v>0</v>
      </c>
      <c r="CU89" s="170">
        <f t="shared" si="18"/>
        <v>0</v>
      </c>
      <c r="CV89" s="170">
        <f t="shared" si="18"/>
        <v>0</v>
      </c>
      <c r="CW89" s="170">
        <f t="shared" si="18"/>
        <v>0</v>
      </c>
      <c r="CX89" s="170">
        <f t="shared" si="18"/>
        <v>0</v>
      </c>
      <c r="CY89" s="170">
        <f t="shared" si="18"/>
        <v>0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1222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1223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561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fort</v>
      </c>
      <c r="AV91" s="170">
        <f t="shared" si="15"/>
        <v>2</v>
      </c>
      <c r="AW91" s="170">
        <f t="shared" si="15"/>
        <v>2</v>
      </c>
      <c r="AX91" s="170">
        <f t="shared" si="15"/>
        <v>2</v>
      </c>
      <c r="AY91" s="170">
        <f t="shared" si="15"/>
        <v>2</v>
      </c>
      <c r="AZ91" s="170">
        <f t="shared" si="15"/>
        <v>2</v>
      </c>
      <c r="BA91" s="170">
        <f t="shared" si="15"/>
        <v>2</v>
      </c>
      <c r="BB91" s="170">
        <f t="shared" si="15"/>
        <v>2</v>
      </c>
      <c r="BC91" s="170">
        <f t="shared" si="15"/>
        <v>2</v>
      </c>
      <c r="BD91" s="170">
        <f t="shared" si="15"/>
        <v>2</v>
      </c>
      <c r="BE91" s="170">
        <f t="shared" si="15"/>
        <v>2</v>
      </c>
      <c r="BF91" s="170">
        <f t="shared" si="15"/>
        <v>2</v>
      </c>
      <c r="BG91" s="170">
        <f t="shared" si="15"/>
        <v>2</v>
      </c>
      <c r="BH91" s="170">
        <f t="shared" si="15"/>
        <v>2</v>
      </c>
      <c r="BI91" s="170">
        <f t="shared" si="15"/>
        <v>2</v>
      </c>
      <c r="BJ91" s="170">
        <f t="shared" si="15"/>
        <v>2</v>
      </c>
      <c r="BK91" s="170">
        <f t="shared" si="15"/>
        <v>2</v>
      </c>
      <c r="BL91" s="170">
        <f t="shared" si="16"/>
        <v>2</v>
      </c>
      <c r="BM91" s="170">
        <f t="shared" si="16"/>
        <v>2</v>
      </c>
      <c r="BN91" s="170">
        <f t="shared" si="16"/>
        <v>2</v>
      </c>
      <c r="BO91" s="170">
        <f t="shared" si="16"/>
        <v>2</v>
      </c>
      <c r="BP91" s="170">
        <f t="shared" si="16"/>
        <v>2</v>
      </c>
      <c r="BQ91" s="170">
        <f t="shared" si="16"/>
        <v>2</v>
      </c>
      <c r="BR91" s="170">
        <f t="shared" si="16"/>
        <v>2</v>
      </c>
      <c r="BS91" s="170">
        <f t="shared" si="16"/>
        <v>2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562</v>
      </c>
      <c r="C92" s="170">
        <f>Scénario!K36</f>
        <v>0</v>
      </c>
      <c r="D92" s="257">
        <f t="shared" si="14"/>
        <v>0</v>
      </c>
      <c r="G92" s="2" t="s">
        <v>1224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563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564</v>
      </c>
      <c r="C94" s="170">
        <f>Scénario!K38</f>
        <v>0</v>
      </c>
      <c r="D94" s="257">
        <f t="shared" si="14"/>
        <v>0</v>
      </c>
      <c r="F94" s="14" t="s">
        <v>924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1225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Brebis laitières tardives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2</v>
      </c>
      <c r="AE95" s="30">
        <f>CdTrp1!Y77</f>
        <v>2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565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Brebis vides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2</v>
      </c>
      <c r="AD96" s="30">
        <f>CdTrp1!X78</f>
        <v>2</v>
      </c>
      <c r="AE96" s="30">
        <f>CdTrp1!Y78</f>
        <v>2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1226</v>
      </c>
      <c r="B97" s="14" t="s">
        <v>1227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2</v>
      </c>
      <c r="Z97" s="30">
        <f>CdTrp1!T79</f>
        <v>2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758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758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758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1228</v>
      </c>
      <c r="B98" s="14" t="s">
        <v>1229</v>
      </c>
      <c r="C98" s="170">
        <f>MAX(H129:AE129)</f>
        <v>5</v>
      </c>
      <c r="D98" s="170">
        <f>C98</f>
        <v>5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1</v>
      </c>
      <c r="M98" s="30">
        <f>CdTrp1!G80</f>
        <v>1</v>
      </c>
      <c r="N98" s="30">
        <f>CdTrp1!H80</f>
        <v>1</v>
      </c>
      <c r="O98" s="30">
        <f>CdTrp1!I80</f>
        <v>1</v>
      </c>
      <c r="P98" s="30">
        <f>CdTrp1!J80</f>
        <v>1</v>
      </c>
      <c r="Q98" s="30">
        <f>CdTrp1!K80</f>
        <v>1</v>
      </c>
      <c r="R98" s="30">
        <f>CdTrp1!L80</f>
        <v>1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806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1230</v>
      </c>
      <c r="B99" s="14" t="s">
        <v>1231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Brebis laitières tardives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0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0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810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1232</v>
      </c>
      <c r="B100" s="14" t="s">
        <v>1233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Brebis vides</v>
      </c>
      <c r="AU100" s="32"/>
      <c r="AV100" s="170">
        <f>IF(CdTrp1!B54=1,3,IF(CdTrp1!B54=0.5,2,IF(CdTrp1!B54=0,1,0)))</f>
        <v>2</v>
      </c>
      <c r="AW100" s="170">
        <f>IF(CdTrp1!C54=1,3,IF(CdTrp1!C54=0.5,2,IF(CdTrp1!C54=0,1,0)))</f>
        <v>2</v>
      </c>
      <c r="AX100" s="170">
        <f>IF(CdTrp1!D54=1,3,IF(CdTrp1!D54=0.5,2,IF(CdTrp1!D54=0,1,0)))</f>
        <v>2</v>
      </c>
      <c r="AY100" s="170">
        <f>IF(CdTrp1!E54=1,3,IF(CdTrp1!E54=0.5,2,IF(CdTrp1!E54=0,1,0)))</f>
        <v>2</v>
      </c>
      <c r="AZ100" s="170">
        <f>IF(CdTrp1!F54=1,3,IF(CdTrp1!F54=0.5,2,IF(CdTrp1!F54=0,1,0)))</f>
        <v>2</v>
      </c>
      <c r="BA100" s="170">
        <f>IF(CdTrp1!G54=1,3,IF(CdTrp1!G54=0.5,2,IF(CdTrp1!G54=0,1,0)))</f>
        <v>2</v>
      </c>
      <c r="BB100" s="170">
        <f>IF(CdTrp1!H54=1,3,IF(CdTrp1!H54=0.5,2,IF(CdTrp1!H54=0,1,0)))</f>
        <v>2</v>
      </c>
      <c r="BC100" s="170">
        <f>IF(CdTrp1!I54=1,3,IF(CdTrp1!I54=0.5,2,IF(CdTrp1!I54=0,1,0)))</f>
        <v>2</v>
      </c>
      <c r="BD100" s="170">
        <f>IF(CdTrp1!J54=1,3,IF(CdTrp1!J54=0.5,2,IF(CdTrp1!J54=0,1,0)))</f>
        <v>2</v>
      </c>
      <c r="BE100" s="170">
        <f>IF(CdTrp1!K54=1,3,IF(CdTrp1!K54=0.5,2,IF(CdTrp1!K54=0,1,0)))</f>
        <v>2</v>
      </c>
      <c r="BF100" s="170">
        <f>IF(CdTrp1!L54=1,3,IF(CdTrp1!L54=0.5,2,IF(CdTrp1!L54=0,1,0)))</f>
        <v>0</v>
      </c>
      <c r="BG100" s="170">
        <f>IF(CdTrp1!M54=1,3,IF(CdTrp1!M54=0.5,2,IF(CdTrp1!M54=0,1,0)))</f>
        <v>0</v>
      </c>
      <c r="BH100" s="170">
        <f>IF(CdTrp1!N54=1,3,IF(CdTrp1!N54=0.5,2,IF(CdTrp1!N54=0,1,0)))</f>
        <v>0</v>
      </c>
      <c r="BI100" s="170">
        <f>IF(CdTrp1!O54=1,3,IF(CdTrp1!O54=0.5,2,IF(CdTrp1!O54=0,1,0)))</f>
        <v>0</v>
      </c>
      <c r="BJ100" s="170">
        <f>IF(CdTrp1!P54=1,3,IF(CdTrp1!P54=0.5,2,IF(CdTrp1!P54=0,1,0)))</f>
        <v>0</v>
      </c>
      <c r="BK100" s="170">
        <f>IF(CdTrp1!Q54=1,3,IF(CdTrp1!Q54=0.5,2,IF(CdTrp1!Q54=0,1,0)))</f>
        <v>0</v>
      </c>
      <c r="BL100" s="170">
        <f>IF(CdTrp1!R54=1,3,IF(CdTrp1!R54=0.5,2,IF(CdTrp1!R54=0,1,0)))</f>
        <v>0</v>
      </c>
      <c r="BM100" s="170">
        <f>IF(CdTrp1!S54=1,3,IF(CdTrp1!S54=0.5,2,IF(CdTrp1!S54=0,1,0)))</f>
        <v>0</v>
      </c>
      <c r="BN100" s="170">
        <f>IF(CdTrp1!T54=1,3,IF(CdTrp1!T54=0.5,2,IF(CdTrp1!T54=0,1,0)))</f>
        <v>0</v>
      </c>
      <c r="BO100" s="170">
        <f>IF(CdTrp1!U54=1,3,IF(CdTrp1!U54=0.5,2,IF(CdTrp1!U54=0,1,0)))</f>
        <v>0</v>
      </c>
      <c r="BP100" s="170">
        <f>IF(CdTrp1!V54=1,3,IF(CdTrp1!V54=0.5,2,IF(CdTrp1!V54=0,1,0)))</f>
        <v>0</v>
      </c>
      <c r="BQ100" s="170">
        <f>IF(CdTrp1!W54=1,3,IF(CdTrp1!W54=0.5,2,IF(CdTrp1!W54=0,1,0)))</f>
        <v>2</v>
      </c>
      <c r="BR100" s="170">
        <f>IF(CdTrp1!X54=1,3,IF(CdTrp1!X54=0.5,2,IF(CdTrp1!X54=0,1,0)))</f>
        <v>2</v>
      </c>
      <c r="BS100" s="170">
        <f>IF(CdTrp1!Y54=1,3,IF(CdTrp1!Y54=0.5,2,IF(CdTrp1!Y54=0,1,0)))</f>
        <v>2</v>
      </c>
      <c r="BU100">
        <v>1</v>
      </c>
      <c r="BV100" t="s">
        <v>811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1234</v>
      </c>
      <c r="C101" s="170">
        <f>MAX(H132:AE132)</f>
        <v>7</v>
      </c>
      <c r="D101" s="170">
        <f t="shared" si="25"/>
        <v>7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2</v>
      </c>
      <c r="BE101" s="170">
        <f>IF(CdTrp1!K55=1,3,IF(CdTrp1!K55=0.5,2,IF(CdTrp1!K55=0,1,0)))</f>
        <v>2</v>
      </c>
      <c r="BF101" s="170">
        <f>IF(CdTrp1!L55=1,3,IF(CdTrp1!L55=0.5,2,IF(CdTrp1!L55=0,1,0)))</f>
        <v>2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2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2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1235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2</v>
      </c>
      <c r="BA102" s="170">
        <f>IF(CdTrp1!G56=1,3,IF(CdTrp1!G56=0.5,2,IF(CdTrp1!G56=0,1,0)))</f>
        <v>2</v>
      </c>
      <c r="BB102" s="170">
        <f>IF(CdTrp1!H56=1,3,IF(CdTrp1!H56=0.5,2,IF(CdTrp1!H56=0,1,0)))</f>
        <v>2</v>
      </c>
      <c r="BC102" s="170">
        <f>IF(CdTrp1!I56=1,3,IF(CdTrp1!I56=0.5,2,IF(CdTrp1!I56=0,1,0)))</f>
        <v>2</v>
      </c>
      <c r="BD102" s="170">
        <f>IF(CdTrp1!J56=1,3,IF(CdTrp1!J56=0.5,2,IF(CdTrp1!J56=0,1,0)))</f>
        <v>2</v>
      </c>
      <c r="BE102" s="170">
        <f>IF(CdTrp1!K56=1,3,IF(CdTrp1!K56=0.5,2,IF(CdTrp1!K56=0,1,0)))</f>
        <v>2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1236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1237</v>
      </c>
      <c r="C104" s="170">
        <f>(24-COUNTIF(H131:AE131,0))/2</f>
        <v>0</v>
      </c>
      <c r="D104" s="170">
        <f t="shared" si="25"/>
        <v>0</v>
      </c>
      <c r="F104" s="14" t="s">
        <v>940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1238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1</v>
      </c>
      <c r="L105" s="30">
        <f>CdTrp2!F76</f>
        <v>1</v>
      </c>
      <c r="M105" s="30">
        <f>CdTrp2!G76</f>
        <v>1</v>
      </c>
      <c r="N105" s="30">
        <f>CdTrp2!H76</f>
        <v>1</v>
      </c>
      <c r="O105" s="30">
        <f>CdTrp2!I76</f>
        <v>1</v>
      </c>
      <c r="P105" s="30">
        <f>CdTrp2!J76</f>
        <v>4</v>
      </c>
      <c r="Q105" s="30">
        <f>CdTrp2!K76</f>
        <v>4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4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1239</v>
      </c>
      <c r="C106" s="170">
        <f>SUM(H129:AE129)/2</f>
        <v>35</v>
      </c>
      <c r="D106" s="170">
        <f t="shared" si="25"/>
        <v>35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2</v>
      </c>
      <c r="O106" s="30">
        <f>CdTrp2!I77</f>
        <v>2</v>
      </c>
      <c r="P106" s="30">
        <f>CdTrp2!J77</f>
        <v>4</v>
      </c>
      <c r="Q106" s="30">
        <f>CdTrp2!K77</f>
        <v>4</v>
      </c>
      <c r="R106" s="30">
        <f>CdTrp2!L77</f>
        <v>2</v>
      </c>
      <c r="S106" s="30">
        <f>CdTrp2!M77</f>
        <v>2</v>
      </c>
      <c r="T106" s="30">
        <f>CdTrp2!N77</f>
        <v>2</v>
      </c>
      <c r="U106" s="30">
        <f>CdTrp2!O77</f>
        <v>2</v>
      </c>
      <c r="V106" s="30">
        <f>CdTrp2!P77</f>
        <v>2</v>
      </c>
      <c r="W106" s="30">
        <f>CdTrp2!Q77</f>
        <v>2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2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1240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1241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813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813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813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1242</v>
      </c>
      <c r="C109" s="170">
        <f>SUM(H132:AE132)/2</f>
        <v>54.5</v>
      </c>
      <c r="D109" s="170">
        <f t="shared" si="25"/>
        <v>54.5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1</v>
      </c>
      <c r="CF109" s="170">
        <f>IF(CdTrp2!F76=1,1,IF(CdTrp2!F76=2,2,IF(CdTrp2!F76=3,2,IF(CdTrp2!F76=4,4,0))))</f>
        <v>1</v>
      </c>
      <c r="CG109" s="170">
        <f>IF(CdTrp2!G76=1,1,IF(CdTrp2!G76=2,2,IF(CdTrp2!G76=3,2,IF(CdTrp2!G76=4,4,0))))</f>
        <v>1</v>
      </c>
      <c r="CH109" s="170">
        <f>IF(CdTrp2!H76=1,1,IF(CdTrp2!H76=2,2,IF(CdTrp2!H76=3,2,IF(CdTrp2!H76=4,4,0))))</f>
        <v>1</v>
      </c>
      <c r="CI109" s="170">
        <f>IF(CdTrp2!I76=1,1,IF(CdTrp2!I76=2,2,IF(CdTrp2!I76=3,2,IF(CdTrp2!I76=4,4,0))))</f>
        <v>1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1</v>
      </c>
      <c r="CM109" s="170">
        <f>IF(CdTrp2!M76=1,1,IF(CdTrp2!M76=2,2,IF(CdTrp2!M76=3,2,IF(CdTrp2!M76=4,4,0))))</f>
        <v>1</v>
      </c>
      <c r="CN109" s="170">
        <f>IF(CdTrp2!N76=1,1,IF(CdTrp2!N76=2,2,IF(CdTrp2!N76=3,2,IF(CdTrp2!N76=4,4,0))))</f>
        <v>1</v>
      </c>
      <c r="CO109" s="170">
        <f>IF(CdTrp2!O76=1,1,IF(CdTrp2!O76=2,2,IF(CdTrp2!O76=3,2,IF(CdTrp2!O76=4,4,0))))</f>
        <v>1</v>
      </c>
      <c r="CP109" s="170">
        <f>IF(CdTrp2!P76=1,1,IF(CdTrp2!P76=2,2,IF(CdTrp2!P76=3,2,IF(CdTrp2!P76=4,4,0))))</f>
        <v>1</v>
      </c>
      <c r="CQ109" s="170">
        <f>IF(CdTrp2!Q76=1,1,IF(CdTrp2!Q76=2,2,IF(CdTrp2!Q76=3,2,IF(CdTrp2!Q76=4,4,0))))</f>
        <v>1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1</v>
      </c>
      <c r="CT109" s="170">
        <f>IF(CdTrp2!T76=1,1,IF(CdTrp2!T76=2,2,IF(CdTrp2!T76=3,2,IF(CdTrp2!T76=4,4,0))))</f>
        <v>1</v>
      </c>
      <c r="CU109" s="170">
        <f>IF(CdTrp2!U76=1,1,IF(CdTrp2!U76=2,2,IF(CdTrp2!U76=3,2,IF(CdTrp2!U76=4,4,0))))</f>
        <v>1</v>
      </c>
      <c r="CV109" s="170">
        <f>IF(CdTrp2!V76=1,1,IF(CdTrp2!V76=2,2,IF(CdTrp2!V76=3,2,IF(CdTrp2!V76=4,4,0))))</f>
        <v>1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1243</v>
      </c>
      <c r="C110" s="170">
        <f>COUNTIF($H$94:$AE$103,1)/2</f>
        <v>17.5</v>
      </c>
      <c r="D110" s="170">
        <f t="shared" si="25"/>
        <v>17.5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Brebis laitières tardives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0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0</v>
      </c>
      <c r="BR110" s="170">
        <f>IF(CdTrp1!X77=1,1,IF(CdTrp1!X77=2,2,IF(CdTrp1!X77=3,2,IF(CdTrp1!X77=4,4,0))))</f>
        <v>2</v>
      </c>
      <c r="BS110" s="170">
        <f>IF(CdTrp1!Y77=1,1,IF(CdTrp1!Y77=2,2,IF(CdTrp1!Y77=3,2,IF(CdTrp1!Y77=4,4,0))))</f>
        <v>2</v>
      </c>
      <c r="BU110">
        <v>2</v>
      </c>
      <c r="BV110" t="s">
        <v>817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2</v>
      </c>
      <c r="CG110" s="170">
        <f>IF(CdTrp2!G77=1,1,IF(CdTrp2!G77=2,2,IF(CdTrp2!G77=3,2,IF(CdTrp2!G77=4,4,0))))</f>
        <v>2</v>
      </c>
      <c r="CH110" s="170">
        <f>IF(CdTrp2!H77=1,1,IF(CdTrp2!H77=2,2,IF(CdTrp2!H77=3,2,IF(CdTrp2!H77=4,4,0))))</f>
        <v>2</v>
      </c>
      <c r="CI110" s="170">
        <f>IF(CdTrp2!I77=1,1,IF(CdTrp2!I77=2,2,IF(CdTrp2!I77=3,2,IF(CdTrp2!I77=4,4,0))))</f>
        <v>2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2</v>
      </c>
      <c r="CM110" s="170">
        <f>IF(CdTrp2!M77=1,1,IF(CdTrp2!M77=2,2,IF(CdTrp2!M77=3,2,IF(CdTrp2!M77=4,4,0))))</f>
        <v>2</v>
      </c>
      <c r="CN110" s="170">
        <f>IF(CdTrp2!N77=1,1,IF(CdTrp2!N77=2,2,IF(CdTrp2!N77=3,2,IF(CdTrp2!N77=4,4,0))))</f>
        <v>2</v>
      </c>
      <c r="CO110" s="170">
        <f>IF(CdTrp2!O77=1,1,IF(CdTrp2!O77=2,2,IF(CdTrp2!O77=3,2,IF(CdTrp2!O77=4,4,0))))</f>
        <v>2</v>
      </c>
      <c r="CP110" s="170">
        <f>IF(CdTrp2!P77=1,1,IF(CdTrp2!P77=2,2,IF(CdTrp2!P77=3,2,IF(CdTrp2!P77=4,4,0))))</f>
        <v>2</v>
      </c>
      <c r="CQ110" s="170">
        <f>IF(CdTrp2!Q77=1,1,IF(CdTrp2!Q77=2,2,IF(CdTrp2!Q77=3,2,IF(CdTrp2!Q77=4,4,0))))</f>
        <v>2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2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1244</v>
      </c>
      <c r="C111" s="170">
        <f>COUNTIF($H$105:$AE$114,1)/2</f>
        <v>8</v>
      </c>
      <c r="D111" s="170">
        <f t="shared" si="25"/>
        <v>8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Brebis vides</v>
      </c>
      <c r="AU111" s="32"/>
      <c r="AV111" s="170">
        <f>IF(CdTrp1!B78=1,1,IF(CdTrp1!B78=2,2,IF(CdTrp1!B78=3,2,IF(CdTrp1!B78=4,4,0))))</f>
        <v>2</v>
      </c>
      <c r="AW111" s="170">
        <f>IF(CdTrp1!C78=1,1,IF(CdTrp1!C78=2,2,IF(CdTrp1!C78=3,2,IF(CdTrp1!C78=4,4,0))))</f>
        <v>2</v>
      </c>
      <c r="AX111" s="170">
        <f>IF(CdTrp1!D78=1,1,IF(CdTrp1!D78=2,2,IF(CdTrp1!D78=3,2,IF(CdTrp1!D78=4,4,0))))</f>
        <v>2</v>
      </c>
      <c r="AY111" s="170">
        <f>IF(CdTrp1!E78=1,1,IF(CdTrp1!E78=2,2,IF(CdTrp1!E78=3,2,IF(CdTrp1!E78=4,4,0))))</f>
        <v>2</v>
      </c>
      <c r="AZ111" s="170">
        <f>IF(CdTrp1!F78=1,1,IF(CdTrp1!F78=2,2,IF(CdTrp1!F78=3,2,IF(CdTrp1!F78=4,4,0))))</f>
        <v>2</v>
      </c>
      <c r="BA111" s="170">
        <f>IF(CdTrp1!G78=1,1,IF(CdTrp1!G78=2,2,IF(CdTrp1!G78=3,2,IF(CdTrp1!G78=4,4,0))))</f>
        <v>2</v>
      </c>
      <c r="BB111" s="170">
        <f>IF(CdTrp1!H78=1,1,IF(CdTrp1!H78=2,2,IF(CdTrp1!H78=3,2,IF(CdTrp1!H78=4,4,0))))</f>
        <v>2</v>
      </c>
      <c r="BC111" s="170">
        <f>IF(CdTrp1!I78=1,1,IF(CdTrp1!I78=2,2,IF(CdTrp1!I78=3,2,IF(CdTrp1!I78=4,4,0))))</f>
        <v>2</v>
      </c>
      <c r="BD111" s="170">
        <f>IF(CdTrp1!J78=1,1,IF(CdTrp1!J78=2,2,IF(CdTrp1!J78=3,2,IF(CdTrp1!J78=4,4,0))))</f>
        <v>2</v>
      </c>
      <c r="BE111" s="170">
        <f>IF(CdTrp1!K78=1,1,IF(CdTrp1!K78=2,2,IF(CdTrp1!K78=3,2,IF(CdTrp1!K78=4,4,0))))</f>
        <v>2</v>
      </c>
      <c r="BF111" s="170">
        <f>IF(CdTrp1!L78=1,1,IF(CdTrp1!L78=2,2,IF(CdTrp1!L78=3,2,IF(CdTrp1!L78=4,4,0))))</f>
        <v>2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2</v>
      </c>
      <c r="BR111" s="170">
        <f>IF(CdTrp1!X78=1,1,IF(CdTrp1!X78=2,2,IF(CdTrp1!X78=3,2,IF(CdTrp1!X78=4,4,0))))</f>
        <v>2</v>
      </c>
      <c r="BS111" s="170">
        <f>IF(CdTrp1!Y78=1,1,IF(CdTrp1!Y78=2,2,IF(CdTrp1!Y78=3,2,IF(CdTrp1!Y78=4,4,0))))</f>
        <v>2</v>
      </c>
      <c r="BU111" s="191">
        <v>4</v>
      </c>
      <c r="BV111" t="s">
        <v>819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1245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1</v>
      </c>
      <c r="BE112" s="170">
        <f>IF(CdTrp1!K79=1,1,IF(CdTrp1!K79=2,2,IF(CdTrp1!K79=3,2,IF(CdTrp1!K79=4,4,0))))</f>
        <v>1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2</v>
      </c>
      <c r="BN112" s="170">
        <f>IF(CdTrp1!T79=1,1,IF(CdTrp1!T79=2,2,IF(CdTrp1!T79=3,2,IF(CdTrp1!T79=4,4,0))))</f>
        <v>2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2</v>
      </c>
      <c r="BR112" s="170">
        <f>IF(CdTrp1!X79=1,1,IF(CdTrp1!X79=2,2,IF(CdTrp1!X79=3,2,IF(CdTrp1!X79=4,4,0))))</f>
        <v>2</v>
      </c>
      <c r="BS112" s="170">
        <f>IF(CdTrp1!Y79=1,1,IF(CdTrp1!Y79=2,2,IF(CdTrp1!Y79=3,2,IF(CdTrp1!Y79=4,4,0))))</f>
        <v>2</v>
      </c>
      <c r="BU112">
        <v>0</v>
      </c>
      <c r="BV112" t="s">
        <v>821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1246</v>
      </c>
      <c r="C113" s="170">
        <f>COUNTIF($H$94:$AE$103,2)/2</f>
        <v>11.5</v>
      </c>
      <c r="D113" s="170">
        <f t="shared" si="25"/>
        <v>11.5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1</v>
      </c>
      <c r="BA113" s="170">
        <f>IF(CdTrp1!G80=1,1,IF(CdTrp1!G80=2,2,IF(CdTrp1!G80=3,2,IF(CdTrp1!G80=4,4,0))))</f>
        <v>1</v>
      </c>
      <c r="BB113" s="170">
        <f>IF(CdTrp1!H80=1,1,IF(CdTrp1!H80=2,2,IF(CdTrp1!H80=3,2,IF(CdTrp1!H80=4,4,0))))</f>
        <v>1</v>
      </c>
      <c r="BC113" s="170">
        <f>IF(CdTrp1!I80=1,1,IF(CdTrp1!I80=2,2,IF(CdTrp1!I80=3,2,IF(CdTrp1!I80=4,4,0))))</f>
        <v>1</v>
      </c>
      <c r="BD113" s="170">
        <f>IF(CdTrp1!J80=1,1,IF(CdTrp1!J80=2,2,IF(CdTrp1!J80=3,2,IF(CdTrp1!J80=4,4,0))))</f>
        <v>1</v>
      </c>
      <c r="BE113" s="170">
        <f>IF(CdTrp1!K80=1,1,IF(CdTrp1!K80=2,2,IF(CdTrp1!K80=3,2,IF(CdTrp1!K80=4,4,0))))</f>
        <v>1</v>
      </c>
      <c r="BF113" s="170">
        <f>IF(CdTrp1!L80=1,1,IF(CdTrp1!L80=2,2,IF(CdTrp1!L80=3,2,IF(CdTrp1!L80=4,4,0))))</f>
        <v>1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1247</v>
      </c>
      <c r="C114" s="170">
        <f>COUNTIF($H$105:$AE$114,2)/2</f>
        <v>8</v>
      </c>
      <c r="D114" s="170">
        <f t="shared" si="25"/>
        <v>8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1248</v>
      </c>
      <c r="C115" s="170">
        <f>COUNTIF($H$116:$AE$125,2)/2</f>
        <v>0</v>
      </c>
      <c r="D115" s="170">
        <f t="shared" si="25"/>
        <v>0</v>
      </c>
      <c r="F115" s="14" t="s">
        <v>941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1249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1250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1251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1252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829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829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829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1253</v>
      </c>
      <c r="C120" s="170">
        <f>COUNTIF($H$105:$AE$114,4)/2</f>
        <v>3.5</v>
      </c>
      <c r="D120" s="170">
        <f t="shared" si="25"/>
        <v>3.5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831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831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831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1254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833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1255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Brebis laitières tardives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1256</v>
      </c>
      <c r="C123" s="170">
        <f>COUNTIF($H$105:$AE$114,5)/2</f>
        <v>0</v>
      </c>
      <c r="D123" s="170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Brebis vides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1257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1258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1259</v>
      </c>
      <c r="C126" s="170">
        <f t="shared" si="34"/>
        <v>0</v>
      </c>
      <c r="D126" s="170">
        <f t="shared" si="25"/>
        <v>0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1260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1261</v>
      </c>
      <c r="C128" s="170">
        <f t="shared" si="34"/>
        <v>3</v>
      </c>
      <c r="D128" s="170">
        <f t="shared" si="25"/>
        <v>3</v>
      </c>
      <c r="F128" s="14" t="s">
        <v>1262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1263</v>
      </c>
      <c r="C129" s="170">
        <f t="shared" si="34"/>
        <v>0</v>
      </c>
      <c r="D129" s="170">
        <f t="shared" si="25"/>
        <v>0</v>
      </c>
      <c r="F129" s="14" t="s">
        <v>924</v>
      </c>
      <c r="H129">
        <f>10-COUNTIF(H94:H103,0)</f>
        <v>3</v>
      </c>
      <c r="I129">
        <f t="shared" ref="I129:AE129" si="35">10-COUNTIF(I94:I103,0)</f>
        <v>3</v>
      </c>
      <c r="J129">
        <f t="shared" si="35"/>
        <v>3</v>
      </c>
      <c r="K129">
        <f t="shared" si="35"/>
        <v>3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5</v>
      </c>
      <c r="Q129">
        <f t="shared" si="35"/>
        <v>4</v>
      </c>
      <c r="R129">
        <f t="shared" si="35"/>
        <v>4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3</v>
      </c>
      <c r="AD129">
        <f t="shared" si="35"/>
        <v>3</v>
      </c>
      <c r="AE129">
        <f t="shared" si="35"/>
        <v>3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1264</v>
      </c>
      <c r="C130" s="170">
        <f t="shared" si="34"/>
        <v>2</v>
      </c>
      <c r="D130" s="170">
        <f t="shared" si="25"/>
        <v>2</v>
      </c>
      <c r="F130" s="14" t="s">
        <v>940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1265</v>
      </c>
      <c r="C131" s="170">
        <f t="shared" si="34"/>
        <v>0</v>
      </c>
      <c r="D131" s="170">
        <f t="shared" si="25"/>
        <v>0</v>
      </c>
      <c r="F131" s="14" t="s">
        <v>941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842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842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842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1266</v>
      </c>
      <c r="C132" s="170">
        <f t="shared" si="34"/>
        <v>2</v>
      </c>
      <c r="D132" s="170">
        <f t="shared" si="25"/>
        <v>2</v>
      </c>
      <c r="F132" s="14" t="s">
        <v>1267</v>
      </c>
      <c r="H132">
        <f t="shared" ref="H132:AE132" si="38">SUM(H129:H131)</f>
        <v>3</v>
      </c>
      <c r="I132">
        <f t="shared" si="38"/>
        <v>3</v>
      </c>
      <c r="J132">
        <f t="shared" si="38"/>
        <v>4</v>
      </c>
      <c r="K132">
        <f t="shared" si="38"/>
        <v>5</v>
      </c>
      <c r="L132">
        <f t="shared" si="38"/>
        <v>6</v>
      </c>
      <c r="M132">
        <f t="shared" si="38"/>
        <v>6</v>
      </c>
      <c r="N132">
        <f t="shared" si="38"/>
        <v>6</v>
      </c>
      <c r="O132">
        <f t="shared" si="38"/>
        <v>6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5</v>
      </c>
      <c r="AD132">
        <f t="shared" si="38"/>
        <v>3</v>
      </c>
      <c r="AE132">
        <f t="shared" si="38"/>
        <v>3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1268</v>
      </c>
      <c r="C133" s="260">
        <f>IF(C110&gt;0,C110/(C110+C113+C116),0)</f>
        <v>0.60344827586206895</v>
      </c>
      <c r="D133" s="260">
        <f t="shared" si="25"/>
        <v>0.60344827586206895</v>
      </c>
      <c r="AT133" s="184" t="str">
        <f t="shared" ref="AT133:AT141" si="42">AT122</f>
        <v>Brebis laitières tardives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1269</v>
      </c>
      <c r="C134" s="260">
        <f t="shared" ref="C134:C135" si="45">IF(C111&gt;0,C111/(C111+C114+C117),0)</f>
        <v>0.5</v>
      </c>
      <c r="D134" s="260">
        <f t="shared" si="25"/>
        <v>0.5</v>
      </c>
      <c r="F134" s="14" t="s">
        <v>1270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Brebis vides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1271</v>
      </c>
      <c r="C135" s="260">
        <f t="shared" si="45"/>
        <v>0</v>
      </c>
      <c r="D135" s="260">
        <f t="shared" si="25"/>
        <v>0</v>
      </c>
      <c r="F135" s="14" t="s">
        <v>1272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1273</v>
      </c>
      <c r="C136" s="260">
        <f>SUM(C110:C112)/SUM(C110:C118)</f>
        <v>0.56666666666666665</v>
      </c>
      <c r="D136" s="260">
        <f t="shared" si="25"/>
        <v>0.56666666666666665</v>
      </c>
      <c r="F136" s="14" t="s">
        <v>1274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1275</v>
      </c>
      <c r="B137" s="32" t="s">
        <v>1276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1277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1278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1279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1280</v>
      </c>
      <c r="C139" s="170">
        <f>IF(Troupeau!B$3="VL",('Calcul éco'!B9+'Calcul éco'!B10),0)</f>
        <v>0</v>
      </c>
      <c r="D139" s="261">
        <f t="shared" si="50"/>
        <v>0</v>
      </c>
      <c r="F139" s="14" t="s">
        <v>1281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1282</v>
      </c>
      <c r="C140" s="170">
        <f>IF(Troupeau!B$3="VL",('Calcul éco'!B13),0)</f>
        <v>0</v>
      </c>
      <c r="D140" s="261">
        <f t="shared" si="50"/>
        <v>0</v>
      </c>
      <c r="F140" s="14" t="s">
        <v>1283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1284</v>
      </c>
      <c r="C141" s="170">
        <f>IF(Troupeau!B$3="VL",('Calcul éco'!B14),0)</f>
        <v>0</v>
      </c>
      <c r="D141" s="261">
        <f t="shared" si="50"/>
        <v>0</v>
      </c>
      <c r="F141" s="14" t="s">
        <v>1285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1286</v>
      </c>
      <c r="C142" s="170">
        <f>SUM(G147:G150)</f>
        <v>11</v>
      </c>
      <c r="D142" s="261">
        <f t="shared" si="50"/>
        <v>0</v>
      </c>
      <c r="AT142" s="19" t="s">
        <v>854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854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854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1287</v>
      </c>
      <c r="C143" s="170">
        <f>G151+G153</f>
        <v>3</v>
      </c>
      <c r="D143" s="261">
        <f t="shared" si="50"/>
        <v>0</v>
      </c>
      <c r="AT143" s="19" t="s">
        <v>857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857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857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1288</v>
      </c>
      <c r="C144" s="170">
        <f>G152+G154</f>
        <v>0</v>
      </c>
      <c r="D144" s="261">
        <f t="shared" si="50"/>
        <v>0</v>
      </c>
      <c r="AT144" s="19" t="s">
        <v>859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859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859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1289</v>
      </c>
      <c r="C145" s="170">
        <f>G155+G156</f>
        <v>0</v>
      </c>
      <c r="D145" s="261">
        <f t="shared" si="50"/>
        <v>0</v>
      </c>
      <c r="AT145" s="19" t="s">
        <v>861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861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861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1290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1291</v>
      </c>
      <c r="AT146" s="40" t="s">
        <v>863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863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863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1292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1293</v>
      </c>
      <c r="G147">
        <f>IF(Troupeau!B$3="BV",'Calcul éco'!B9,0)</f>
        <v>0</v>
      </c>
      <c r="AT147" s="40" t="s">
        <v>865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865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865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1294</v>
      </c>
      <c r="B148" s="14" t="s">
        <v>1295</v>
      </c>
      <c r="C148" s="170">
        <f>IF(Troupeau!B3="OL",'Calcul éco'!B5,0)</f>
        <v>0</v>
      </c>
      <c r="D148" s="261">
        <f t="shared" si="50"/>
        <v>0</v>
      </c>
      <c r="F148" s="14" t="s">
        <v>1296</v>
      </c>
      <c r="G148">
        <f>IF(Troupeau!B$3="BV",'Calcul éco'!B10,0)</f>
        <v>0</v>
      </c>
      <c r="AT148" s="40" t="s">
        <v>867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867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867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1297</v>
      </c>
      <c r="C149" s="170">
        <f>IF(Troupeau!B3="OL",'Calcul éco'!B6,0)</f>
        <v>34750</v>
      </c>
      <c r="D149" s="261">
        <f t="shared" si="50"/>
        <v>0</v>
      </c>
      <c r="F149" s="14" t="s">
        <v>1298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868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1299</v>
      </c>
      <c r="C150" s="170">
        <f>IF(Troupeau!B3="BL",'Calcul éco'!B5,0)</f>
        <v>0</v>
      </c>
      <c r="D150" s="261">
        <f t="shared" si="50"/>
        <v>0</v>
      </c>
      <c r="F150" s="14" t="s">
        <v>1300</v>
      </c>
      <c r="G150">
        <f>IF(Troupeau!C$3="BV",'Calcul éco'!C10,0)</f>
        <v>4</v>
      </c>
      <c r="AT150" s="40" t="s">
        <v>868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868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1301</v>
      </c>
      <c r="B151" s="14" t="s">
        <v>1302</v>
      </c>
      <c r="C151" s="170">
        <f>'Calcul éco'!C19</f>
        <v>0</v>
      </c>
      <c r="D151" s="261">
        <f t="shared" si="50"/>
        <v>0</v>
      </c>
      <c r="F151" s="14" t="s">
        <v>1303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1304</v>
      </c>
      <c r="C152" s="170">
        <f>'Calcul éco'!C20</f>
        <v>0</v>
      </c>
      <c r="D152" s="261">
        <f t="shared" si="50"/>
        <v>0</v>
      </c>
      <c r="F152" s="14" t="s">
        <v>1305</v>
      </c>
      <c r="G152">
        <f>IF(Troupeau!B$3="BV",'Calcul éco'!B14,0)</f>
        <v>0</v>
      </c>
      <c r="AT152" s="184" t="str">
        <f t="shared" si="73"/>
        <v>Brebis laitières tardives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1306</v>
      </c>
      <c r="C153" s="170">
        <f>'Calcul éco'!C21</f>
        <v>0</v>
      </c>
      <c r="D153" s="261">
        <f t="shared" si="50"/>
        <v>0</v>
      </c>
      <c r="F153" s="14" t="s">
        <v>1307</v>
      </c>
      <c r="G153">
        <f>IF(Troupeau!C$3="BV",'Calcul éco'!C13,0)</f>
        <v>3</v>
      </c>
      <c r="AT153" s="184" t="str">
        <f t="shared" si="73"/>
        <v>Brebis vides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1308</v>
      </c>
      <c r="C154" s="170">
        <f>'Calcul éco'!D19</f>
        <v>0</v>
      </c>
      <c r="D154" s="261">
        <f t="shared" si="50"/>
        <v>0</v>
      </c>
      <c r="F154" s="14" t="s">
        <v>1309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1310</v>
      </c>
      <c r="C155" s="170">
        <f>'Calcul éco'!D20</f>
        <v>0</v>
      </c>
      <c r="D155" s="261">
        <f t="shared" si="50"/>
        <v>0</v>
      </c>
      <c r="F155" s="14" t="s">
        <v>1311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1312</v>
      </c>
      <c r="C156" s="170">
        <f>'Calcul éco'!D21</f>
        <v>0</v>
      </c>
      <c r="D156" s="261">
        <f t="shared" si="50"/>
        <v>0</v>
      </c>
      <c r="F156" s="14" t="s">
        <v>1313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1314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1315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1316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1317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1318</v>
      </c>
      <c r="B161" s="14" t="s">
        <v>1319</v>
      </c>
      <c r="C161" s="260">
        <f>IF(Troupeau!$B$3="OL",CdTrp1!$AA$159,0)</f>
        <v>82.582695928265338</v>
      </c>
      <c r="D161" s="261">
        <f t="shared" si="50"/>
        <v>0</v>
      </c>
      <c r="AT161" s="184" t="s">
        <v>882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882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882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1320</v>
      </c>
      <c r="B162" s="14" t="s">
        <v>1321</v>
      </c>
      <c r="C162" s="260">
        <f>IF(Troupeau!$B$3="OL",CdTrp1!$AA$147,0)</f>
        <v>142.05126159984181</v>
      </c>
      <c r="D162" s="261">
        <f t="shared" si="50"/>
        <v>0</v>
      </c>
      <c r="AT162" s="184" t="s">
        <v>884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884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884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1322</v>
      </c>
      <c r="C163" s="260">
        <f>IF(Troupeau!$B$3="BL",CdTrp1!$AA$159,0)</f>
        <v>0</v>
      </c>
      <c r="D163" s="261">
        <f t="shared" si="50"/>
        <v>0</v>
      </c>
      <c r="AT163" s="40" t="s">
        <v>886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886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886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1323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1324</v>
      </c>
      <c r="C165" s="260">
        <f>IF(Troupeau!$B$3="BV",CdTrp1!$AA$159,0)+IF(Troupeau!$C$3="BV",CdTrp2!$AA$159,0)</f>
        <v>56.593029166666653</v>
      </c>
      <c r="D165" s="261">
        <f t="shared" si="50"/>
        <v>0</v>
      </c>
      <c r="AT165" s="40" t="s">
        <v>889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1325</v>
      </c>
      <c r="C166" s="260">
        <f>IF(Troupeau!$B$3="BV",CdTrp1!$AA$147,0)+IF(Troupeau!$C$3="BV",CdTrp2!$AA$147,0)</f>
        <v>39.934908750000005</v>
      </c>
      <c r="D166" s="261">
        <f t="shared" si="50"/>
        <v>0</v>
      </c>
      <c r="AT166" s="147" t="s">
        <v>891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891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891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1326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1327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Brebis laitières tardives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1328</v>
      </c>
      <c r="C169" s="170">
        <f>SUM('Alim -Surf'!D24:H24)</f>
        <v>101.9225</v>
      </c>
      <c r="D169" s="261">
        <f t="shared" si="50"/>
        <v>0</v>
      </c>
      <c r="AT169" s="184" t="str">
        <f t="shared" si="95"/>
        <v>Brebis vides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1329</v>
      </c>
      <c r="C170" s="170">
        <f>SUM('Alim -Surf'!D25:H25)</f>
        <v>88.819132318061236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1330</v>
      </c>
      <c r="C171" s="170">
        <f>'Alim -Surf'!K24</f>
        <v>113.575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1331</v>
      </c>
      <c r="C172" s="170">
        <f>'Alim -Surf'!K25</f>
        <v>182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1332</v>
      </c>
      <c r="C173" s="170">
        <f>C169-C170</f>
        <v>13.103367681938764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1333</v>
      </c>
      <c r="C174" s="193">
        <f>ROUND((1 -(C173/C169))*100,1)</f>
        <v>87.1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1334</v>
      </c>
      <c r="C175" s="170">
        <f>C171-C172</f>
        <v>-68.424999999999997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1335</v>
      </c>
      <c r="C176" s="170">
        <f>'Calcul éco'!B118</f>
        <v>68.424999999999997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1336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1337</v>
      </c>
      <c r="C178" s="170">
        <f>ROUND((C170+C171)/(C170+C172),2)*100</f>
        <v>75</v>
      </c>
      <c r="D178" s="170" t="e">
        <f>ROUND((D170+D171)/(D170+D172),2)*100</f>
        <v>#DIV/0!</v>
      </c>
      <c r="AT178" s="40" t="s">
        <v>903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903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903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1338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1339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1340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1341</v>
      </c>
      <c r="B182" s="14" t="s">
        <v>1342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1343</v>
      </c>
      <c r="C183" s="170">
        <f>Protection!AK25</f>
        <v>6044</v>
      </c>
      <c r="D183" s="262">
        <f>ROUND(D184*D185,0)</f>
        <v>0</v>
      </c>
      <c r="E183" s="17" t="s">
        <v>1344</v>
      </c>
    </row>
    <row r="184" spans="1:132" x14ac:dyDescent="0.25">
      <c r="B184" s="14" t="s">
        <v>1345</v>
      </c>
      <c r="C184" s="170">
        <f>Protection!AK26</f>
        <v>28.5</v>
      </c>
      <c r="D184" s="263">
        <f>C184*D82/C82</f>
        <v>0</v>
      </c>
    </row>
    <row r="185" spans="1:132" x14ac:dyDescent="0.25">
      <c r="B185" s="14" t="s">
        <v>1346</v>
      </c>
      <c r="C185" s="170">
        <f>IF(C183=0,0,ROUND(C183/C184,0))</f>
        <v>212</v>
      </c>
      <c r="D185" s="170">
        <f>C185</f>
        <v>212</v>
      </c>
    </row>
    <row r="186" spans="1:132" x14ac:dyDescent="0.25">
      <c r="B186" s="14" t="s">
        <v>1347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1348</v>
      </c>
      <c r="C187" s="170">
        <f>'Calcul éco'!T235</f>
        <v>0.66666666666666663</v>
      </c>
      <c r="D187" s="170">
        <f>C187</f>
        <v>0.66666666666666663</v>
      </c>
    </row>
    <row r="188" spans="1:132" x14ac:dyDescent="0.25">
      <c r="B188" s="14" t="s">
        <v>1349</v>
      </c>
      <c r="C188" s="170">
        <f>'Calcul éco'!T236</f>
        <v>0.33333333333333331</v>
      </c>
      <c r="D188" s="170">
        <f t="shared" ref="D188:D189" si="101">C188</f>
        <v>0.33333333333333331</v>
      </c>
      <c r="AK188" s="40" t="s">
        <v>1154</v>
      </c>
    </row>
    <row r="189" spans="1:132" x14ac:dyDescent="0.25">
      <c r="B189" s="14" t="s">
        <v>1350</v>
      </c>
      <c r="C189" s="170">
        <f>'Calcul éco'!T245</f>
        <v>10</v>
      </c>
      <c r="D189" s="170">
        <f t="shared" si="101"/>
        <v>10</v>
      </c>
      <c r="AH189" s="15"/>
      <c r="AJ189" s="14" t="s">
        <v>1155</v>
      </c>
      <c r="AK189" s="30">
        <f>D189</f>
        <v>10</v>
      </c>
      <c r="AO189" s="170">
        <f>ROUND((([1]Protect!$B$5/[1]Protect!$B$11)+[1]Protect!$B$8)*AK189,0)</f>
        <v>9043</v>
      </c>
    </row>
    <row r="190" spans="1:132" x14ac:dyDescent="0.25">
      <c r="B190" s="14" t="s">
        <v>1351</v>
      </c>
      <c r="C190" s="170">
        <f>'Calcul éco'!T246*(30)</f>
        <v>49.999999999999993</v>
      </c>
      <c r="D190" s="170">
        <f>C190</f>
        <v>49.999999999999993</v>
      </c>
      <c r="AH190" s="15"/>
      <c r="AJ190" s="14" t="s">
        <v>1156</v>
      </c>
      <c r="AK190" s="30">
        <f>D190/30</f>
        <v>1.6666666666666665</v>
      </c>
      <c r="AN190" s="170">
        <f>[1]Eco!$B$106*[1]Eco!$B$108*[1]Eco!$B$109</f>
        <v>2551.2000000000003</v>
      </c>
      <c r="AO190" s="170">
        <f>AK190*AN190</f>
        <v>4252</v>
      </c>
    </row>
    <row r="191" spans="1:132" x14ac:dyDescent="0.25">
      <c r="B191" s="14" t="s">
        <v>1352</v>
      </c>
      <c r="C191" s="193">
        <f>ROUND(SUM(Travail!F69:F74)/8,1)</f>
        <v>36.299999999999997</v>
      </c>
      <c r="D191" s="170">
        <f>C191</f>
        <v>36.299999999999997</v>
      </c>
      <c r="E191" s="17" t="s">
        <v>1353</v>
      </c>
      <c r="G191" t="s">
        <v>1354</v>
      </c>
      <c r="N191" t="s">
        <v>1355</v>
      </c>
      <c r="U191" t="s">
        <v>968</v>
      </c>
      <c r="AJ191" s="14" t="s">
        <v>1157</v>
      </c>
      <c r="AK191" s="30">
        <f>Travail!F16/8</f>
        <v>23.333333333333332</v>
      </c>
      <c r="AN191" s="170">
        <f>[1]Eco!$B$111</f>
        <v>28.3</v>
      </c>
      <c r="AO191" s="170">
        <f>AK191*AN191</f>
        <v>660.33333333333337</v>
      </c>
    </row>
    <row r="192" spans="1:132" x14ac:dyDescent="0.25">
      <c r="B192" s="14" t="s">
        <v>1356</v>
      </c>
      <c r="C192" s="170">
        <f>(Travail!F83+Travail!F84)/8</f>
        <v>0.85</v>
      </c>
      <c r="D192" s="264">
        <f>ROUND((D183/1000)*([1]Protect!$B$25*8/10+[1]Protect!$B$26),2)/8</f>
        <v>0</v>
      </c>
      <c r="E192" s="17" t="s">
        <v>1357</v>
      </c>
      <c r="I192" s="5"/>
      <c r="AN192" s="14" t="s">
        <v>1158</v>
      </c>
      <c r="AO192" s="170">
        <f>SUM(AO189:AO191)</f>
        <v>13955.333333333334</v>
      </c>
    </row>
    <row r="193" spans="1:43" x14ac:dyDescent="0.25">
      <c r="B193" s="14" t="s">
        <v>1358</v>
      </c>
      <c r="C193" s="170">
        <f>(Travail!F75+Travail!F76+Travail!F81)/8</f>
        <v>18.875</v>
      </c>
      <c r="D193" s="170">
        <f>C193</f>
        <v>18.875</v>
      </c>
      <c r="I193" s="32" t="s">
        <v>1359</v>
      </c>
      <c r="J193" s="5">
        <f>D65</f>
        <v>0</v>
      </c>
      <c r="P193" s="32" t="s">
        <v>1360</v>
      </c>
      <c r="Q193" s="5">
        <f>D64</f>
        <v>0</v>
      </c>
      <c r="V193" s="32" t="s">
        <v>1361</v>
      </c>
      <c r="W193" s="5">
        <f>D63</f>
        <v>0</v>
      </c>
    </row>
    <row r="194" spans="1:43" x14ac:dyDescent="0.25">
      <c r="A194" s="2" t="s">
        <v>1362</v>
      </c>
      <c r="B194" s="14" t="s">
        <v>1363</v>
      </c>
      <c r="C194" s="170">
        <f>ROUND(SUM('Calcul éco'!J5:J30),0)</f>
        <v>97911</v>
      </c>
      <c r="D194" s="257">
        <f>ROUND(C194*D$82/C$82,0)</f>
        <v>0</v>
      </c>
      <c r="I194" s="32" t="s">
        <v>1364</v>
      </c>
      <c r="J194" s="5">
        <f>J193/IF(Scénario!K2="Exploit. Ind.",1,Scénario!K3)</f>
        <v>0</v>
      </c>
      <c r="P194" s="32" t="s">
        <v>1365</v>
      </c>
      <c r="Q194" s="5">
        <f>Q193/IF(Scénario!K2="Exploit. Ind.",1,Scénario!K3)</f>
        <v>0</v>
      </c>
      <c r="V194" s="32" t="s">
        <v>1366</v>
      </c>
      <c r="W194" s="5">
        <f>W193/IF(Scénario!K2="Exploit. Ind.",1,Scénario!K3)</f>
        <v>0</v>
      </c>
    </row>
    <row r="195" spans="1:43" x14ac:dyDescent="0.25">
      <c r="A195" s="2"/>
      <c r="B195" s="14" t="s">
        <v>1367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1368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1369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976</v>
      </c>
      <c r="I197" s="168" t="s">
        <v>977</v>
      </c>
      <c r="J197" s="168" t="s">
        <v>726</v>
      </c>
      <c r="O197" s="168" t="s">
        <v>976</v>
      </c>
      <c r="P197" s="168" t="s">
        <v>980</v>
      </c>
      <c r="Q197" s="168" t="s">
        <v>726</v>
      </c>
      <c r="T197" s="5"/>
      <c r="U197" s="168" t="s">
        <v>976</v>
      </c>
      <c r="V197" s="168" t="s">
        <v>978</v>
      </c>
      <c r="W197" s="168" t="s">
        <v>726</v>
      </c>
    </row>
    <row r="198" spans="1:43" x14ac:dyDescent="0.25">
      <c r="A198" s="2"/>
      <c r="B198" s="14" t="s">
        <v>1370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982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984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983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1162</v>
      </c>
      <c r="AJ198" s="4">
        <f>IF(Troupeau!B3="OL",L223,0)*Scénario!K56</f>
        <v>0</v>
      </c>
      <c r="AO198" s="40" t="s">
        <v>1163</v>
      </c>
      <c r="AP198">
        <f>IF(Troupeau!B3="OL",D63,0)</f>
        <v>0</v>
      </c>
    </row>
    <row r="199" spans="1:43" x14ac:dyDescent="0.25">
      <c r="A199" s="2"/>
      <c r="B199" s="14" t="s">
        <v>1371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985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988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986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1164</v>
      </c>
      <c r="AQ199" t="s">
        <v>1164</v>
      </c>
    </row>
    <row r="200" spans="1:43" x14ac:dyDescent="0.25">
      <c r="A200" s="2"/>
      <c r="B200" s="14" t="s">
        <v>1372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990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987</v>
      </c>
      <c r="Q200" s="62">
        <f>IF(Scénario!K10=1,Q198,Q199)*IF(Scénario!K2="Exploit. Ind.",1,Scénario!K3)</f>
        <v>0</v>
      </c>
      <c r="V200" s="40" t="s">
        <v>987</v>
      </c>
      <c r="W200" s="62">
        <f>SUM(W198:W199)*IF(Scénario!K2="Exploit. Ind.",1,Scénario!K3)</f>
        <v>0</v>
      </c>
      <c r="AI200" s="14" t="s">
        <v>1165</v>
      </c>
      <c r="AJ200" s="30">
        <f>IF(AJ198&lt;151,1,0)</f>
        <v>1</v>
      </c>
      <c r="AK200" s="170">
        <f>IF(AJ200=0,0,[1]Protect!B76)</f>
        <v>7500</v>
      </c>
      <c r="AO200" s="14" t="s">
        <v>1166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996</v>
      </c>
      <c r="B201" s="14" t="s">
        <v>997</v>
      </c>
      <c r="C201" s="170">
        <f>'Calcul éco'!J34</f>
        <v>3320</v>
      </c>
      <c r="D201" s="262">
        <f>J201</f>
        <v>0</v>
      </c>
      <c r="E201" s="17" t="s">
        <v>1373</v>
      </c>
      <c r="I201" s="40" t="s">
        <v>987</v>
      </c>
      <c r="J201" s="62">
        <f>SUM(J198:J200)*IF(Scénario!K2="Exploit. Ind.",1,Scénario!K3)</f>
        <v>0</v>
      </c>
      <c r="AI201" s="14" t="s">
        <v>1167</v>
      </c>
      <c r="AJ201" s="30">
        <f>IF(AND(150 &lt;AJ$198,AJ$198&lt;451),1,0)</f>
        <v>0</v>
      </c>
      <c r="AK201" s="170">
        <f>IF(AJ201=0,0,[1]Protect!B77)</f>
        <v>0</v>
      </c>
      <c r="AO201" s="14" t="s">
        <v>1168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999</v>
      </c>
      <c r="C202" s="170">
        <f>+'Calcul éco'!J35</f>
        <v>0</v>
      </c>
      <c r="D202" s="262">
        <f>ROUND(Q200,0)</f>
        <v>0</v>
      </c>
      <c r="E202" s="17" t="s">
        <v>1373</v>
      </c>
      <c r="AI202" s="14" t="s">
        <v>1169</v>
      </c>
      <c r="AJ202" s="30">
        <f>IF(AND(540 &lt;AJ$198,AJ$198&lt;1201),1,0)</f>
        <v>0</v>
      </c>
      <c r="AK202" s="170">
        <f>IF(AJ202=0,0,[1]Protect!B78)</f>
        <v>0</v>
      </c>
      <c r="AO202" s="14" t="s">
        <v>1170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1005</v>
      </c>
      <c r="C203" s="170">
        <f>'Calcul éco'!J37</f>
        <v>6755.4000000000005</v>
      </c>
      <c r="D203" s="262">
        <f>ROUND(W200,0)</f>
        <v>0</v>
      </c>
      <c r="E203" s="17" t="s">
        <v>1373</v>
      </c>
      <c r="AI203" s="14" t="s">
        <v>1171</v>
      </c>
      <c r="AJ203" s="30">
        <f>IF(AND(1200&lt;AJ$198,AJ$198&lt;1501),1,0)</f>
        <v>0</v>
      </c>
      <c r="AK203" s="170">
        <f>IF(AJ203=0,0,[1]Protect!B79)</f>
        <v>0</v>
      </c>
      <c r="AO203" s="14" t="s">
        <v>1172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1015</v>
      </c>
      <c r="C204" s="170">
        <f>'Calcul éco'!J39</f>
        <v>0</v>
      </c>
      <c r="D204" s="257">
        <f>ROUND(C204*D$82/C$82,0)</f>
        <v>0</v>
      </c>
      <c r="I204" s="40" t="s">
        <v>1006</v>
      </c>
      <c r="J204" t="s">
        <v>1007</v>
      </c>
      <c r="K204" t="s">
        <v>1008</v>
      </c>
      <c r="L204" t="s">
        <v>1009</v>
      </c>
      <c r="T204" s="2" t="s">
        <v>1000</v>
      </c>
      <c r="U204" s="14"/>
      <c r="V204" s="36"/>
      <c r="AI204" s="14" t="s">
        <v>1173</v>
      </c>
      <c r="AJ204" s="30">
        <f>IF(1500&lt;AJ$198,1,0)</f>
        <v>0</v>
      </c>
      <c r="AK204" s="170">
        <f>IF(AJ204=0,0,[1]Protect!B80)</f>
        <v>0</v>
      </c>
      <c r="AO204" s="14" t="s">
        <v>1174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564</v>
      </c>
      <c r="C205" s="170">
        <f>'Calcul éco'!J40</f>
        <v>0</v>
      </c>
      <c r="D205" s="257">
        <f>ROUND(C205*D$82/C$82,0)</f>
        <v>0</v>
      </c>
      <c r="I205" s="14" t="s">
        <v>1374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1004</v>
      </c>
      <c r="Y205" s="185">
        <f>'Calcul éco'!AC36</f>
        <v>258</v>
      </c>
      <c r="Z205" s="5"/>
    </row>
    <row r="206" spans="1:43" x14ac:dyDescent="0.25">
      <c r="A206" s="2" t="s">
        <v>1019</v>
      </c>
      <c r="B206" s="19" t="s">
        <v>1020</v>
      </c>
      <c r="C206" s="170">
        <f>ROUND('Calcul éco'!J42,0)</f>
        <v>9433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1010</v>
      </c>
      <c r="Y206" s="168" t="s">
        <v>976</v>
      </c>
      <c r="Z206" s="168" t="s">
        <v>726</v>
      </c>
    </row>
    <row r="207" spans="1:43" x14ac:dyDescent="0.25">
      <c r="B207" s="207" t="s">
        <v>1024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1375</v>
      </c>
      <c r="W207" s="14" t="s">
        <v>1014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1175</v>
      </c>
      <c r="AL207" s="170">
        <f>IF(Scénario!K84=2,AL209,IF(Scénario!K84=1,AL208,0))</f>
        <v>5000</v>
      </c>
      <c r="AQ207" s="5"/>
    </row>
    <row r="208" spans="1:43" x14ac:dyDescent="0.25">
      <c r="B208" s="207" t="s">
        <v>1025</v>
      </c>
      <c r="C208" s="170">
        <f>ROUND('Calcul éco'!J44,0)</f>
        <v>6516</v>
      </c>
      <c r="D208" s="257">
        <f>ROUND(C208*D$82/C$82,0)</f>
        <v>0</v>
      </c>
      <c r="S208" s="14" t="s">
        <v>1016</v>
      </c>
      <c r="T208" s="30">
        <f>L212</f>
        <v>0</v>
      </c>
      <c r="W208" s="14" t="s">
        <v>1017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1176</v>
      </c>
      <c r="AL208" s="170">
        <f>IF(AO192&lt;SUM(AK200:AK204),AO192,SUM(AK200:AK204))</f>
        <v>7500</v>
      </c>
      <c r="AQ208" s="240"/>
    </row>
    <row r="209" spans="1:43" x14ac:dyDescent="0.25">
      <c r="B209" s="19" t="s">
        <v>1027</v>
      </c>
      <c r="C209" s="170">
        <f>ROUND('Calcul éco'!J45,0)</f>
        <v>15957</v>
      </c>
      <c r="D209" s="262">
        <f>IF(Scénario!K9=0,0,ROUND(Z210,0))</f>
        <v>0</v>
      </c>
      <c r="E209" s="17" t="s">
        <v>1376</v>
      </c>
      <c r="K209" s="40" t="s">
        <v>1026</v>
      </c>
      <c r="L209" s="62">
        <f>SUM(L205:L206)</f>
        <v>0</v>
      </c>
      <c r="W209" s="14" t="s">
        <v>1018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1177</v>
      </c>
      <c r="AL209" s="170">
        <f>IF(AO192&lt;SUM(AQ200:AQ204),AO192,SUM(AQ200:AQ204))</f>
        <v>5000</v>
      </c>
      <c r="AP209" s="240"/>
      <c r="AQ209" s="240"/>
    </row>
    <row r="210" spans="1:43" x14ac:dyDescent="0.25">
      <c r="B210" s="19" t="s">
        <v>1377</v>
      </c>
      <c r="C210" s="170">
        <f>ROUND('Calcul éco'!J46,0)</f>
        <v>11164</v>
      </c>
      <c r="D210" s="262">
        <f>ROUND(AL207,0)</f>
        <v>5000</v>
      </c>
      <c r="E210" s="17" t="s">
        <v>1378</v>
      </c>
      <c r="K210" s="14" t="s">
        <v>1028</v>
      </c>
      <c r="L210" s="170">
        <f>J221</f>
        <v>0</v>
      </c>
      <c r="Y210" s="40" t="s">
        <v>987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1379</v>
      </c>
      <c r="C211" s="170">
        <f>SUM(C201:C210)</f>
        <v>55693.4</v>
      </c>
      <c r="D211" s="262">
        <f>ROUND(SUM(D201:D210),0)</f>
        <v>5000</v>
      </c>
      <c r="E211" s="17" t="s">
        <v>1380</v>
      </c>
      <c r="K211" s="40" t="s">
        <v>1033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1381</v>
      </c>
      <c r="B212" s="14" t="s">
        <v>1382</v>
      </c>
      <c r="C212" s="170">
        <f>IF(Troupeau!B3="OL",'Calcul éco'!K116,0)</f>
        <v>22720.6</v>
      </c>
      <c r="D212" s="257">
        <f>ROUND(C212*D$82/C$82,0)</f>
        <v>0</v>
      </c>
      <c r="K212" s="40" t="s">
        <v>1383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1384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1178</v>
      </c>
      <c r="AP213" s="241"/>
      <c r="AQ213" s="240"/>
    </row>
    <row r="214" spans="1:43" x14ac:dyDescent="0.25">
      <c r="B214" s="14" t="s">
        <v>1385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1036</v>
      </c>
      <c r="AF214" s="5"/>
      <c r="AJ214" s="33" t="s">
        <v>1179</v>
      </c>
      <c r="AK214" s="33"/>
      <c r="AL214" s="33"/>
      <c r="AM214" s="33" t="s">
        <v>1180</v>
      </c>
      <c r="AN214" s="33" t="s">
        <v>1043</v>
      </c>
      <c r="AP214" s="241"/>
      <c r="AQ214" s="240"/>
    </row>
    <row r="215" spans="1:43" x14ac:dyDescent="0.25">
      <c r="B215" s="14" t="s">
        <v>1386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1387</v>
      </c>
      <c r="J215" t="s">
        <v>1388</v>
      </c>
      <c r="AF215" s="5"/>
      <c r="AI215" s="14" t="s">
        <v>1181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1389</v>
      </c>
      <c r="C216" s="170">
        <f>ROUND(SUM(C212:C215),0)</f>
        <v>30502</v>
      </c>
      <c r="D216" s="257">
        <f t="shared" si="106"/>
        <v>0</v>
      </c>
      <c r="G216" s="14" t="s">
        <v>574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1182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1390</v>
      </c>
      <c r="C217" s="170">
        <f>SUM('Calcul éco'!J122:J138)</f>
        <v>1722.075</v>
      </c>
      <c r="D217" s="257">
        <f t="shared" si="106"/>
        <v>0</v>
      </c>
      <c r="G217" s="19" t="s">
        <v>588</v>
      </c>
      <c r="H217" s="19" t="str">
        <f>Troupeau!C3</f>
        <v>BV</v>
      </c>
      <c r="I217" s="30">
        <f>'Calcul éco'!S51</f>
        <v>40</v>
      </c>
      <c r="J217" s="48">
        <f t="shared" ref="J217:J218" si="107">I217*D$82/C$82</f>
        <v>0</v>
      </c>
      <c r="AF217" s="5"/>
      <c r="AI217" s="14" t="s">
        <v>1183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1391</v>
      </c>
      <c r="C218" s="170">
        <f>SUM('Calcul éco'!J118:J119)</f>
        <v>18282.855</v>
      </c>
      <c r="D218" s="257">
        <f t="shared" si="106"/>
        <v>0</v>
      </c>
      <c r="G218" s="14" t="s">
        <v>595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1143</v>
      </c>
      <c r="AJ218" s="170">
        <f>IF(D187&gt;0,[1]Protect!$B$85*D187,0)</f>
        <v>1.3333333333333333</v>
      </c>
      <c r="AK218" s="170"/>
      <c r="AL218" s="170"/>
      <c r="AM218" s="170">
        <f>'Calcul éco'!W274</f>
        <v>100</v>
      </c>
      <c r="AN218" s="170">
        <f>AJ218*AM218</f>
        <v>133.33333333333331</v>
      </c>
      <c r="AO218" s="240"/>
      <c r="AP218" s="240"/>
      <c r="AQ218" s="240"/>
    </row>
    <row r="219" spans="1:43" x14ac:dyDescent="0.25">
      <c r="B219" s="14" t="s">
        <v>1392</v>
      </c>
      <c r="C219" s="170">
        <f>'Calcul éco'!J141</f>
        <v>9043</v>
      </c>
      <c r="D219" s="257">
        <f t="shared" si="106"/>
        <v>0</v>
      </c>
      <c r="K219" s="4"/>
      <c r="AF219" s="5"/>
      <c r="AG219" s="242"/>
      <c r="AI219" s="14" t="s">
        <v>1144</v>
      </c>
      <c r="AJ219" s="170">
        <f>D188</f>
        <v>0.33333333333333331</v>
      </c>
      <c r="AK219" s="170"/>
      <c r="AL219" s="170"/>
      <c r="AM219" s="170">
        <f>'Calcul éco'!W275</f>
        <v>200</v>
      </c>
      <c r="AN219" s="170">
        <f>AJ219*AM219</f>
        <v>66.666666666666657</v>
      </c>
      <c r="AO219" s="240"/>
      <c r="AP219" s="32"/>
      <c r="AQ219" s="240"/>
    </row>
    <row r="220" spans="1:43" x14ac:dyDescent="0.25">
      <c r="B220" s="14" t="s">
        <v>1393</v>
      </c>
      <c r="C220" s="170">
        <f>'Calcul éco'!J142</f>
        <v>743.95999999999992</v>
      </c>
      <c r="D220" s="262">
        <f>SUM(AN215:AN219)</f>
        <v>199.99999999999997</v>
      </c>
      <c r="E220" s="17" t="s">
        <v>1394</v>
      </c>
      <c r="H220" s="14" t="s">
        <v>1038</v>
      </c>
      <c r="I220" s="30">
        <f>SUM(I216:I219)</f>
        <v>145</v>
      </c>
      <c r="J220" s="30">
        <f>SUM(J216:J219)</f>
        <v>0</v>
      </c>
    </row>
    <row r="221" spans="1:43" x14ac:dyDescent="0.25">
      <c r="B221" s="14" t="s">
        <v>1395</v>
      </c>
      <c r="C221" s="170">
        <f>ROUND(SUM(C216:C220),0)</f>
        <v>60294</v>
      </c>
      <c r="D221" s="262">
        <f>ROUND(SUM(D216:D220),0)</f>
        <v>200</v>
      </c>
      <c r="E221" s="17" t="s">
        <v>1394</v>
      </c>
      <c r="H221" s="14" t="s">
        <v>1039</v>
      </c>
      <c r="I221" s="30">
        <f>I220*[1]Eco!$B$25</f>
        <v>68.149999999999991</v>
      </c>
      <c r="J221" s="30">
        <f>J220*[1]Eco!$B$25</f>
        <v>0</v>
      </c>
    </row>
    <row r="222" spans="1:43" x14ac:dyDescent="0.25">
      <c r="A222" s="2" t="s">
        <v>1106</v>
      </c>
      <c r="B222" s="14" t="s">
        <v>1396</v>
      </c>
      <c r="C222" s="170">
        <f>'Calcul éco'!J149</f>
        <v>929.1</v>
      </c>
      <c r="D222" s="257">
        <f>ROUND(C222*D$82/C$82,0)</f>
        <v>0</v>
      </c>
      <c r="K222" t="s">
        <v>1387</v>
      </c>
      <c r="L222" t="s">
        <v>1397</v>
      </c>
    </row>
    <row r="223" spans="1:43" x14ac:dyDescent="0.25">
      <c r="B223" s="14" t="s">
        <v>1108</v>
      </c>
      <c r="C223" s="170">
        <f>'Calcul éco'!J150</f>
        <v>1500</v>
      </c>
      <c r="D223" s="170">
        <f>C223</f>
        <v>1500</v>
      </c>
      <c r="J223" s="14" t="s">
        <v>1398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1136</v>
      </c>
      <c r="AM223" t="s">
        <v>1137</v>
      </c>
      <c r="AN223" t="s">
        <v>1138</v>
      </c>
      <c r="AO223" t="s">
        <v>1139</v>
      </c>
    </row>
    <row r="224" spans="1:43" x14ac:dyDescent="0.25">
      <c r="B224" s="14" t="s">
        <v>1109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1399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1140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1111</v>
      </c>
      <c r="C225" s="170">
        <f>'Calcul éco'!J152</f>
        <v>0</v>
      </c>
      <c r="D225" s="170">
        <f>C225</f>
        <v>0</v>
      </c>
      <c r="G225" s="19"/>
      <c r="H225" s="19"/>
      <c r="J225" s="14" t="s">
        <v>1400</v>
      </c>
      <c r="K225" s="30">
        <f>Scénario!K66</f>
        <v>0</v>
      </c>
      <c r="L225" s="30">
        <f>K225*'Synthèse résultats'!D$82/'Synthèse résultats'!C$82</f>
        <v>0</v>
      </c>
      <c r="AJ225" s="14" t="s">
        <v>1141</v>
      </c>
      <c r="AK225" s="30">
        <f>D183</f>
        <v>0</v>
      </c>
      <c r="AL225" t="s">
        <v>1142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1113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1143</v>
      </c>
      <c r="AK226" s="30">
        <f>D187</f>
        <v>0.66666666666666663</v>
      </c>
      <c r="AN226" s="170">
        <f>[1]Protect!$B$83</f>
        <v>2000</v>
      </c>
      <c r="AO226" s="170">
        <f t="shared" ref="AO226:AO227" si="108">AK226*AN226</f>
        <v>1333.3333333333333</v>
      </c>
    </row>
    <row r="227" spans="1:49" x14ac:dyDescent="0.25">
      <c r="B227" s="14" t="s">
        <v>1115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1144</v>
      </c>
      <c r="AK227" s="30">
        <f>D188</f>
        <v>0.33333333333333331</v>
      </c>
      <c r="AN227" s="170">
        <f>[1]Protect!$B$84</f>
        <v>5000</v>
      </c>
      <c r="AO227" s="170">
        <f t="shared" si="108"/>
        <v>1666.6666666666665</v>
      </c>
      <c r="AQ227" t="s">
        <v>1145</v>
      </c>
      <c r="AR227" t="s">
        <v>1146</v>
      </c>
      <c r="AS227" t="s">
        <v>1147</v>
      </c>
      <c r="AT227" t="s">
        <v>1148</v>
      </c>
      <c r="AU227" t="s">
        <v>1149</v>
      </c>
      <c r="AV227" t="s">
        <v>1150</v>
      </c>
      <c r="AW227" t="s">
        <v>1151</v>
      </c>
    </row>
    <row r="228" spans="1:49" x14ac:dyDescent="0.25">
      <c r="B228" s="14" t="s">
        <v>1117</v>
      </c>
      <c r="C228" s="170"/>
      <c r="D228" s="257">
        <f t="shared" si="109"/>
        <v>0</v>
      </c>
      <c r="AN228" s="14" t="s">
        <v>1152</v>
      </c>
      <c r="AO228" s="46">
        <f>SUM(AO224:AO227)</f>
        <v>3000</v>
      </c>
      <c r="AQ228" s="30">
        <f>IF(Scénario!K84=1,MIN(0.8*AO228,[1]Protect!$B$68),IF(Scénario!K84=2,MIN(0.8*AO228,[1]Protect!$B$67),0))</f>
        <v>2400</v>
      </c>
      <c r="AR228" s="30">
        <f>AO228-AQ228</f>
        <v>600</v>
      </c>
      <c r="AS228" s="30">
        <f>(1-Scénario!K127/100)*AR228</f>
        <v>600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1120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1121</v>
      </c>
      <c r="C230" s="170">
        <f>'Calcul éco'!J158</f>
        <v>-150.59199999999998</v>
      </c>
      <c r="D230" s="257">
        <f t="shared" si="109"/>
        <v>0</v>
      </c>
    </row>
    <row r="231" spans="1:49" x14ac:dyDescent="0.25">
      <c r="B231" s="14" t="s">
        <v>1122</v>
      </c>
      <c r="C231" s="170">
        <f>'Calcul éco'!J159</f>
        <v>-230.99999999999997</v>
      </c>
      <c r="D231" s="257">
        <f t="shared" si="109"/>
        <v>0</v>
      </c>
      <c r="AJ231" s="14" t="s">
        <v>1153</v>
      </c>
      <c r="AK231" s="30">
        <f>D186</f>
        <v>0</v>
      </c>
      <c r="AL231" t="s">
        <v>1142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1123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1124</v>
      </c>
      <c r="C233" s="170">
        <f>'Calcul éco'!J161</f>
        <v>-161.61599999999999</v>
      </c>
      <c r="D233" s="257">
        <f t="shared" si="109"/>
        <v>0</v>
      </c>
    </row>
    <row r="234" spans="1:49" x14ac:dyDescent="0.25">
      <c r="B234" s="14" t="s">
        <v>1401</v>
      </c>
      <c r="C234" s="170">
        <f>'Calcul éco'!J166</f>
        <v>4252</v>
      </c>
      <c r="D234" s="170">
        <f>C234</f>
        <v>4252</v>
      </c>
    </row>
    <row r="235" spans="1:49" x14ac:dyDescent="0.25">
      <c r="B235" s="14" t="s">
        <v>1402</v>
      </c>
      <c r="C235" s="170">
        <f>'Calcul éco'!J167</f>
        <v>4313.6540000000005</v>
      </c>
      <c r="D235" s="262">
        <f>(D191+D192)*8*[1]Eco!$B$106</f>
        <v>3086.9519999999998</v>
      </c>
      <c r="E235" s="17" t="s">
        <v>1394</v>
      </c>
    </row>
    <row r="236" spans="1:49" x14ac:dyDescent="0.25">
      <c r="B236" s="14" t="s">
        <v>1403</v>
      </c>
      <c r="C236" s="170">
        <f>ROUND(SUM(C222:C235),0)</f>
        <v>58741</v>
      </c>
      <c r="D236" s="262">
        <f>ROUND(SUM(D222:D235),0)</f>
        <v>28021</v>
      </c>
      <c r="E236" s="17" t="s">
        <v>1404</v>
      </c>
    </row>
    <row r="237" spans="1:49" x14ac:dyDescent="0.25">
      <c r="A237" s="2" t="s">
        <v>1405</v>
      </c>
      <c r="B237" s="207" t="s">
        <v>1130</v>
      </c>
      <c r="C237" s="170">
        <f>C194+C211-C221-C236</f>
        <v>34569.399999999994</v>
      </c>
      <c r="D237" s="262">
        <f>D194+D211-D221-D236</f>
        <v>-23221</v>
      </c>
    </row>
    <row r="238" spans="1:49" x14ac:dyDescent="0.25">
      <c r="B238" s="207" t="s">
        <v>1131</v>
      </c>
      <c r="C238" s="170">
        <f>ROUND(C237/Scénario!$K$4,0)</f>
        <v>17285</v>
      </c>
      <c r="D238" s="262" t="e">
        <f>ROUND(D237/D83,0)</f>
        <v>#DIV/0!</v>
      </c>
    </row>
    <row r="239" spans="1:49" x14ac:dyDescent="0.25">
      <c r="B239" s="207" t="s">
        <v>1132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1133</v>
      </c>
      <c r="C240" s="265">
        <f>'Calcul éco'!B178</f>
        <v>2929.8860010613639</v>
      </c>
      <c r="D240" s="266">
        <f>AW228+AW231</f>
        <v>0</v>
      </c>
      <c r="E240" s="17" t="s">
        <v>1394</v>
      </c>
    </row>
    <row r="241" spans="1:15" x14ac:dyDescent="0.25">
      <c r="B241" s="207" t="s">
        <v>1134</v>
      </c>
      <c r="C241" s="267">
        <f>ROUND(C237-C239-C240,0)</f>
        <v>20640</v>
      </c>
      <c r="D241" s="266">
        <f>ROUND(D237-D239-D240,0)</f>
        <v>-34221</v>
      </c>
    </row>
    <row r="242" spans="1:15" x14ac:dyDescent="0.25">
      <c r="B242" s="207" t="s">
        <v>1135</v>
      </c>
      <c r="C242" s="170">
        <f>ROUND(C241/Scénario!K4,0)</f>
        <v>10320</v>
      </c>
      <c r="D242" s="262" t="e">
        <f>ROUND(D241/D83,0)</f>
        <v>#DIV/0!</v>
      </c>
    </row>
    <row r="243" spans="1:15" x14ac:dyDescent="0.25">
      <c r="B243" s="207" t="s">
        <v>1406</v>
      </c>
      <c r="C243" s="170">
        <f>'Calcul éco'!X237+'Calcul éco'!X240</f>
        <v>39264</v>
      </c>
      <c r="D243" s="170">
        <f>C243</f>
        <v>39264</v>
      </c>
    </row>
    <row r="244" spans="1:15" x14ac:dyDescent="0.25">
      <c r="B244" s="207" t="s">
        <v>1407</v>
      </c>
      <c r="C244" s="170">
        <f>'Calcul éco'!AA237+'Calcul éco'!AA240</f>
        <v>23764</v>
      </c>
      <c r="D244" s="170">
        <f>C244</f>
        <v>23764</v>
      </c>
    </row>
    <row r="245" spans="1:15" x14ac:dyDescent="0.25">
      <c r="A245" s="2" t="s">
        <v>1408</v>
      </c>
      <c r="B245" s="14" t="s">
        <v>574</v>
      </c>
      <c r="C245" s="268">
        <f>Travail!F5</f>
        <v>875</v>
      </c>
      <c r="D245" s="170">
        <f>C245</f>
        <v>875</v>
      </c>
    </row>
    <row r="246" spans="1:15" x14ac:dyDescent="0.25">
      <c r="B246" s="14" t="s">
        <v>588</v>
      </c>
      <c r="C246" s="268">
        <f>Travail!F6</f>
        <v>115.5</v>
      </c>
      <c r="D246" s="170">
        <f t="shared" ref="D246:D247" si="112">C246</f>
        <v>115.5</v>
      </c>
    </row>
    <row r="247" spans="1:15" x14ac:dyDescent="0.25">
      <c r="B247" s="14" t="s">
        <v>595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786</v>
      </c>
      <c r="B248" s="14" t="s">
        <v>574</v>
      </c>
      <c r="C248" s="268">
        <f>Travail!F9</f>
        <v>793.77257142857172</v>
      </c>
      <c r="D248" s="262">
        <f>ROUND(SUM(AV163:BS163),1)</f>
        <v>0</v>
      </c>
    </row>
    <row r="249" spans="1:15" x14ac:dyDescent="0.25">
      <c r="B249" s="14" t="s">
        <v>588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595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789</v>
      </c>
      <c r="B251" s="14" t="s">
        <v>574</v>
      </c>
      <c r="C251" s="268">
        <f>Travail!F16</f>
        <v>186.66666666666666</v>
      </c>
      <c r="D251" s="170">
        <f>C251</f>
        <v>186.66666666666666</v>
      </c>
      <c r="J251" s="40" t="s">
        <v>814</v>
      </c>
      <c r="M251" s="5"/>
      <c r="N251" s="5"/>
      <c r="O251" s="168"/>
    </row>
    <row r="252" spans="1:15" x14ac:dyDescent="0.25">
      <c r="A252" s="43"/>
      <c r="B252" s="14" t="s">
        <v>588</v>
      </c>
      <c r="C252" s="268">
        <f>Travail!F17</f>
        <v>0</v>
      </c>
      <c r="D252" s="170">
        <f t="shared" ref="D252:D253" si="113">C252</f>
        <v>0</v>
      </c>
      <c r="J252" s="37" t="s">
        <v>815</v>
      </c>
      <c r="K252" s="168" t="s">
        <v>51</v>
      </c>
      <c r="L252" t="s">
        <v>816</v>
      </c>
      <c r="M252" s="5"/>
      <c r="N252" s="5"/>
      <c r="O252" s="168"/>
    </row>
    <row r="253" spans="1:15" x14ac:dyDescent="0.25">
      <c r="A253" s="43"/>
      <c r="B253" s="14" t="s">
        <v>595</v>
      </c>
      <c r="C253" s="268">
        <f>Travail!F18</f>
        <v>0</v>
      </c>
      <c r="D253" s="170">
        <f t="shared" si="113"/>
        <v>0</v>
      </c>
      <c r="J253" s="14" t="s">
        <v>818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796</v>
      </c>
      <c r="B254" s="14" t="s">
        <v>574</v>
      </c>
      <c r="C254" s="268">
        <f>Travail!F20</f>
        <v>0</v>
      </c>
      <c r="D254" s="170">
        <f>Travail!G20</f>
        <v>0</v>
      </c>
      <c r="J254" s="14" t="s">
        <v>820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588</v>
      </c>
      <c r="C255" s="268">
        <f>Travail!F21</f>
        <v>48</v>
      </c>
      <c r="D255" s="170">
        <f>Travail!G21</f>
        <v>0</v>
      </c>
      <c r="J255" s="32" t="s">
        <v>822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595</v>
      </c>
      <c r="C256" s="268">
        <f>Travail!F22</f>
        <v>0</v>
      </c>
      <c r="D256" s="170">
        <f>Travail!G22</f>
        <v>0</v>
      </c>
      <c r="J256" s="32" t="s">
        <v>823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799</v>
      </c>
      <c r="B257" s="14" t="s">
        <v>574</v>
      </c>
      <c r="C257" s="268">
        <f>Travail!F31</f>
        <v>484</v>
      </c>
      <c r="D257" s="257">
        <f>ROUND(C257*D$82/C$82,0)</f>
        <v>0</v>
      </c>
      <c r="E257" s="17" t="s">
        <v>1409</v>
      </c>
      <c r="J257" s="32" t="s">
        <v>824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588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825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595</v>
      </c>
      <c r="C259" s="268">
        <f>Travail!F33</f>
        <v>0</v>
      </c>
      <c r="D259" s="257">
        <f t="shared" si="115"/>
        <v>0</v>
      </c>
      <c r="J259" s="32" t="s">
        <v>826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802</v>
      </c>
      <c r="B260" s="14" t="s">
        <v>574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1410</v>
      </c>
      <c r="J260" s="32" t="s">
        <v>827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807</v>
      </c>
      <c r="B261" s="14" t="s">
        <v>574</v>
      </c>
      <c r="C261" s="268">
        <f>Travail!F39</f>
        <v>1321</v>
      </c>
      <c r="D261" s="257">
        <f>ROUND(C261*G63,0)</f>
        <v>0</v>
      </c>
      <c r="E261" s="17" t="s">
        <v>1411</v>
      </c>
      <c r="J261" s="32" t="s">
        <v>828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1412</v>
      </c>
      <c r="B262" s="14" t="s">
        <v>818</v>
      </c>
      <c r="C262" s="268">
        <f>Travail!F50</f>
        <v>0</v>
      </c>
      <c r="D262" s="262">
        <f t="shared" ref="D262:D271" si="116">ROUND(K253*L253,0)</f>
        <v>0</v>
      </c>
      <c r="E262" s="17" t="s">
        <v>1413</v>
      </c>
      <c r="J262" s="32" t="s">
        <v>830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820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822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823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824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825</v>
      </c>
      <c r="C267" s="268">
        <f>Travail!F55</f>
        <v>134</v>
      </c>
      <c r="D267" s="262">
        <f t="shared" si="116"/>
        <v>0</v>
      </c>
    </row>
    <row r="268" spans="1:15" x14ac:dyDescent="0.25">
      <c r="B268" s="32" t="s">
        <v>826</v>
      </c>
      <c r="C268" s="268">
        <f>Travail!F56</f>
        <v>78</v>
      </c>
      <c r="D268" s="262">
        <f t="shared" si="116"/>
        <v>0</v>
      </c>
    </row>
    <row r="269" spans="1:15" x14ac:dyDescent="0.25">
      <c r="B269" s="32" t="s">
        <v>827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828</v>
      </c>
      <c r="C270" s="268">
        <f>Travail!F58</f>
        <v>21</v>
      </c>
      <c r="D270" s="262">
        <f t="shared" si="116"/>
        <v>0</v>
      </c>
    </row>
    <row r="271" spans="1:15" x14ac:dyDescent="0.25">
      <c r="B271" s="32" t="s">
        <v>830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1414</v>
      </c>
      <c r="B272" s="32" t="s">
        <v>834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835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1415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1416</v>
      </c>
      <c r="B275" s="32" t="s">
        <v>1417</v>
      </c>
      <c r="C275" s="268">
        <f>C191*8</f>
        <v>290.39999999999998</v>
      </c>
      <c r="D275" s="170">
        <f>C275</f>
        <v>290.39999999999998</v>
      </c>
    </row>
    <row r="276" spans="1:4" x14ac:dyDescent="0.25">
      <c r="A276" s="23"/>
      <c r="B276" s="32" t="s">
        <v>1418</v>
      </c>
      <c r="C276" s="268">
        <f>C192*8</f>
        <v>6.8</v>
      </c>
      <c r="D276" s="262">
        <f>D192*8</f>
        <v>0</v>
      </c>
    </row>
    <row r="277" spans="1:4" x14ac:dyDescent="0.25">
      <c r="B277" s="32" t="s">
        <v>1419</v>
      </c>
      <c r="C277" s="268">
        <f>Travail!F75+Travail!F81</f>
        <v>109</v>
      </c>
      <c r="D277" s="170">
        <f>C277</f>
        <v>109</v>
      </c>
    </row>
    <row r="278" spans="1:4" x14ac:dyDescent="0.25">
      <c r="B278" s="32" t="s">
        <v>1420</v>
      </c>
      <c r="C278" s="268">
        <f>Travail!F76</f>
        <v>42</v>
      </c>
      <c r="D278" s="170">
        <f>C278</f>
        <v>42</v>
      </c>
    </row>
    <row r="279" spans="1:4" x14ac:dyDescent="0.25">
      <c r="B279" s="32" t="s">
        <v>1421</v>
      </c>
      <c r="C279" s="268">
        <f>Travail!F86</f>
        <v>399.99999999999994</v>
      </c>
      <c r="D279" s="268">
        <f>C279</f>
        <v>399.99999999999994</v>
      </c>
    </row>
    <row r="280" spans="1:4" x14ac:dyDescent="0.25">
      <c r="B280" s="32" t="s">
        <v>1422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1423</v>
      </c>
      <c r="B281" s="14" t="s">
        <v>1424</v>
      </c>
      <c r="C281" s="170">
        <f>ROUND(C245+C248+C251+C254+C257+C260+C261,0)</f>
        <v>4503</v>
      </c>
      <c r="D281" s="262">
        <f>ROUND(D245+D248+D251+D254+D257+D260+D261,0)</f>
        <v>1282</v>
      </c>
    </row>
    <row r="282" spans="1:4" x14ac:dyDescent="0.25">
      <c r="B282" s="14" t="s">
        <v>1425</v>
      </c>
      <c r="C282" s="170">
        <f>ROUND(C246+C249+C252+C255+C258,0)</f>
        <v>569</v>
      </c>
      <c r="D282" s="262">
        <f>ROUND(D246+D249+D252+D255+D258,0)</f>
        <v>116</v>
      </c>
    </row>
    <row r="283" spans="1:4" x14ac:dyDescent="0.25">
      <c r="B283" s="14" t="s">
        <v>1426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1427</v>
      </c>
      <c r="C284" s="170">
        <f>ROUND(C281/Troupeau!$B$17,2)</f>
        <v>16.2</v>
      </c>
      <c r="D284" s="170" t="e">
        <f>ROUND(D281/(Troupeau!$B$17*G63),2)</f>
        <v>#DIV/0!</v>
      </c>
    </row>
    <row r="285" spans="1:4" x14ac:dyDescent="0.25">
      <c r="B285" s="14" t="s">
        <v>1428</v>
      </c>
      <c r="C285" s="170">
        <f>IF(Troupeau!$C$17=0,0,ROUND(C282/Troupeau!$C$17,2))</f>
        <v>28.45</v>
      </c>
      <c r="D285" s="170">
        <f>IF(Troupeau!$C$17=0,0,ROUND(D282/Troupeau!$C$17*G63,2))</f>
        <v>0</v>
      </c>
    </row>
    <row r="286" spans="1:4" x14ac:dyDescent="0.25">
      <c r="B286" s="14" t="s">
        <v>1429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1430</v>
      </c>
      <c r="C287" s="170">
        <f>SUM(C281:C283)</f>
        <v>5072</v>
      </c>
      <c r="D287" s="262">
        <f>SUM(D281:D283)</f>
        <v>1398</v>
      </c>
    </row>
    <row r="288" spans="1:4" x14ac:dyDescent="0.25">
      <c r="B288" s="14" t="s">
        <v>1431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1432</v>
      </c>
      <c r="C289" s="170">
        <f>SUM(C262:C271)</f>
        <v>302</v>
      </c>
      <c r="D289" s="262">
        <f>SUM(D262:D271)</f>
        <v>0</v>
      </c>
    </row>
    <row r="290" spans="2:4" x14ac:dyDescent="0.25">
      <c r="B290" s="14" t="s">
        <v>1433</v>
      </c>
      <c r="C290" s="268">
        <f>C275+C276+C277</f>
        <v>406.2</v>
      </c>
      <c r="D290" s="269">
        <f>D275+D276+D277</f>
        <v>399.4</v>
      </c>
    </row>
    <row r="291" spans="2:4" x14ac:dyDescent="0.25">
      <c r="B291" s="14" t="s">
        <v>1434</v>
      </c>
      <c r="C291" s="268">
        <f>C278+C279+C280</f>
        <v>441.99999999999994</v>
      </c>
      <c r="D291" s="268">
        <f>D278+D279+D280</f>
        <v>441.99999999999994</v>
      </c>
    </row>
    <row r="292" spans="2:4" x14ac:dyDescent="0.25">
      <c r="B292" s="14" t="s">
        <v>911</v>
      </c>
      <c r="C292" s="170">
        <f>ROUND(SUM(C287:C291),0)</f>
        <v>6822</v>
      </c>
      <c r="D292" s="262">
        <f>ROUND(SUM(D287:D291),0)</f>
        <v>2839</v>
      </c>
    </row>
    <row r="293" spans="2:4" x14ac:dyDescent="0.25">
      <c r="B293" s="14" t="s">
        <v>912</v>
      </c>
      <c r="C293" s="170">
        <f>ROUND(IF(Scénario!$K$129=1,SUM(C275:C280),SUM(C278:C280)),0)</f>
        <v>848</v>
      </c>
      <c r="D293" s="170">
        <f>ROUND(IF(Scénario!$K$129=1,SUM(D275:D280),SUM(D278:D280)),0)</f>
        <v>841</v>
      </c>
    </row>
    <row r="294" spans="2:4" x14ac:dyDescent="0.25">
      <c r="B294" s="14" t="s">
        <v>913</v>
      </c>
      <c r="C294" s="170">
        <f>ROUND((C292-C293)/C83,0)</f>
        <v>2987</v>
      </c>
      <c r="D294" s="170" t="e">
        <f>ROUND((D292-D293)/D83,0)</f>
        <v>#DIV/0!</v>
      </c>
    </row>
    <row r="295" spans="2:4" x14ac:dyDescent="0.25">
      <c r="B295" s="14" t="s">
        <v>1445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1446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1447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1448</v>
      </c>
      <c r="C298" s="170">
        <f>IF(Troupeau!$B$3="OL",CdTrp1!AA220,0)</f>
        <v>44.599769818061219</v>
      </c>
    </row>
    <row r="299" spans="2:4" x14ac:dyDescent="0.25">
      <c r="B299" s="14" t="s">
        <v>1449</v>
      </c>
      <c r="C299" s="170">
        <f>IF(Troupeau!$B$3="OL",CdTrp1!AA221,0)</f>
        <v>37.982926110204076</v>
      </c>
    </row>
    <row r="300" spans="2:4" x14ac:dyDescent="0.25">
      <c r="B300" s="14" t="s">
        <v>1450</v>
      </c>
      <c r="C300" s="170">
        <f>IF(Troupeau!$B$3="BV",CdTrp1!AA220,0)+IF(Troupeau!$C$3="BV",CdTrp2!AA220,0)</f>
        <v>44.219362499999981</v>
      </c>
    </row>
    <row r="301" spans="2:4" x14ac:dyDescent="0.25">
      <c r="B301" s="14" t="s">
        <v>1451</v>
      </c>
      <c r="C301" s="170">
        <f>IF(Troupeau!$B$3="BV",CdTrp1!AA221,0)+IF(Troupeau!$C$3="BV",CdTrp2!AA221,0)</f>
        <v>12.373666666666665</v>
      </c>
    </row>
    <row r="302" spans="2:4" x14ac:dyDescent="0.25">
      <c r="B302" s="14" t="s">
        <v>1452</v>
      </c>
      <c r="C302" s="170">
        <f>IF(Troupeau!$B$3="VL",CdTrp1!AA220,0)</f>
        <v>0</v>
      </c>
    </row>
    <row r="303" spans="2:4" x14ac:dyDescent="0.25">
      <c r="B303" s="14" t="s">
        <v>1453</v>
      </c>
      <c r="C303" s="170">
        <f>'Alim -Surf'!H10</f>
        <v>0</v>
      </c>
    </row>
    <row r="304" spans="2:4" x14ac:dyDescent="0.25">
      <c r="B304" s="14" t="s">
        <v>1454</v>
      </c>
      <c r="C304" s="170">
        <f>Protection!BL31</f>
        <v>15</v>
      </c>
    </row>
    <row r="305" spans="2:3" x14ac:dyDescent="0.25">
      <c r="B305" s="14" t="s">
        <v>1455</v>
      </c>
      <c r="C305" s="170">
        <f>Protection!BJ31</f>
        <v>0</v>
      </c>
    </row>
    <row r="306" spans="2:3" x14ac:dyDescent="0.25">
      <c r="B306" s="14" t="s">
        <v>1456</v>
      </c>
      <c r="C306" s="170">
        <f>'Calcul éco'!X233</f>
        <v>0</v>
      </c>
    </row>
    <row r="307" spans="2:3" x14ac:dyDescent="0.25">
      <c r="B307" s="14" t="s">
        <v>1457</v>
      </c>
      <c r="C307" s="170">
        <f>'Calcul éco'!X234</f>
        <v>36264</v>
      </c>
    </row>
    <row r="308" spans="2:3" x14ac:dyDescent="0.25">
      <c r="B308" s="14" t="s">
        <v>1458</v>
      </c>
      <c r="C308" s="170">
        <f>'Calcul éco'!X235</f>
        <v>1333.3333333333333</v>
      </c>
    </row>
    <row r="309" spans="2:3" x14ac:dyDescent="0.25">
      <c r="B309" s="14" t="s">
        <v>1459</v>
      </c>
      <c r="C309" s="170">
        <f>'Calcul éco'!X236</f>
        <v>1666.6666666666665</v>
      </c>
    </row>
    <row r="310" spans="2:3" x14ac:dyDescent="0.25">
      <c r="B310" s="14" t="s">
        <v>1460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459</v>
      </c>
      <c r="C3" s="77" t="s">
        <v>460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40" activePane="bottomLeft" state="frozen"/>
      <selection pane="bottomLeft" activeCell="K2" sqref="K1:K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1462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1461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461</v>
      </c>
      <c r="B15" s="282">
        <f>AL2*Troupeau!$B$17/$AI$2</f>
        <v>190.0612244897959</v>
      </c>
      <c r="C15" s="282">
        <f>AM2*Troupeau!$B$17/$AI$2</f>
        <v>196.86938775510205</v>
      </c>
      <c r="D15" s="282">
        <f>AN2*Troupeau!$B$17/$AI$2</f>
        <v>203.67755102040817</v>
      </c>
      <c r="E15" s="282">
        <f>AO2*Troupeau!$B$17/$AI$2</f>
        <v>196.86938775510205</v>
      </c>
      <c r="F15" s="282">
        <f>AP2*Troupeau!$B$17/$AI$2</f>
        <v>203.67755102040817</v>
      </c>
      <c r="G15" s="282">
        <f>AQ2*Troupeau!$B$17/$AI$2</f>
        <v>209.91836734693877</v>
      </c>
      <c r="H15" s="282">
        <f>AR2*Troupeau!$B$17/$AI$2</f>
        <v>216.15918367346939</v>
      </c>
      <c r="I15" s="282">
        <f>AS2*Troupeau!$B$17/$AI$2</f>
        <v>222.96734693877551</v>
      </c>
      <c r="J15" s="282">
        <f>AT2*Troupeau!$B$17/$AI$2</f>
        <v>229.77551020408163</v>
      </c>
      <c r="K15" s="282">
        <f>AU2*Troupeau!$B$17/$AI$2</f>
        <v>236.58367346938775</v>
      </c>
      <c r="L15" s="282">
        <f>AV2*Troupeau!$B$17/$AI$2</f>
        <v>242.82448979591837</v>
      </c>
      <c r="M15" s="282">
        <f>AW2*Troupeau!$B$17/$AI$2</f>
        <v>242.82448979591837</v>
      </c>
      <c r="N15" s="282">
        <f>AX2*Troupeau!$B$17/$AI$2</f>
        <v>242.82448979591837</v>
      </c>
      <c r="O15" s="282">
        <f>AY2*Troupeau!$B$17/$AI$2</f>
        <v>242.82448979591837</v>
      </c>
      <c r="P15" s="282">
        <f>AZ2*Troupeau!$B$17/$AI$2</f>
        <v>242.82448979591837</v>
      </c>
      <c r="Q15" s="282">
        <f>BA2*Troupeau!$B$17/$AI$2</f>
        <v>242.82448979591837</v>
      </c>
      <c r="R15" s="282">
        <f>BB2*Troupeau!$B$17/$AI$2</f>
        <v>242.82448979591837</v>
      </c>
      <c r="S15" s="282">
        <f>BC2*Troupeau!$B$17/$AI$2</f>
        <v>228.64081632653063</v>
      </c>
      <c r="T15" s="282">
        <f>BD2*Troupeau!$B$17/$AI$2</f>
        <v>228.64081632653063</v>
      </c>
      <c r="U15" s="282">
        <f>BE2*Troupeau!$B$17/$AI$2</f>
        <v>228.64081632653063</v>
      </c>
      <c r="V15" s="282">
        <f>BF2*Troupeau!$B$17/$AI$2</f>
        <v>228.64081632653063</v>
      </c>
      <c r="W15" s="282">
        <f>BG2*Troupeau!$B$17/$AI$2</f>
        <v>263.81632653061223</v>
      </c>
      <c r="X15" s="282">
        <f>BH2*Troupeau!$B$17/$AI$2</f>
        <v>190.0612244897959</v>
      </c>
      <c r="Y15" s="282">
        <f>BI2*Troupeau!$B$17/$AI$2</f>
        <v>190.0612244897959</v>
      </c>
      <c r="Z15" s="52"/>
    </row>
    <row r="16" spans="1:61" x14ac:dyDescent="0.25">
      <c r="A16" s="50" t="s">
        <v>436</v>
      </c>
      <c r="B16" s="282">
        <f>AL3*Troupeau!$B$17/$AI$2</f>
        <v>73.755102040816325</v>
      </c>
      <c r="C16" s="282">
        <f>AM3*Troupeau!$B$17/$AI$2</f>
        <v>65.244897959183675</v>
      </c>
      <c r="D16" s="282">
        <f>AN3*Troupeau!$B$17/$AI$2</f>
        <v>56.734693877551024</v>
      </c>
      <c r="E16" s="282">
        <f>AO3*Troupeau!$B$17/$AI$2</f>
        <v>48.224489795918366</v>
      </c>
      <c r="F16" s="282">
        <f>AP3*Troupeau!$B$17/$AI$2</f>
        <v>39.714285714285715</v>
      </c>
      <c r="G16" s="282">
        <f>AQ3*Troupeau!$B$17/$AI$2</f>
        <v>31.771428571428572</v>
      </c>
      <c r="H16" s="282">
        <f>AR3*Troupeau!$B$17/$AI$2</f>
        <v>23.828571428571429</v>
      </c>
      <c r="I16" s="282">
        <f>AS3*Troupeau!$B$17/$AI$2</f>
        <v>15.885714285714286</v>
      </c>
      <c r="J16" s="282">
        <f>AT3*Troupeau!$B$17/$AI$2</f>
        <v>7.9428571428571431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0</v>
      </c>
      <c r="W16" s="282">
        <f>BG3*Troupeau!$B$17/$AI$2</f>
        <v>0</v>
      </c>
      <c r="X16" s="282">
        <f>BH3*Troupeau!$B$17/$AI$2</f>
        <v>73.755102040816325</v>
      </c>
      <c r="Y16" s="282">
        <f>BI3*Troupeau!$B$17/$AI$2</f>
        <v>73.755102040816325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437</v>
      </c>
      <c r="B17" s="282">
        <f>AL4*Troupeau!$B$17/$AI$2</f>
        <v>14.183673469387756</v>
      </c>
      <c r="C17" s="282">
        <f>AM4*Troupeau!$B$17/$AI$2</f>
        <v>14.183673469387756</v>
      </c>
      <c r="D17" s="282">
        <f>AN4*Troupeau!$B$17/$AI$2</f>
        <v>14.183673469387756</v>
      </c>
      <c r="E17" s="282">
        <f>AO4*Troupeau!$B$17/$AI$2</f>
        <v>14.183673469387756</v>
      </c>
      <c r="F17" s="282">
        <f>AP4*Troupeau!$B$17/$AI$2</f>
        <v>14.183673469387756</v>
      </c>
      <c r="G17" s="282">
        <f>AQ4*Troupeau!$B$17/$AI$2</f>
        <v>14.183673469387756</v>
      </c>
      <c r="H17" s="282">
        <f>AR4*Troupeau!$B$17/$AI$2</f>
        <v>14.183673469387756</v>
      </c>
      <c r="I17" s="282">
        <f>AS4*Troupeau!$B$17/$AI$2</f>
        <v>14.183673469387756</v>
      </c>
      <c r="J17" s="282">
        <f>AT4*Troupeau!$B$17/$AI$2</f>
        <v>14.183673469387756</v>
      </c>
      <c r="K17" s="282">
        <f>AU4*Troupeau!$B$17/$AI$2</f>
        <v>14.183673469387756</v>
      </c>
      <c r="L17" s="282">
        <f>AV4*Troupeau!$B$17/$AI$2</f>
        <v>0</v>
      </c>
      <c r="M17" s="282">
        <f>AW4*Troupeau!$B$17/$AI$2</f>
        <v>0</v>
      </c>
      <c r="N17" s="282">
        <f>AX4*Troupeau!$B$17/$AI$2</f>
        <v>0</v>
      </c>
      <c r="O17" s="282">
        <f>AY4*Troupeau!$B$17/$AI$2</f>
        <v>0</v>
      </c>
      <c r="P17" s="282">
        <f>AZ4*Troupeau!$B$17/$AI$2</f>
        <v>0</v>
      </c>
      <c r="Q17" s="282">
        <f>BA4*Troupeau!$B$17/$AI$2</f>
        <v>0</v>
      </c>
      <c r="R17" s="282">
        <f>BB4*Troupeau!$B$17/$AI$2</f>
        <v>0</v>
      </c>
      <c r="S17" s="282">
        <f>BC4*Troupeau!$B$17/$AI$2</f>
        <v>0</v>
      </c>
      <c r="T17" s="282">
        <f>BD4*Troupeau!$B$17/$AI$2</f>
        <v>0</v>
      </c>
      <c r="U17" s="282">
        <f>BE4*Troupeau!$B$17/$AI$2</f>
        <v>0</v>
      </c>
      <c r="V17" s="282">
        <f>BF4*Troupeau!$B$17/$AI$2</f>
        <v>0</v>
      </c>
      <c r="W17" s="282">
        <f>BG4*Troupeau!$B$17/$AI$2</f>
        <v>14.183673469387756</v>
      </c>
      <c r="X17" s="282">
        <f>BH4*Troupeau!$B$17/$AI$2</f>
        <v>14.183673469387756</v>
      </c>
      <c r="Y17" s="282">
        <f>BI4*Troupeau!$B$17/$AI$2</f>
        <v>14.183673469387756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438</v>
      </c>
      <c r="B18" s="282">
        <f>AL5*Troupeau!$B$17/$AI$2</f>
        <v>55.6</v>
      </c>
      <c r="C18" s="282">
        <f>AM5*Troupeau!$B$17/$AI$2</f>
        <v>55.6</v>
      </c>
      <c r="D18" s="282">
        <f>AN5*Troupeau!$B$17/$AI$2</f>
        <v>55.6</v>
      </c>
      <c r="E18" s="282">
        <f>AO5*Troupeau!$B$17/$AI$2</f>
        <v>55.6</v>
      </c>
      <c r="F18" s="282">
        <f>AP5*Troupeau!$B$17/$AI$2</f>
        <v>55.6</v>
      </c>
      <c r="G18" s="282">
        <f>AQ5*Troupeau!$B$17/$AI$2</f>
        <v>55.6</v>
      </c>
      <c r="H18" s="282">
        <f>AR5*Troupeau!$B$17/$AI$2</f>
        <v>55.6</v>
      </c>
      <c r="I18" s="282">
        <f>AS5*Troupeau!$B$17/$AI$2</f>
        <v>55.6</v>
      </c>
      <c r="J18" s="282">
        <f>AT5*Troupeau!$B$17/$AI$2</f>
        <v>55.6</v>
      </c>
      <c r="K18" s="282">
        <f>AU5*Troupeau!$B$17/$AI$2</f>
        <v>55.6</v>
      </c>
      <c r="L18" s="282">
        <f>AV5*Troupeau!$B$17/$AI$2</f>
        <v>55.6</v>
      </c>
      <c r="M18" s="282">
        <f>AW5*Troupeau!$B$17/$AI$2</f>
        <v>55.6</v>
      </c>
      <c r="N18" s="282">
        <f>AX5*Troupeau!$B$17/$AI$2</f>
        <v>55.6</v>
      </c>
      <c r="O18" s="282">
        <f>AY5*Troupeau!$B$17/$AI$2</f>
        <v>55.6</v>
      </c>
      <c r="P18" s="282">
        <f>AZ5*Troupeau!$B$17/$AI$2</f>
        <v>55.6</v>
      </c>
      <c r="Q18" s="282">
        <f>BA5*Troupeau!$B$17/$AI$2</f>
        <v>55.6</v>
      </c>
      <c r="R18" s="282">
        <f>BB5*Troupeau!$B$17/$AI$2</f>
        <v>55.6</v>
      </c>
      <c r="S18" s="282">
        <f>BC5*Troupeau!$B$17/$AI$2</f>
        <v>55.6</v>
      </c>
      <c r="T18" s="282">
        <f>BD5*Troupeau!$B$17/$AI$2</f>
        <v>55.6</v>
      </c>
      <c r="U18" s="282">
        <f>BE5*Troupeau!$B$17/$AI$2</f>
        <v>55.6</v>
      </c>
      <c r="V18" s="282">
        <f>BF5*Troupeau!$B$17/$AI$2</f>
        <v>55.6</v>
      </c>
      <c r="W18" s="282">
        <f>BG5*Troupeau!$B$17/$AI$2</f>
        <v>0</v>
      </c>
      <c r="X18" s="282">
        <f>BH5*Troupeau!$B$17/$AI$2</f>
        <v>0</v>
      </c>
      <c r="Y18" s="282">
        <f>BI5*Troupeau!$B$17/$AI$2</f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439</v>
      </c>
      <c r="B19" s="282">
        <f>AL6*Troupeau!$B$17/$AI$2</f>
        <v>6.240816326530612</v>
      </c>
      <c r="C19" s="282">
        <f>AM6*Troupeau!$B$17/$AI$2</f>
        <v>6.240816326530612</v>
      </c>
      <c r="D19" s="282">
        <f>AN6*Troupeau!$B$17/$AI$2</f>
        <v>6.240816326530612</v>
      </c>
      <c r="E19" s="282">
        <f>AO6*Troupeau!$B$17/$AI$2</f>
        <v>6.240816326530612</v>
      </c>
      <c r="F19" s="282">
        <f>AP6*Troupeau!$B$17/$AI$2</f>
        <v>6.240816326530612</v>
      </c>
      <c r="G19" s="282">
        <f>AQ6*Troupeau!$B$17/$AI$2</f>
        <v>6.240816326530612</v>
      </c>
      <c r="H19" s="282">
        <f>AR6*Troupeau!$B$17/$AI$2</f>
        <v>6.240816326530612</v>
      </c>
      <c r="I19" s="282">
        <f>AS6*Troupeau!$B$17/$AI$2</f>
        <v>6.240816326530612</v>
      </c>
      <c r="J19" s="282">
        <f>AT6*Troupeau!$B$17/$AI$2</f>
        <v>6.240816326530612</v>
      </c>
      <c r="K19" s="282">
        <f>AU6*Troupeau!$B$17/$AI$2</f>
        <v>6.240816326530612</v>
      </c>
      <c r="L19" s="282">
        <f>AV6*Troupeau!$B$17/$AI$2</f>
        <v>0</v>
      </c>
      <c r="M19" s="282">
        <f>AW6*Troupeau!$B$17/$AI$2</f>
        <v>0</v>
      </c>
      <c r="N19" s="282">
        <f>AX6*Troupeau!$B$17/$AI$2</f>
        <v>0</v>
      </c>
      <c r="O19" s="282">
        <f>AY6*Troupeau!$B$17/$AI$2</f>
        <v>0</v>
      </c>
      <c r="P19" s="282">
        <f>AZ6*Troupeau!$B$17/$AI$2</f>
        <v>0</v>
      </c>
      <c r="Q19" s="282">
        <f>BA6*Troupeau!$B$17/$AI$2</f>
        <v>0</v>
      </c>
      <c r="R19" s="282">
        <f>BB6*Troupeau!$B$17/$AI$2</f>
        <v>0</v>
      </c>
      <c r="S19" s="282">
        <f>BC6*Troupeau!$B$17/$AI$2</f>
        <v>0</v>
      </c>
      <c r="T19" s="282">
        <f>BD6*Troupeau!$B$17/$AI$2</f>
        <v>0</v>
      </c>
      <c r="U19" s="282">
        <f>BE6*Troupeau!$B$17/$AI$2</f>
        <v>0</v>
      </c>
      <c r="V19" s="282">
        <f>BF6*Troupeau!$B$17/$AI$2</f>
        <v>0</v>
      </c>
      <c r="W19" s="282">
        <f>BG6*Troupeau!$B$17/$AI$2</f>
        <v>6.240816326530612</v>
      </c>
      <c r="X19" s="282">
        <f>BH6*Troupeau!$B$17/$AI$2</f>
        <v>6.240816326530612</v>
      </c>
      <c r="Y19" s="282">
        <f>BI6*Troupeau!$B$17/$AI$2</f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laitières tardives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Brebis laitières tardives</v>
      </c>
      <c r="B40" s="61">
        <f t="shared" ref="B40:Q48" si="14">B16*B28</f>
        <v>11.063265306122448</v>
      </c>
      <c r="C40" s="61">
        <f t="shared" si="14"/>
        <v>9.7867346938775501</v>
      </c>
      <c r="D40" s="61">
        <f t="shared" si="14"/>
        <v>8.5102040816326525</v>
      </c>
      <c r="E40" s="61">
        <f t="shared" si="14"/>
        <v>7.2336734693877549</v>
      </c>
      <c r="F40" s="61">
        <f t="shared" si="14"/>
        <v>5.9571428571428573</v>
      </c>
      <c r="G40" s="61">
        <f t="shared" si="14"/>
        <v>4.765714285714286</v>
      </c>
      <c r="H40" s="61">
        <f t="shared" si="14"/>
        <v>3.5742857142857143</v>
      </c>
      <c r="I40" s="61">
        <f t="shared" si="14"/>
        <v>2.382857142857143</v>
      </c>
      <c r="J40" s="61">
        <f t="shared" si="14"/>
        <v>1.1914285714285715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11.063265306122448</v>
      </c>
      <c r="Y40" s="61">
        <f t="shared" si="13"/>
        <v>11.063265306122448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Brebis vides</v>
      </c>
      <c r="B41" s="61">
        <f t="shared" si="14"/>
        <v>2.1275510204081631</v>
      </c>
      <c r="C41" s="61">
        <f t="shared" si="13"/>
        <v>2.1275510204081631</v>
      </c>
      <c r="D41" s="61">
        <f t="shared" si="13"/>
        <v>2.1275510204081631</v>
      </c>
      <c r="E41" s="61">
        <f t="shared" si="13"/>
        <v>2.1275510204081631</v>
      </c>
      <c r="F41" s="61">
        <f t="shared" si="13"/>
        <v>2.1275510204081631</v>
      </c>
      <c r="G41" s="61">
        <f t="shared" si="13"/>
        <v>2.1275510204081631</v>
      </c>
      <c r="H41" s="61">
        <f t="shared" si="13"/>
        <v>2.1275510204081631</v>
      </c>
      <c r="I41" s="61">
        <f t="shared" si="13"/>
        <v>2.1275510204081631</v>
      </c>
      <c r="J41" s="61">
        <f t="shared" si="13"/>
        <v>2.1275510204081631</v>
      </c>
      <c r="K41" s="61">
        <f t="shared" si="13"/>
        <v>2.1275510204081631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2.1275510204081631</v>
      </c>
      <c r="X41" s="61">
        <f t="shared" si="13"/>
        <v>2.1275510204081631</v>
      </c>
      <c r="Y41" s="61">
        <f t="shared" si="13"/>
        <v>2.1275510204081631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43.793510204081628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Brebis laitières tardives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99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Brebis vides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0.5</v>
      </c>
      <c r="K55" s="60">
        <v>0.5</v>
      </c>
      <c r="L55" s="60">
        <v>0.5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0.5</v>
      </c>
      <c r="S55" s="60">
        <v>0.5</v>
      </c>
      <c r="T55" s="60">
        <v>0.5</v>
      </c>
      <c r="U55" s="60">
        <v>0.5</v>
      </c>
      <c r="V55" s="60">
        <v>0.5</v>
      </c>
      <c r="W55" s="60">
        <v>0.5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0.5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29.780999999999999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Brebis laitières tardives</v>
      </c>
      <c r="B64" s="61">
        <f t="shared" ref="B64:Y64" si="20">B40*B53*B$3</f>
        <v>85.74030612244897</v>
      </c>
      <c r="C64" s="61">
        <f t="shared" si="20"/>
        <v>75.847193877551007</v>
      </c>
      <c r="D64" s="61">
        <f t="shared" si="20"/>
        <v>59.571428571428569</v>
      </c>
      <c r="E64" s="61">
        <f t="shared" si="20"/>
        <v>50.635714285714286</v>
      </c>
      <c r="F64" s="61">
        <f t="shared" si="20"/>
        <v>46.167857142857144</v>
      </c>
      <c r="G64" s="61">
        <f t="shared" si="20"/>
        <v>36.934285714285714</v>
      </c>
      <c r="H64" s="61">
        <f t="shared" si="20"/>
        <v>26.807142857142857</v>
      </c>
      <c r="I64" s="61">
        <f t="shared" si="20"/>
        <v>17.871428571428574</v>
      </c>
      <c r="J64" s="61">
        <f t="shared" si="20"/>
        <v>9.2335714285714285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85.74030612244897</v>
      </c>
      <c r="Y64" s="61">
        <f t="shared" si="20"/>
        <v>85.74030612244897</v>
      </c>
      <c r="Z64" s="52"/>
      <c r="AE64" s="86"/>
    </row>
    <row r="65" spans="1:33" s="5" customFormat="1" hidden="1" x14ac:dyDescent="0.25">
      <c r="A65" s="38" t="str">
        <f>A$17</f>
        <v>Brebis vides</v>
      </c>
      <c r="B65" s="61">
        <f t="shared" ref="B65:Y65" si="21">B41*B54*B$3</f>
        <v>16.488520408163264</v>
      </c>
      <c r="C65" s="61">
        <f t="shared" si="21"/>
        <v>16.488520408163264</v>
      </c>
      <c r="D65" s="61">
        <f t="shared" si="21"/>
        <v>14.892857142857142</v>
      </c>
      <c r="E65" s="61">
        <f t="shared" si="21"/>
        <v>14.892857142857142</v>
      </c>
      <c r="F65" s="61">
        <f t="shared" si="21"/>
        <v>16.488520408163264</v>
      </c>
      <c r="G65" s="61">
        <f t="shared" si="21"/>
        <v>16.488520408163264</v>
      </c>
      <c r="H65" s="61">
        <f t="shared" si="21"/>
        <v>15.956632653061224</v>
      </c>
      <c r="I65" s="61">
        <f t="shared" si="21"/>
        <v>15.956632653061224</v>
      </c>
      <c r="J65" s="61">
        <f t="shared" si="21"/>
        <v>16.488520408163264</v>
      </c>
      <c r="K65" s="61">
        <f t="shared" si="21"/>
        <v>16.488520408163264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15.956632653061224</v>
      </c>
      <c r="X65" s="61">
        <f t="shared" si="21"/>
        <v>16.488520408163264</v>
      </c>
      <c r="Y65" s="61">
        <f t="shared" si="21"/>
        <v>16.488520408163264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30.163000000000004</v>
      </c>
      <c r="K66" s="61">
        <f t="shared" si="22"/>
        <v>30.163000000000004</v>
      </c>
      <c r="L66" s="61">
        <f t="shared" si="22"/>
        <v>29.19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62.55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7.2549489795918358</v>
      </c>
      <c r="G67" s="61">
        <f t="shared" si="23"/>
        <v>7.2549489795918358</v>
      </c>
      <c r="H67" s="61">
        <f t="shared" si="23"/>
        <v>7.0209183673469377</v>
      </c>
      <c r="I67" s="61">
        <f t="shared" si="23"/>
        <v>7.0209183673469377</v>
      </c>
      <c r="J67" s="61">
        <f t="shared" si="23"/>
        <v>7.2549489795918358</v>
      </c>
      <c r="K67" s="61">
        <f t="shared" si="23"/>
        <v>7.2549489795918358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367</v>
      </c>
      <c r="G73" s="64">
        <f t="shared" si="29"/>
        <v>365</v>
      </c>
      <c r="H73" s="64">
        <f t="shared" si="29"/>
        <v>351</v>
      </c>
      <c r="I73" s="64">
        <f t="shared" si="29"/>
        <v>350</v>
      </c>
      <c r="J73" s="64">
        <f t="shared" si="29"/>
        <v>330</v>
      </c>
      <c r="K73" s="64">
        <f t="shared" si="29"/>
        <v>329</v>
      </c>
      <c r="L73" s="64">
        <f t="shared" si="29"/>
        <v>302</v>
      </c>
      <c r="M73" s="64">
        <f t="shared" si="29"/>
        <v>0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63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6618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laitières tardives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>
        <v>2</v>
      </c>
      <c r="Y77" s="60">
        <v>2</v>
      </c>
      <c r="AB77" t="s">
        <v>448</v>
      </c>
      <c r="AC77">
        <f>COUNTIF($B$76:$Y$85,"&gt;0")/2</f>
        <v>35</v>
      </c>
      <c r="AG77" s="5"/>
    </row>
    <row r="78" spans="1:33" x14ac:dyDescent="0.25">
      <c r="A78" s="128" t="str">
        <f>A$17</f>
        <v>Brebis vides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>
        <v>2</v>
      </c>
      <c r="X78" s="60">
        <v>2</v>
      </c>
      <c r="Y78" s="60">
        <v>2</v>
      </c>
      <c r="AB78">
        <v>1</v>
      </c>
      <c r="AC78">
        <f>COUNTIF($B$76:$Y$85,AB78)/2</f>
        <v>17.5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>
        <v>1</v>
      </c>
      <c r="K79" s="60">
        <v>1</v>
      </c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2</v>
      </c>
      <c r="T79" s="273">
        <v>2</v>
      </c>
      <c r="U79" s="273">
        <v>2</v>
      </c>
      <c r="V79" s="273">
        <v>2</v>
      </c>
      <c r="W79" s="273">
        <v>2</v>
      </c>
      <c r="X79" s="273">
        <v>2</v>
      </c>
      <c r="Y79" s="273">
        <v>2</v>
      </c>
      <c r="AB79" s="142">
        <v>2</v>
      </c>
      <c r="AC79">
        <f t="shared" ref="AC79:AC81" si="30">COUNTIF($B$76:$Y$85,AB79)/2</f>
        <v>11.5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>
        <v>1</v>
      </c>
      <c r="G80" s="60">
        <v>1</v>
      </c>
      <c r="H80" s="60">
        <v>1</v>
      </c>
      <c r="I80" s="60">
        <v>1</v>
      </c>
      <c r="J80" s="60">
        <v>1</v>
      </c>
      <c r="K80" s="60">
        <v>1</v>
      </c>
      <c r="L80" s="60">
        <v>1</v>
      </c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Brebis laitières tardives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Brebis laitières tardives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Brebis vides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Brebis laitières tardives</v>
      </c>
      <c r="B111" s="61">
        <f t="shared" ref="B111:Y111" si="42">(B40*B$3*B100)/1000</f>
        <v>2.2292479591836734</v>
      </c>
      <c r="C111" s="61">
        <f t="shared" si="42"/>
        <v>1.9720270408163263</v>
      </c>
      <c r="D111" s="61">
        <f t="shared" si="42"/>
        <v>1.5488571428571429</v>
      </c>
      <c r="E111" s="61">
        <f t="shared" si="42"/>
        <v>1.3165285714285715</v>
      </c>
      <c r="F111" s="61">
        <f t="shared" si="42"/>
        <v>1.2003642857142858</v>
      </c>
      <c r="G111" s="61">
        <f t="shared" si="42"/>
        <v>0.96029142857142857</v>
      </c>
      <c r="H111" s="61">
        <f t="shared" si="42"/>
        <v>0.69698571428571432</v>
      </c>
      <c r="I111" s="61">
        <f t="shared" si="42"/>
        <v>0.46465714285714288</v>
      </c>
      <c r="J111" s="61">
        <f t="shared" si="42"/>
        <v>0.24007285714285714</v>
      </c>
      <c r="K111" s="61">
        <f t="shared" si="42"/>
        <v>0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</v>
      </c>
      <c r="X111" s="61">
        <f t="shared" si="42"/>
        <v>2.2292479591836734</v>
      </c>
      <c r="Y111" s="61">
        <f t="shared" si="42"/>
        <v>2.2292479591836734</v>
      </c>
    </row>
    <row r="112" spans="1:33" x14ac:dyDescent="0.25">
      <c r="A112" s="128" t="str">
        <f>A$17</f>
        <v>Brebis vides</v>
      </c>
      <c r="B112" s="61">
        <f t="shared" ref="B112:Y112" si="43">(B41*B$3*B101)/1000</f>
        <v>0.42870153061224486</v>
      </c>
      <c r="C112" s="61">
        <f t="shared" si="43"/>
        <v>0.42870153061224486</v>
      </c>
      <c r="D112" s="61">
        <f t="shared" si="43"/>
        <v>0.38721428571428573</v>
      </c>
      <c r="E112" s="61">
        <f t="shared" si="43"/>
        <v>0.38721428571428573</v>
      </c>
      <c r="F112" s="61">
        <f t="shared" si="43"/>
        <v>0.42870153061224486</v>
      </c>
      <c r="G112" s="61">
        <f t="shared" si="43"/>
        <v>0.42870153061224486</v>
      </c>
      <c r="H112" s="61">
        <f t="shared" si="43"/>
        <v>0.4148724489795918</v>
      </c>
      <c r="I112" s="61">
        <f t="shared" si="43"/>
        <v>0.4148724489795918</v>
      </c>
      <c r="J112" s="61">
        <f t="shared" si="43"/>
        <v>0.42870153061224486</v>
      </c>
      <c r="K112" s="61">
        <f t="shared" si="43"/>
        <v>0.42870153061224486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0.4148724489795918</v>
      </c>
      <c r="X112" s="61">
        <f t="shared" si="43"/>
        <v>0.42870153061224486</v>
      </c>
      <c r="Y112" s="61">
        <f t="shared" si="43"/>
        <v>0.42870153061224486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10.263554336734693</v>
      </c>
      <c r="H120" s="61">
        <f t="shared" si="51"/>
        <v>9.9274807040816349</v>
      </c>
      <c r="I120" s="61">
        <f t="shared" si="51"/>
        <v>9.9431565000000024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9.1656387244897939</v>
      </c>
      <c r="Y120" s="61">
        <f t="shared" si="51"/>
        <v>10.336917260204082</v>
      </c>
      <c r="AA120" s="57">
        <f>SUM(B120:Y120)</f>
        <v>206.16861484183673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476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0.4</v>
      </c>
      <c r="G123" s="273">
        <v>0.4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Brebis laitières tardives</v>
      </c>
      <c r="B124" s="273">
        <v>0</v>
      </c>
      <c r="C124" s="273">
        <v>0</v>
      </c>
      <c r="D124" s="273">
        <v>0</v>
      </c>
      <c r="E124" s="273">
        <v>0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/>
      <c r="X124" s="273">
        <v>0.2</v>
      </c>
      <c r="Y124" s="273">
        <v>0.2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Brebis vides</v>
      </c>
      <c r="B125" s="273">
        <v>0.25</v>
      </c>
      <c r="C125" s="273">
        <v>0.25</v>
      </c>
      <c r="D125" s="273">
        <v>0.4</v>
      </c>
      <c r="E125" s="159">
        <v>0.6</v>
      </c>
      <c r="F125" s="159">
        <v>0.6</v>
      </c>
      <c r="G125" s="159">
        <v>0.6</v>
      </c>
      <c r="H125" s="60">
        <v>0.8</v>
      </c>
      <c r="I125" s="60">
        <v>0.8</v>
      </c>
      <c r="J125" s="60">
        <v>0.8</v>
      </c>
      <c r="K125" s="60">
        <v>1</v>
      </c>
      <c r="L125" s="60">
        <v>1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0.5</v>
      </c>
      <c r="K126" s="60">
        <v>0.75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0.8</v>
      </c>
      <c r="S126" s="273">
        <v>0.8</v>
      </c>
      <c r="T126" s="273">
        <v>0.5</v>
      </c>
      <c r="U126" s="273">
        <v>0.4</v>
      </c>
      <c r="V126" s="273">
        <v>0.3</v>
      </c>
      <c r="W126" s="273">
        <v>0.3</v>
      </c>
      <c r="X126" s="273">
        <v>0</v>
      </c>
      <c r="Y126" s="273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>
        <v>0</v>
      </c>
      <c r="C127" s="60">
        <v>0</v>
      </c>
      <c r="D127" s="60">
        <v>0</v>
      </c>
      <c r="E127" s="60">
        <v>0</v>
      </c>
      <c r="F127" s="60">
        <v>0.6</v>
      </c>
      <c r="G127" s="60">
        <v>0.6</v>
      </c>
      <c r="H127" s="60">
        <v>0.6</v>
      </c>
      <c r="I127" s="60">
        <v>0.6</v>
      </c>
      <c r="J127" s="60">
        <v>0.6</v>
      </c>
      <c r="K127" s="60">
        <v>0.6</v>
      </c>
      <c r="L127" s="60">
        <v>0.6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>
        <v>0</v>
      </c>
      <c r="X127" s="159">
        <v>0</v>
      </c>
      <c r="Y127" s="159">
        <v>0</v>
      </c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4.60006767367347</v>
      </c>
      <c r="G136" s="61">
        <f t="shared" si="52"/>
        <v>4.7410168224489793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96.547497643163268</v>
      </c>
    </row>
    <row r="137" spans="1:31" x14ac:dyDescent="0.25">
      <c r="A137" s="128" t="str">
        <f>A$16</f>
        <v>Brebis laitières tardives</v>
      </c>
      <c r="B137" s="61">
        <f t="shared" ref="B137:Y144" si="53">B111*(1-B124)</f>
        <v>2.2292479591836734</v>
      </c>
      <c r="C137" s="61">
        <f t="shared" si="53"/>
        <v>1.9720270408163263</v>
      </c>
      <c r="D137" s="61">
        <f t="shared" si="53"/>
        <v>1.5488571428571429</v>
      </c>
      <c r="E137" s="61">
        <f t="shared" si="53"/>
        <v>1.3165285714285715</v>
      </c>
      <c r="F137" s="61">
        <f t="shared" si="53"/>
        <v>0.80424407142857135</v>
      </c>
      <c r="G137" s="61">
        <f t="shared" si="53"/>
        <v>0.64339525714285706</v>
      </c>
      <c r="H137" s="61">
        <f t="shared" si="53"/>
        <v>0.46698042857142852</v>
      </c>
      <c r="I137" s="61">
        <f t="shared" si="53"/>
        <v>0.31132028571428572</v>
      </c>
      <c r="J137" s="61">
        <f t="shared" si="53"/>
        <v>0.16084881428571426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1.7833983673469387</v>
      </c>
      <c r="Y137" s="61">
        <f t="shared" si="53"/>
        <v>1.7833983673469387</v>
      </c>
      <c r="AA137" s="61">
        <f>SUM(B137:Y137)</f>
        <v>13.020246306122448</v>
      </c>
    </row>
    <row r="138" spans="1:31" x14ac:dyDescent="0.25">
      <c r="A138" s="128" t="str">
        <f>A$17</f>
        <v>Brebis vides</v>
      </c>
      <c r="B138" s="61">
        <f t="shared" si="53"/>
        <v>0.32152614795918366</v>
      </c>
      <c r="C138" s="61">
        <f t="shared" si="53"/>
        <v>0.32152614795918366</v>
      </c>
      <c r="D138" s="61">
        <f t="shared" si="53"/>
        <v>0.23232857142857144</v>
      </c>
      <c r="E138" s="61">
        <f t="shared" si="53"/>
        <v>0.15488571428571429</v>
      </c>
      <c r="F138" s="61">
        <f t="shared" si="53"/>
        <v>0.17148061224489797</v>
      </c>
      <c r="G138" s="61">
        <f t="shared" si="53"/>
        <v>0.17148061224489797</v>
      </c>
      <c r="H138" s="61">
        <f t="shared" si="53"/>
        <v>8.2974489795918344E-2</v>
      </c>
      <c r="I138" s="61">
        <f t="shared" si="53"/>
        <v>8.2974489795918344E-2</v>
      </c>
      <c r="J138" s="61">
        <f t="shared" si="53"/>
        <v>8.5740306122448956E-2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0.4148724489795918</v>
      </c>
      <c r="X138" s="61">
        <f t="shared" si="53"/>
        <v>0.42870153061224486</v>
      </c>
      <c r="Y138" s="61">
        <f t="shared" si="53"/>
        <v>0.42870153061224486</v>
      </c>
      <c r="AA138" s="61">
        <f t="shared" ref="AA138:AA144" si="54">SUM(B138:Y138)</f>
        <v>2.8971926020408163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0.39211900000000005</v>
      </c>
      <c r="K139" s="61">
        <f t="shared" si="53"/>
        <v>0.19605950000000003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0.32525999999999988</v>
      </c>
      <c r="S139" s="61">
        <f t="shared" si="53"/>
        <v>0.32525999999999988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9.3322514999999999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7.5451469387755099E-2</v>
      </c>
      <c r="G140" s="61">
        <f t="shared" si="53"/>
        <v>7.5451469387755099E-2</v>
      </c>
      <c r="H140" s="61">
        <f t="shared" si="53"/>
        <v>7.3017551020408161E-2</v>
      </c>
      <c r="I140" s="61">
        <f t="shared" si="53"/>
        <v>7.3017551020408161E-2</v>
      </c>
      <c r="J140" s="61">
        <f t="shared" si="53"/>
        <v>7.5451469387755099E-2</v>
      </c>
      <c r="K140" s="61">
        <f t="shared" si="53"/>
        <v>7.5451469387755099E-2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1.7256481224489797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123.5228361737755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142.05126159984181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3.06671178244898</v>
      </c>
      <c r="G149" s="61">
        <f t="shared" si="56"/>
        <v>3.1606778816326528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Brebis laitières tardives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0.39612021428571442</v>
      </c>
      <c r="G150" s="61">
        <f t="shared" si="57"/>
        <v>0.31689617142857152</v>
      </c>
      <c r="H150" s="61">
        <f t="shared" si="57"/>
        <v>0.2300052857142858</v>
      </c>
      <c r="I150" s="61">
        <f t="shared" si="57"/>
        <v>0.15333685714285716</v>
      </c>
      <c r="J150" s="61">
        <f t="shared" si="57"/>
        <v>7.9224042857142879E-2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0.44584959183673467</v>
      </c>
      <c r="Y150" s="61">
        <f t="shared" si="57"/>
        <v>0.44584959183673467</v>
      </c>
    </row>
    <row r="151" spans="1:28" x14ac:dyDescent="0.25">
      <c r="A151" s="128" t="str">
        <f>A$17</f>
        <v>Brebis vides</v>
      </c>
      <c r="B151" s="61">
        <f t="shared" ref="B151:Y151" si="58">B112-B138</f>
        <v>0.1071753826530612</v>
      </c>
      <c r="C151" s="61">
        <f t="shared" si="58"/>
        <v>0.1071753826530612</v>
      </c>
      <c r="D151" s="61">
        <f t="shared" si="58"/>
        <v>0.15488571428571429</v>
      </c>
      <c r="E151" s="61">
        <f t="shared" si="58"/>
        <v>0.23232857142857144</v>
      </c>
      <c r="F151" s="61">
        <f t="shared" si="58"/>
        <v>0.2572209183673469</v>
      </c>
      <c r="G151" s="61">
        <f t="shared" si="58"/>
        <v>0.2572209183673469</v>
      </c>
      <c r="H151" s="61">
        <f t="shared" si="58"/>
        <v>0.33189795918367349</v>
      </c>
      <c r="I151" s="61">
        <f t="shared" si="58"/>
        <v>0.33189795918367349</v>
      </c>
      <c r="J151" s="61">
        <f t="shared" si="58"/>
        <v>0.34296122448979593</v>
      </c>
      <c r="K151" s="61">
        <f t="shared" si="58"/>
        <v>0.42870153061224486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0.39211900000000005</v>
      </c>
      <c r="K152" s="61">
        <f t="shared" si="59"/>
        <v>0.58817850000000005</v>
      </c>
      <c r="L152" s="61">
        <f t="shared" si="59"/>
        <v>0.75894000000000006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1.30104</v>
      </c>
      <c r="S152" s="61">
        <f t="shared" si="59"/>
        <v>1.30104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0.11317720408163265</v>
      </c>
      <c r="G153" s="61">
        <f t="shared" si="60"/>
        <v>0.11317720408163265</v>
      </c>
      <c r="H153" s="61">
        <f t="shared" si="60"/>
        <v>0.10952632653061223</v>
      </c>
      <c r="I153" s="61">
        <f t="shared" si="60"/>
        <v>0.10952632653061223</v>
      </c>
      <c r="J153" s="61">
        <f t="shared" si="60"/>
        <v>0.11317720408163265</v>
      </c>
      <c r="K153" s="61">
        <f t="shared" si="60"/>
        <v>0.11317720408163265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82.582695928265338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3.06671178244898</v>
      </c>
      <c r="G162" s="61">
        <f t="shared" si="66"/>
        <v>3.1606778816326528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Brebis laitières tardives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0.39612021428571442</v>
      </c>
      <c r="G163" s="61">
        <f t="shared" si="67"/>
        <v>0.31689617142857152</v>
      </c>
      <c r="H163" s="61">
        <f t="shared" si="67"/>
        <v>0.2300052857142858</v>
      </c>
      <c r="I163" s="61">
        <f t="shared" si="67"/>
        <v>0.15333685714285716</v>
      </c>
      <c r="J163" s="61">
        <f t="shared" si="67"/>
        <v>7.9224042857142879E-2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Brebis vides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0.39211900000000005</v>
      </c>
      <c r="K165" s="61">
        <f t="shared" si="69"/>
        <v>0.58817850000000005</v>
      </c>
      <c r="L165" s="61">
        <f t="shared" si="69"/>
        <v>0.75894000000000006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0.11317720408163265</v>
      </c>
      <c r="G166" s="61">
        <f t="shared" si="70"/>
        <v>0.11317720408163265</v>
      </c>
      <c r="H166" s="61">
        <f t="shared" si="70"/>
        <v>0.10952632653061223</v>
      </c>
      <c r="I166" s="61">
        <f t="shared" si="70"/>
        <v>0.10952632653061223</v>
      </c>
      <c r="J166" s="61">
        <f t="shared" si="70"/>
        <v>0.11317720408163265</v>
      </c>
      <c r="K166" s="61">
        <f t="shared" si="70"/>
        <v>0.11317720408163265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3.5760092008163271</v>
      </c>
      <c r="G172" s="61">
        <f t="shared" si="76"/>
        <v>3.5907512571428573</v>
      </c>
      <c r="H172" s="61">
        <f t="shared" si="76"/>
        <v>3.4891870775510205</v>
      </c>
      <c r="I172" s="61">
        <f t="shared" si="76"/>
        <v>3.5117203959183674</v>
      </c>
      <c r="J172" s="61">
        <f t="shared" si="76"/>
        <v>4.0441811714285718</v>
      </c>
      <c r="K172" s="61">
        <f t="shared" si="76"/>
        <v>4.2635251004081631</v>
      </c>
      <c r="L172" s="61">
        <f t="shared" si="76"/>
        <v>4.2971356408163262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2.5902146479591837</v>
      </c>
      <c r="T172" s="61">
        <f t="shared" si="76"/>
        <v>2.6765551362244904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2.1220725765306119</v>
      </c>
      <c r="X172" s="61">
        <f t="shared" si="76"/>
        <v>0</v>
      </c>
      <c r="Y172" s="61">
        <f t="shared" si="76"/>
        <v>0</v>
      </c>
      <c r="AA172" s="64">
        <f>SUM(B172:Y172)</f>
        <v>37.85521607316327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Brebis laitières tardives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0.44584959183673467</v>
      </c>
      <c r="Y176" s="61">
        <f t="shared" si="78"/>
        <v>0.44584959183673467</v>
      </c>
    </row>
    <row r="177" spans="1:28" x14ac:dyDescent="0.25">
      <c r="A177" s="127" t="str">
        <f>A$17</f>
        <v>Brebis vides</v>
      </c>
      <c r="B177" s="61">
        <f t="shared" ref="B177:Y177" si="79">IF(B78=2,B151,0)</f>
        <v>0.1071753826530612</v>
      </c>
      <c r="C177" s="61">
        <f t="shared" si="79"/>
        <v>0.1071753826530612</v>
      </c>
      <c r="D177" s="61">
        <f t="shared" si="79"/>
        <v>0.15488571428571429</v>
      </c>
      <c r="E177" s="61">
        <f t="shared" si="79"/>
        <v>0.23232857142857144</v>
      </c>
      <c r="F177" s="61">
        <f t="shared" si="79"/>
        <v>0.2572209183673469</v>
      </c>
      <c r="G177" s="61">
        <f t="shared" si="79"/>
        <v>0.2572209183673469</v>
      </c>
      <c r="H177" s="61">
        <f t="shared" si="79"/>
        <v>0.33189795918367349</v>
      </c>
      <c r="I177" s="61">
        <f t="shared" si="79"/>
        <v>0.33189795918367349</v>
      </c>
      <c r="J177" s="61">
        <f t="shared" si="79"/>
        <v>0.34296122448979593</v>
      </c>
      <c r="K177" s="61">
        <f t="shared" si="79"/>
        <v>0.42870153061224486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1.30104</v>
      </c>
      <c r="T178" s="61">
        <f t="shared" si="80"/>
        <v>0.84025500000000009</v>
      </c>
      <c r="U178" s="61">
        <f t="shared" si="80"/>
        <v>0.67220400000000002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0.1071753826530612</v>
      </c>
      <c r="C185" s="61">
        <f>SUM(CdTrp1!C175:C184)</f>
        <v>0.1071753826530612</v>
      </c>
      <c r="D185" s="61">
        <f>SUM(CdTrp1!D175:D184)</f>
        <v>0.15488571428571429</v>
      </c>
      <c r="E185" s="61">
        <f>SUM(CdTrp1!E175:E184)</f>
        <v>0.23232857142857144</v>
      </c>
      <c r="F185" s="61">
        <f>SUM(CdTrp1!F175:F184)</f>
        <v>0.2572209183673469</v>
      </c>
      <c r="G185" s="61">
        <f>SUM(CdTrp1!G175:G184)</f>
        <v>0.2572209183673469</v>
      </c>
      <c r="H185" s="61">
        <f>SUM(CdTrp1!H175:H184)</f>
        <v>0.33189795918367349</v>
      </c>
      <c r="I185" s="61">
        <f>SUM(CdTrp1!I175:I184)</f>
        <v>0.33189795918367349</v>
      </c>
      <c r="J185" s="61">
        <f>SUM(CdTrp1!J175:J184)</f>
        <v>0.34296122448979593</v>
      </c>
      <c r="K185" s="61">
        <f>SUM(CdTrp1!K175:K184)</f>
        <v>0.42870153061224486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1.30104</v>
      </c>
      <c r="T185" s="61">
        <f>SUM(CdTrp1!T175:T184)</f>
        <v>0.84025500000000009</v>
      </c>
      <c r="U185" s="61">
        <f>SUM(CdTrp1!U175:U184)</f>
        <v>0.67220400000000002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0.44584959183673467</v>
      </c>
      <c r="Y185" s="61">
        <f>SUM(CdTrp1!Y175:Y184)</f>
        <v>0.44584959183673467</v>
      </c>
      <c r="AA185" s="64">
        <f>SUM(B185:Y185)</f>
        <v>6.74455374489796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Brebis laitières tardives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Brebis vides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Brebis laitières tardives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Brebis vides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1.30104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4.0519379387755103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37.982926110204076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9">C172</f>
        <v>0</v>
      </c>
      <c r="D215" s="61">
        <f t="shared" si="109"/>
        <v>0</v>
      </c>
      <c r="E215" s="61">
        <f t="shared" si="109"/>
        <v>0</v>
      </c>
      <c r="F215" s="61">
        <f t="shared" si="109"/>
        <v>3.5760092008163271</v>
      </c>
      <c r="G215" s="61">
        <f t="shared" si="109"/>
        <v>3.5907512571428573</v>
      </c>
      <c r="H215" s="61">
        <f t="shared" si="109"/>
        <v>3.4891870775510205</v>
      </c>
      <c r="I215" s="61">
        <f t="shared" si="109"/>
        <v>3.5117203959183674</v>
      </c>
      <c r="J215" s="61">
        <f t="shared" si="109"/>
        <v>4.0441811714285718</v>
      </c>
      <c r="K215" s="61">
        <f t="shared" si="109"/>
        <v>4.2635251004081631</v>
      </c>
      <c r="L215" s="61">
        <f t="shared" si="109"/>
        <v>4.2971356408163262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2.5902146479591837</v>
      </c>
      <c r="T215" s="61">
        <f t="shared" si="109"/>
        <v>2.6765551362244904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2.1220725765306119</v>
      </c>
      <c r="X215" s="61">
        <f t="shared" si="109"/>
        <v>0</v>
      </c>
      <c r="Y215" s="61">
        <f t="shared" si="109"/>
        <v>0</v>
      </c>
    </row>
    <row r="216" spans="1:28" x14ac:dyDescent="0.25">
      <c r="A216" s="38" t="s">
        <v>218</v>
      </c>
      <c r="B216" s="61">
        <f>B185</f>
        <v>0.1071753826530612</v>
      </c>
      <c r="C216" s="61">
        <f t="shared" ref="C216:Y216" si="110">C185</f>
        <v>0.1071753826530612</v>
      </c>
      <c r="D216" s="61">
        <f t="shared" si="110"/>
        <v>0.15488571428571429</v>
      </c>
      <c r="E216" s="61">
        <f t="shared" si="110"/>
        <v>0.23232857142857144</v>
      </c>
      <c r="F216" s="61">
        <f t="shared" si="110"/>
        <v>0.2572209183673469</v>
      </c>
      <c r="G216" s="61">
        <f t="shared" si="110"/>
        <v>0.2572209183673469</v>
      </c>
      <c r="H216" s="61">
        <f t="shared" si="110"/>
        <v>0.33189795918367349</v>
      </c>
      <c r="I216" s="61">
        <f t="shared" si="110"/>
        <v>0.33189795918367349</v>
      </c>
      <c r="J216" s="61">
        <f t="shared" si="110"/>
        <v>0.34296122448979593</v>
      </c>
      <c r="K216" s="61">
        <f t="shared" si="110"/>
        <v>0.42870153061224486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1.30104</v>
      </c>
      <c r="T216" s="61">
        <f t="shared" si="110"/>
        <v>0.84025500000000009</v>
      </c>
      <c r="U216" s="61">
        <f t="shared" si="110"/>
        <v>0.67220400000000002</v>
      </c>
      <c r="V216" s="61">
        <f t="shared" si="110"/>
        <v>0.48788999999999993</v>
      </c>
      <c r="W216" s="61">
        <f t="shared" si="110"/>
        <v>0</v>
      </c>
      <c r="X216" s="61">
        <f t="shared" si="110"/>
        <v>0.44584959183673467</v>
      </c>
      <c r="Y216" s="61">
        <f t="shared" si="110"/>
        <v>0.44584959183673467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4.0519379387755103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82.582695928265309</v>
      </c>
      <c r="AB219" t="s">
        <v>222</v>
      </c>
    </row>
    <row r="220" spans="1:28" x14ac:dyDescent="0.25">
      <c r="AA220" s="30">
        <f>SUM(B215:Y217)</f>
        <v>44.599769818061219</v>
      </c>
      <c r="AB220" t="s">
        <v>223</v>
      </c>
    </row>
    <row r="221" spans="1:28" x14ac:dyDescent="0.25">
      <c r="AA221" s="30">
        <f>SUM(B218:Y218)</f>
        <v>37.982926110204076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113" activePane="bottomLeft" state="frozen"/>
      <selection pane="bottomLeft" activeCell="T123" sqref="T123:W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1462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1461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443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444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4</v>
      </c>
      <c r="K76" s="60">
        <v>4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4</v>
      </c>
      <c r="S76" s="60">
        <v>1</v>
      </c>
      <c r="T76" s="273">
        <v>1</v>
      </c>
      <c r="U76" s="273">
        <v>1</v>
      </c>
      <c r="V76" s="273">
        <v>1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4</v>
      </c>
      <c r="K77" s="60">
        <v>4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2</v>
      </c>
      <c r="X77" s="60"/>
      <c r="Y77" s="60"/>
      <c r="AB77" t="s">
        <v>448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8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8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3.5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0.6</v>
      </c>
      <c r="O123" s="60">
        <v>0.6</v>
      </c>
      <c r="P123" s="60">
        <v>0.5</v>
      </c>
      <c r="Q123" s="60">
        <v>0.5</v>
      </c>
      <c r="R123" s="60">
        <v>1</v>
      </c>
      <c r="S123" s="60">
        <v>1</v>
      </c>
      <c r="T123" s="273">
        <v>0.4</v>
      </c>
      <c r="U123" s="273">
        <v>0.4</v>
      </c>
      <c r="V123" s="273">
        <v>0.4</v>
      </c>
      <c r="W123" s="273">
        <v>0.4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2.2866666666666666</v>
      </c>
      <c r="F136" s="61">
        <f t="shared" si="32"/>
        <v>2.5316666666666667</v>
      </c>
      <c r="G136" s="61">
        <f t="shared" si="32"/>
        <v>2.5316666666666667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1.0759583333333333</v>
      </c>
      <c r="O136" s="61">
        <f t="shared" si="32"/>
        <v>1.0759583333333333</v>
      </c>
      <c r="P136" s="61">
        <f t="shared" si="32"/>
        <v>1.3449479166666667</v>
      </c>
      <c r="Q136" s="61">
        <f t="shared" si="32"/>
        <v>1.3449479166666667</v>
      </c>
      <c r="R136" s="61">
        <f t="shared" si="32"/>
        <v>0</v>
      </c>
      <c r="S136" s="61">
        <f t="shared" si="32"/>
        <v>0</v>
      </c>
      <c r="T136" s="61">
        <f t="shared" si="32"/>
        <v>1.0144749999999998</v>
      </c>
      <c r="U136" s="61">
        <f t="shared" si="32"/>
        <v>1.0144749999999998</v>
      </c>
      <c r="V136" s="61">
        <f t="shared" si="32"/>
        <v>1.47</v>
      </c>
      <c r="W136" s="61">
        <f t="shared" si="32"/>
        <v>1.47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31.756762499999997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36.3044625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39.934908750000005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0.98000000000000043</v>
      </c>
      <c r="F149" s="61">
        <f t="shared" si="36"/>
        <v>1.0850000000000004</v>
      </c>
      <c r="G149" s="61">
        <f t="shared" si="36"/>
        <v>1.0850000000000004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1.6139375</v>
      </c>
      <c r="O149" s="61">
        <f t="shared" si="36"/>
        <v>1.6139375</v>
      </c>
      <c r="P149" s="61">
        <f t="shared" si="36"/>
        <v>1.3449479166666667</v>
      </c>
      <c r="Q149" s="61">
        <f t="shared" si="36"/>
        <v>1.3449479166666667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0.67631666666666668</v>
      </c>
      <c r="U149" s="61">
        <f t="shared" si="36"/>
        <v>0.67631666666666668</v>
      </c>
      <c r="V149" s="61">
        <f t="shared" si="36"/>
        <v>0.9800000000000002</v>
      </c>
      <c r="W149" s="61">
        <f t="shared" si="36"/>
        <v>0.9800000000000002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56.593029166666653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0.98000000000000043</v>
      </c>
      <c r="F162" s="61">
        <f t="shared" si="46"/>
        <v>1.0850000000000004</v>
      </c>
      <c r="G162" s="61">
        <f t="shared" si="46"/>
        <v>1.0850000000000004</v>
      </c>
      <c r="H162" s="61">
        <f t="shared" si="46"/>
        <v>2.1</v>
      </c>
      <c r="I162" s="61">
        <f t="shared" si="46"/>
        <v>1.7850000000000004</v>
      </c>
      <c r="J162" s="61">
        <f t="shared" si="46"/>
        <v>0</v>
      </c>
      <c r="K162" s="61">
        <f t="shared" si="46"/>
        <v>0</v>
      </c>
      <c r="L162" s="61">
        <f t="shared" si="46"/>
        <v>2.6031250000000004</v>
      </c>
      <c r="M162" s="61">
        <f t="shared" si="46"/>
        <v>2.6031250000000004</v>
      </c>
      <c r="N162" s="61">
        <f t="shared" si="46"/>
        <v>1.6139375</v>
      </c>
      <c r="O162" s="61">
        <f t="shared" si="46"/>
        <v>1.6139375</v>
      </c>
      <c r="P162" s="61">
        <f t="shared" si="46"/>
        <v>1.3449479166666667</v>
      </c>
      <c r="Q162" s="61">
        <f t="shared" si="46"/>
        <v>1.3449479166666667</v>
      </c>
      <c r="R162" s="61">
        <f t="shared" si="46"/>
        <v>0</v>
      </c>
      <c r="S162" s="61">
        <f t="shared" si="46"/>
        <v>2.6031250000000004</v>
      </c>
      <c r="T162" s="61">
        <f t="shared" si="46"/>
        <v>0.67631666666666668</v>
      </c>
      <c r="U162" s="61">
        <f t="shared" si="46"/>
        <v>0.67631666666666668</v>
      </c>
      <c r="V162" s="61">
        <f t="shared" si="46"/>
        <v>0.9800000000000002</v>
      </c>
      <c r="W162" s="61">
        <f t="shared" si="46"/>
        <v>0.9800000000000002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0.98000000000000043</v>
      </c>
      <c r="F172" s="61">
        <f t="shared" si="56"/>
        <v>1.0850000000000004</v>
      </c>
      <c r="G172" s="61">
        <f t="shared" si="56"/>
        <v>1.0850000000000004</v>
      </c>
      <c r="H172" s="61">
        <f t="shared" si="56"/>
        <v>2.1</v>
      </c>
      <c r="I172" s="61">
        <f t="shared" si="56"/>
        <v>1.7850000000000004</v>
      </c>
      <c r="J172" s="61">
        <f t="shared" si="56"/>
        <v>0</v>
      </c>
      <c r="K172" s="61">
        <f t="shared" si="56"/>
        <v>0</v>
      </c>
      <c r="L172" s="61">
        <f t="shared" si="56"/>
        <v>2.6031250000000004</v>
      </c>
      <c r="M172" s="61">
        <f t="shared" si="56"/>
        <v>2.6031250000000004</v>
      </c>
      <c r="N172" s="61">
        <f t="shared" si="56"/>
        <v>1.6139375</v>
      </c>
      <c r="O172" s="61">
        <f t="shared" si="56"/>
        <v>1.6139375</v>
      </c>
      <c r="P172" s="61">
        <f t="shared" si="56"/>
        <v>1.3449479166666667</v>
      </c>
      <c r="Q172" s="61">
        <f t="shared" si="56"/>
        <v>1.3449479166666667</v>
      </c>
      <c r="R172" s="61">
        <f t="shared" si="56"/>
        <v>0</v>
      </c>
      <c r="S172" s="61">
        <f t="shared" si="56"/>
        <v>2.6031250000000004</v>
      </c>
      <c r="T172" s="61">
        <f t="shared" si="56"/>
        <v>0.67631666666666668</v>
      </c>
      <c r="U172" s="61">
        <f t="shared" si="56"/>
        <v>0.67631666666666668</v>
      </c>
      <c r="V172" s="61">
        <f t="shared" si="56"/>
        <v>0.9800000000000002</v>
      </c>
      <c r="W172" s="61">
        <f t="shared" si="56"/>
        <v>0.9800000000000002</v>
      </c>
      <c r="X172" s="61">
        <f t="shared" si="56"/>
        <v>0</v>
      </c>
      <c r="Y172" s="61">
        <f t="shared" si="56"/>
        <v>0</v>
      </c>
      <c r="AA172" s="64">
        <f>SUM(B172:Y172)</f>
        <v>24.074779166666666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0.94033333333333347</v>
      </c>
      <c r="G176" s="61">
        <f t="shared" si="58"/>
        <v>0.94033333333333347</v>
      </c>
      <c r="H176" s="61">
        <f t="shared" si="58"/>
        <v>0.91</v>
      </c>
      <c r="I176" s="61">
        <f t="shared" si="58"/>
        <v>0.91</v>
      </c>
      <c r="J176" s="61">
        <f t="shared" si="58"/>
        <v>0</v>
      </c>
      <c r="K176" s="61">
        <f t="shared" si="58"/>
        <v>0</v>
      </c>
      <c r="L176" s="61">
        <f t="shared" si="58"/>
        <v>1.1375000000000002</v>
      </c>
      <c r="M176" s="61">
        <f t="shared" si="58"/>
        <v>1.1375000000000002</v>
      </c>
      <c r="N176" s="61">
        <f t="shared" si="58"/>
        <v>1.1754166666666668</v>
      </c>
      <c r="O176" s="61">
        <f t="shared" si="58"/>
        <v>1.1754166666666668</v>
      </c>
      <c r="P176" s="61">
        <f t="shared" si="58"/>
        <v>1.1754166666666668</v>
      </c>
      <c r="Q176" s="61">
        <f t="shared" si="58"/>
        <v>1.1754166666666668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1.8525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0.8493333333333335</v>
      </c>
      <c r="F185" s="61">
        <f>SUM(CdTrp2!F175:F184)</f>
        <v>0.94033333333333347</v>
      </c>
      <c r="G185" s="61">
        <f>SUM(CdTrp2!G175:G184)</f>
        <v>0.94033333333333347</v>
      </c>
      <c r="H185" s="61">
        <f>SUM(CdTrp2!H175:H184)</f>
        <v>0.91</v>
      </c>
      <c r="I185" s="61">
        <f>SUM(CdTrp2!I175:I184)</f>
        <v>0.91</v>
      </c>
      <c r="J185" s="61">
        <f>SUM(CdTrp2!J175:J184)</f>
        <v>0</v>
      </c>
      <c r="K185" s="61">
        <f>SUM(CdTrp2!K175:K184)</f>
        <v>0</v>
      </c>
      <c r="L185" s="61">
        <f>SUM(CdTrp2!L175:L184)</f>
        <v>1.1375000000000002</v>
      </c>
      <c r="M185" s="61">
        <f>SUM(CdTrp2!M175:M184)</f>
        <v>1.1375000000000002</v>
      </c>
      <c r="N185" s="61">
        <f>SUM(CdTrp2!N175:N184)</f>
        <v>1.1754166666666668</v>
      </c>
      <c r="O185" s="61">
        <f>SUM(CdTrp2!O175:O184)</f>
        <v>1.1754166666666668</v>
      </c>
      <c r="P185" s="61">
        <f>SUM(CdTrp2!P175:P184)</f>
        <v>1.1754166666666668</v>
      </c>
      <c r="Q185" s="61">
        <f>SUM(CdTrp2!Q175:Q184)</f>
        <v>1.1754166666666668</v>
      </c>
      <c r="R185" s="61">
        <f>SUM(CdTrp2!R175:R184)</f>
        <v>0</v>
      </c>
      <c r="S185" s="61">
        <f>SUM(CdTrp2!S175:S184)</f>
        <v>0</v>
      </c>
      <c r="T185" s="61">
        <f>SUM(CdTrp2!T175:T184)</f>
        <v>2.031791666666666</v>
      </c>
      <c r="U185" s="61">
        <f>SUM(CdTrp2!U175:U184)</f>
        <v>2.031791666666666</v>
      </c>
      <c r="V185" s="61">
        <f>SUM(CdTrp2!V175:V184)</f>
        <v>1.8525</v>
      </c>
      <c r="W185" s="61">
        <f>SUM(CdTrp2!W175:W184)</f>
        <v>1.8525</v>
      </c>
      <c r="X185" s="61">
        <f>SUM(CdTrp2!X175:X184)</f>
        <v>0</v>
      </c>
      <c r="Y185" s="61">
        <f>SUM(CdTrp2!Y175:Y184)</f>
        <v>0</v>
      </c>
      <c r="AA185" s="64">
        <f>SUM(B185:Y185)</f>
        <v>20.144583333333333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2.6031250000000004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3.7406250000000005</v>
      </c>
      <c r="S211" s="61">
        <f t="shared" si="88"/>
        <v>1.1375000000000002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12.373666666666665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0.98000000000000043</v>
      </c>
      <c r="F215" s="61">
        <f t="shared" si="89"/>
        <v>1.0850000000000004</v>
      </c>
      <c r="G215" s="61">
        <f t="shared" si="89"/>
        <v>1.0850000000000004</v>
      </c>
      <c r="H215" s="61">
        <f t="shared" si="89"/>
        <v>2.1</v>
      </c>
      <c r="I215" s="61">
        <f t="shared" si="89"/>
        <v>1.7850000000000004</v>
      </c>
      <c r="J215" s="61">
        <f t="shared" si="89"/>
        <v>0</v>
      </c>
      <c r="K215" s="61">
        <f t="shared" si="89"/>
        <v>0</v>
      </c>
      <c r="L215" s="61">
        <f t="shared" si="89"/>
        <v>2.6031250000000004</v>
      </c>
      <c r="M215" s="61">
        <f t="shared" si="89"/>
        <v>2.6031250000000004</v>
      </c>
      <c r="N215" s="61">
        <f t="shared" si="89"/>
        <v>1.6139375</v>
      </c>
      <c r="O215" s="61">
        <f t="shared" si="89"/>
        <v>1.6139375</v>
      </c>
      <c r="P215" s="61">
        <f t="shared" si="89"/>
        <v>1.3449479166666667</v>
      </c>
      <c r="Q215" s="61">
        <f t="shared" si="89"/>
        <v>1.3449479166666667</v>
      </c>
      <c r="R215" s="61">
        <f t="shared" si="89"/>
        <v>0</v>
      </c>
      <c r="S215" s="61">
        <f t="shared" si="89"/>
        <v>2.6031250000000004</v>
      </c>
      <c r="T215" s="61">
        <f t="shared" si="89"/>
        <v>0.67631666666666668</v>
      </c>
      <c r="U215" s="61">
        <f t="shared" si="89"/>
        <v>0.67631666666666668</v>
      </c>
      <c r="V215" s="61">
        <f t="shared" si="89"/>
        <v>0.9800000000000002</v>
      </c>
      <c r="W215" s="61">
        <f t="shared" si="89"/>
        <v>0.9800000000000002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0.8493333333333335</v>
      </c>
      <c r="F216" s="61">
        <f t="shared" si="90"/>
        <v>0.94033333333333347</v>
      </c>
      <c r="G216" s="61">
        <f t="shared" si="90"/>
        <v>0.94033333333333347</v>
      </c>
      <c r="H216" s="61">
        <f t="shared" si="90"/>
        <v>0.91</v>
      </c>
      <c r="I216" s="61">
        <f t="shared" si="90"/>
        <v>0.91</v>
      </c>
      <c r="J216" s="61">
        <f t="shared" si="90"/>
        <v>0</v>
      </c>
      <c r="K216" s="61">
        <f t="shared" si="90"/>
        <v>0</v>
      </c>
      <c r="L216" s="61">
        <f t="shared" si="90"/>
        <v>1.1375000000000002</v>
      </c>
      <c r="M216" s="61">
        <f t="shared" si="90"/>
        <v>1.1375000000000002</v>
      </c>
      <c r="N216" s="61">
        <f t="shared" si="90"/>
        <v>1.1754166666666668</v>
      </c>
      <c r="O216" s="61">
        <f t="shared" si="90"/>
        <v>1.1754166666666668</v>
      </c>
      <c r="P216" s="61">
        <f t="shared" si="90"/>
        <v>1.1754166666666668</v>
      </c>
      <c r="Q216" s="61">
        <f t="shared" si="90"/>
        <v>1.1754166666666668</v>
      </c>
      <c r="R216" s="61">
        <f t="shared" si="90"/>
        <v>0</v>
      </c>
      <c r="S216" s="61">
        <f t="shared" si="90"/>
        <v>0</v>
      </c>
      <c r="T216" s="61">
        <f t="shared" si="90"/>
        <v>2.031791666666666</v>
      </c>
      <c r="U216" s="61">
        <f t="shared" si="90"/>
        <v>2.031791666666666</v>
      </c>
      <c r="V216" s="61">
        <f t="shared" si="90"/>
        <v>1.8525</v>
      </c>
      <c r="W216" s="61">
        <f t="shared" si="90"/>
        <v>1.8525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3.7406250000000005</v>
      </c>
      <c r="S218" s="61">
        <f t="shared" si="92"/>
        <v>1.1375000000000002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56.593029166666653</v>
      </c>
      <c r="AB219" t="s">
        <v>222</v>
      </c>
    </row>
    <row r="220" spans="1:28" x14ac:dyDescent="0.25">
      <c r="AA220" s="30">
        <f>SUM(B215:Y217)</f>
        <v>44.219362499999981</v>
      </c>
      <c r="AB220" t="s">
        <v>223</v>
      </c>
    </row>
    <row r="221" spans="1:28" x14ac:dyDescent="0.25">
      <c r="AA221" s="30">
        <f>SUM(B218:Y218)</f>
        <v>12.373666666666665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2023-01-16T17:46:52Z</dcterms:modified>
</cp:coreProperties>
</file>