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65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P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C53" i="32"/>
  <c r="D53" i="32" s="1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T246" i="31"/>
  <c r="B166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D17" i="30" s="1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M20" i="30"/>
  <c r="BK20" i="30"/>
  <c r="BJ20" i="30"/>
  <c r="BI20" i="30"/>
  <c r="BI76" i="30" s="1"/>
  <c r="BG20" i="30"/>
  <c r="BF20" i="30"/>
  <c r="BF65" i="30" s="1"/>
  <c r="BE20" i="30"/>
  <c r="BC20" i="30"/>
  <c r="BB20" i="30"/>
  <c r="BA20" i="30"/>
  <c r="BA76" i="30" s="1"/>
  <c r="AY20" i="30"/>
  <c r="AX20" i="30"/>
  <c r="AX65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CX91" i="32" l="1"/>
  <c r="CJ90" i="32"/>
  <c r="BG29" i="30"/>
  <c r="BQ29" i="30"/>
  <c r="CH91" i="32"/>
  <c r="D223" i="32"/>
  <c r="D224" i="32"/>
  <c r="D188" i="32"/>
  <c r="AK227" i="32" s="1"/>
  <c r="AO227" i="32" s="1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BG76" i="30"/>
  <c r="BG65" i="30"/>
  <c r="BO76" i="30"/>
  <c r="BO65" i="30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J26" i="29"/>
  <c r="J30" i="29" s="1"/>
  <c r="R26" i="29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BE76" i="30"/>
  <c r="BE65" i="30"/>
  <c r="BM76" i="30"/>
  <c r="BM65" i="30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K76" i="30"/>
  <c r="BK65" i="30"/>
  <c r="BS76" i="30"/>
  <c r="BS65" i="30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76" i="30"/>
  <c r="BJ65" i="30"/>
  <c r="BJ76" i="30"/>
  <c r="BR65" i="30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76" i="30"/>
  <c r="BL65" i="30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AI165" i="31" l="1"/>
  <c r="AJ219" i="32"/>
  <c r="AN219" i="32" s="1"/>
  <c r="B109" i="30"/>
  <c r="B112" i="30" s="1"/>
  <c r="E201" i="29"/>
  <c r="E212" i="29" s="1"/>
  <c r="BA64" i="30"/>
  <c r="BA110" i="30" s="1"/>
  <c r="BB73" i="30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BR84" i="30" s="1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H83" i="30" s="1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K226" i="32" l="1"/>
  <c r="AO226" i="32" s="1"/>
  <c r="BH82" i="30"/>
  <c r="BR81" i="30"/>
  <c r="BH84" i="30"/>
  <c r="BR82" i="30"/>
  <c r="BR83" i="30"/>
  <c r="D251" i="32"/>
  <c r="AJ186" i="28"/>
  <c r="AI186" i="28"/>
  <c r="AJ186" i="31"/>
  <c r="AI186" i="31"/>
  <c r="BO85" i="30"/>
  <c r="AH164" i="31"/>
  <c r="F203" i="29"/>
  <c r="AI164" i="28"/>
  <c r="AI228" i="28" s="1"/>
  <c r="AJ193" i="31"/>
  <c r="AJ228" i="31" s="1"/>
  <c r="C134" i="31" s="1"/>
  <c r="J134" i="31" s="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6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C71" i="32" l="1"/>
  <c r="K48" i="28"/>
  <c r="B154" i="31" s="1"/>
  <c r="J154" i="31" s="1"/>
  <c r="C227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C74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CI102" i="30" l="1"/>
  <c r="N10" i="30" s="1"/>
  <c r="BN102" i="30"/>
  <c r="Y9" i="30" s="1"/>
  <c r="AY102" i="30"/>
  <c r="J9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J13" i="30" l="1"/>
  <c r="AJ8" i="29"/>
  <c r="B81" i="30" s="1"/>
  <c r="F81" i="30" s="1"/>
  <c r="B114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F75" i="30" l="1"/>
  <c r="F76" i="30"/>
  <c r="B113" i="30" s="1"/>
  <c r="B125" i="30" s="1"/>
  <c r="F77" i="30"/>
  <c r="B129" i="30" s="1"/>
  <c r="T245" i="31"/>
  <c r="X245" i="31" s="1"/>
  <c r="C193" i="32"/>
  <c r="D193" i="32" s="1"/>
  <c r="C277" i="32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C278" i="32" l="1"/>
  <c r="C189" i="32"/>
  <c r="D189" i="32" s="1"/>
  <c r="AK189" i="32" s="1"/>
  <c r="AO189" i="32" s="1"/>
  <c r="AO192" i="32" s="1"/>
  <c r="J141" i="31"/>
  <c r="C219" i="32" s="1"/>
  <c r="D219" i="32" s="1"/>
  <c r="X248" i="31"/>
  <c r="D278" i="32"/>
  <c r="D291" i="32" s="1"/>
  <c r="C291" i="32"/>
  <c r="D277" i="32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19" i="22" l="1"/>
  <c r="CC75" i="32"/>
  <c r="CC132" i="32" s="1"/>
  <c r="CG75" i="32"/>
  <c r="BQ77" i="32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34" i="32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D122" i="32" l="1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72" i="24" l="1"/>
  <c r="AA219" i="24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B83" i="30" l="1"/>
  <c r="C183" i="32"/>
  <c r="T234" i="31"/>
  <c r="AK26" i="29"/>
  <c r="C184" i="32" s="1"/>
  <c r="D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T272" i="31" l="1"/>
  <c r="X272" i="31" s="1"/>
  <c r="J142" i="31" s="1"/>
  <c r="C220" i="32" s="1"/>
  <c r="X234" i="31"/>
  <c r="C185" i="32"/>
  <c r="D185" i="32" s="1"/>
  <c r="D183" i="32" s="1"/>
  <c r="F83" i="30"/>
  <c r="F84" i="30"/>
  <c r="AJ216" i="32"/>
  <c r="AN216" i="32" s="1"/>
  <c r="D220" i="32" s="1"/>
  <c r="D192" i="32"/>
  <c r="AK225" i="32"/>
  <c r="AO225" i="32" s="1"/>
  <c r="AO228" i="32" s="1"/>
  <c r="AQ228" i="32" s="1"/>
  <c r="AR228" i="32" s="1"/>
  <c r="AS228" i="32" s="1"/>
  <c r="AT228" i="32" s="1"/>
  <c r="AW228" i="32" s="1"/>
  <c r="D240" i="32" s="1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192" i="32" l="1"/>
  <c r="C276" i="32" s="1"/>
  <c r="B115" i="30"/>
  <c r="B126" i="30" s="1"/>
  <c r="B167" i="31"/>
  <c r="J167" i="31" s="1"/>
  <c r="X237" i="31"/>
  <c r="C307" i="32"/>
  <c r="D235" i="32"/>
  <c r="D236" i="32" s="1"/>
  <c r="D276" i="32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C243" i="32" l="1"/>
  <c r="D243" i="32" s="1"/>
  <c r="Z237" i="31"/>
  <c r="AA237" i="31" s="1"/>
  <c r="C235" i="32"/>
  <c r="C236" i="32" s="1"/>
  <c r="J170" i="31"/>
  <c r="C290" i="32"/>
  <c r="C293" i="32"/>
  <c r="D290" i="32"/>
  <c r="D293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44" i="32" l="1"/>
  <c r="D244" i="32" s="1"/>
  <c r="AB237" i="31"/>
  <c r="AC237" i="31" s="1"/>
  <c r="AF237" i="31" s="1"/>
  <c r="B178" i="31" s="1"/>
  <c r="C240" i="32" s="1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<sst xmlns="http://schemas.openxmlformats.org/spreadsheetml/2006/main" count="3020" uniqueCount="1471">
  <si>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</si>
  <si>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</si>
  <si>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</si>
  <si>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</si>
  <si>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</si>
  <si>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</si>
  <si>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</si>
  <si>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</si>
  <si>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</si>
  <si>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</si>
  <si>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</si>
  <si>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</si>
  <si>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</si>
  <si>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</si>
  <si>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</si>
  <si>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</si>
  <si>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</si>
  <si>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</si>
  <si>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</si>
  <si>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</si>
  <si>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</si>
  <si>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</si>
  <si>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</si>
  <si>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</si>
  <si>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</si>
  <si>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</si>
  <si>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</si>
  <si>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</si>
  <si>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</si>
  <si>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</si>
  <si>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</si>
  <si>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</si>
  <si>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</si>
  <si>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</si>
  <si>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</si>
  <si>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</si>
  <si>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</si>
  <si>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</si>
  <si>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</si>
  <si>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</si>
  <si>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</si>
  <si>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</si>
  <si>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</si>
  <si>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</si>
  <si>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</si>
  <si>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</si>
  <si>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</si>
  <si>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</si>
  <si>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</si>
  <si>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</si>
  <si>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</si>
  <si>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</si>
  <si>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</si>
  <si>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</si>
  <si>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</si>
  <si>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</si>
  <si>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</si>
  <si>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</si>
  <si>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</si>
  <si>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</si>
  <si>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</si>
  <si>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</si>
  <si>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</si>
  <si>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</si>
  <si>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</si>
  <si>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</si>
  <si>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</si>
  <si>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</si>
  <si>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</si>
  <si>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</si>
  <si>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</si>
  <si>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</si>
  <si>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</si>
  <si>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</si>
  <si>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</si>
  <si>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</si>
  <si>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</si>
  <si>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</si>
  <si>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</si>
  <si>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</si>
  <si>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</si>
  <si>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</si>
  <si>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</si>
  <si>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</si>
  <si>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</si>
  <si>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</si>
  <si>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</si>
  <si>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</si>
  <si>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</si>
  <si>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</si>
  <si>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</si>
  <si>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</si>
  <si>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</si>
  <si>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</si>
  <si>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</si>
  <si>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</si>
  <si>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</si>
  <si>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</si>
  <si>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</si>
  <si>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</si>
  <si>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</si>
  <si>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</si>
  <si>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</si>
  <si>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</si>
  <si>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</si>
  <si>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</si>
  <si>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</si>
  <si>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</si>
  <si>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</si>
  <si>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</si>
  <si>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</si>
  <si>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</si>
  <si>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</si>
  <si>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</si>
  <si>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</si>
  <si>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</si>
  <si>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</si>
  <si>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</si>
  <si>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</si>
  <si>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</si>
  <si>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</si>
  <si>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</si>
  <si>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</si>
  <si>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</si>
  <si>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</si>
  <si>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</si>
  <si>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</si>
  <si>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</si>
  <si>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</si>
  <si>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</si>
  <si>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</si>
  <si>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</si>
  <si>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</si>
  <si>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</si>
  <si>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</si>
  <si>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</si>
  <si>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</si>
  <si>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</si>
  <si>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</si>
  <si>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</si>
  <si>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</si>
  <si>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</si>
  <si>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</si>
  <si>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</si>
  <si>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</si>
  <si>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</si>
  <si>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</si>
  <si>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</si>
  <si>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</si>
  <si>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</si>
  <si>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</si>
  <si>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</si>
  <si>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</si>
  <si>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</si>
  <si>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</si>
  <si>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</si>
  <si>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</si>
  <si>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</si>
  <si>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</si>
  <si>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</si>
  <si>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</si>
  <si>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</si>
  <si>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</si>
  <si>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</si>
  <si>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</si>
  <si>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</si>
  <si>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</si>
  <si>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</si>
  <si>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</si>
  <si>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</si>
  <si>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</si>
  <si>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</si>
  <si>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</si>
  <si>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</si>
  <si>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</si>
  <si>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</si>
  <si>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</si>
  <si>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</si>
  <si>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</si>
  <si>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</si>
  <si>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</si>
  <si>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</si>
  <si>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</si>
  <si>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</si>
  <si>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</si>
  <si>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</si>
  <si>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</si>
  <si>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</si>
  <si>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</si>
  <si>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</si>
  <si>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</si>
  <si>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</si>
  <si>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</si>
  <si>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</si>
  <si>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</si>
  <si>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</si>
  <si>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</si>
  <si>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</si>
  <si>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</si>
  <si>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</si>
  <si>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</si>
  <si>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</si>
  <si>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</si>
  <si>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</si>
  <si>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</si>
  <si>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</si>
  <si>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</si>
  <si>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</si>
  <si>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</si>
  <si>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</si>
  <si>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</si>
  <si>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</si>
  <si>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</si>
  <si>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</si>
  <si>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</si>
  <si>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</si>
  <si>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</si>
  <si>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</si>
  <si>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</si>
  <si>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</si>
  <si>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</si>
  <si>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</si>
  <si>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</si>
  <si>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</si>
  <si>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</si>
  <si>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</si>
  <si>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</si>
  <si>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</si>
  <si>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</si>
  <si>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</si>
  <si>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</si>
  <si>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</si>
  <si>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</si>
  <si>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</si>
  <si>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</si>
  <si>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</si>
  <si>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</si>
  <si>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</si>
  <si>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</si>
  <si>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</si>
  <si>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</si>
  <si>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</si>
  <si>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</si>
  <si>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</si>
  <si>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</si>
  <si>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</si>
  <si>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</si>
  <si>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</si>
  <si>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</si>
  <si>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</si>
  <si>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</si>
  <si>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</si>
  <si>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</si>
  <si>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</si>
  <si>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</si>
  <si>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</si>
  <si>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</si>
  <si>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</si>
  <si>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</si>
  <si>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</si>
  <si>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</si>
  <si>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</si>
  <si>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</si>
  <si>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</si>
  <si>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</si>
  <si>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</si>
  <si>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</si>
  <si>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</si>
  <si>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</si>
  <si>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</si>
  <si>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</si>
  <si>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</si>
  <si>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</si>
  <si>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</si>
  <si>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</si>
  <si>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</si>
  <si>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</si>
  <si>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</si>
  <si>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</si>
  <si>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</si>
  <si>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</si>
  <si>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</si>
  <si>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</si>
  <si>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</si>
  <si>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</si>
  <si>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</si>
  <si>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</si>
  <si>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</si>
  <si>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</si>
  <si>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</si>
  <si>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</si>
  <si>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</si>
  <si>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</si>
  <si>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</si>
  <si>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</si>
  <si>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</si>
  <si>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</si>
  <si>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</si>
  <si>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</si>
  <si>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</si>
  <si>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</si>
  <si>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</si>
  <si>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</si>
  <si>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</si>
  <si>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</si>
  <si>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</si>
  <si>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</si>
  <si>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</si>
  <si>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</si>
  <si>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</si>
  <si>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</si>
  <si>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</si>
  <si>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</si>
  <si>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</si>
  <si>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</si>
  <si>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</si>
  <si>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</si>
  <si>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</si>
  <si>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</si>
  <si>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</si>
  <si>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</si>
  <si>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</si>
  <si>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</si>
  <si>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</si>
  <si>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</si>
  <si>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</si>
  <si>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</si>
  <si>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</si>
  <si>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</si>
  <si>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</si>
  <si>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</si>
  <si>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</si>
  <si>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</si>
  <si>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</si>
  <si>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</si>
  <si>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</si>
  <si>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</si>
  <si>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</si>
  <si>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</si>
  <si>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</si>
  <si>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</si>
  <si>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</si>
  <si>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</si>
  <si>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</si>
  <si>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</si>
  <si>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</si>
  <si>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</si>
  <si>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</si>
  <si>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</si>
  <si>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</si>
  <si>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</si>
  <si>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</si>
  <si>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</si>
  <si>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</si>
  <si>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</si>
  <si>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</si>
  <si>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</si>
  <si>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</si>
  <si>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</si>
  <si>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</si>
  <si>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</si>
  <si>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</si>
  <si>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</si>
  <si>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</si>
  <si>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</si>
  <si>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</si>
  <si>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</si>
  <si>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</si>
  <si>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</si>
  <si>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</si>
  <si>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</si>
  <si>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</si>
  <si>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</si>
  <si>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</si>
  <si>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</si>
  <si>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</si>
  <si>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</si>
  <si>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</si>
  <si>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</si>
  <si>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</si>
  <si>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</si>
  <si>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</si>
  <si>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</si>
  <si>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</si>
  <si>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</si>
  <si>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</si>
  <si>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</si>
  <si>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</si>
  <si>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</si>
  <si>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</si>
  <si>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</si>
  <si>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</si>
  <si>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</si>
  <si>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</si>
  <si>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</si>
  <si>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</si>
  <si>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</si>
  <si>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</si>
  <si>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</si>
  <si>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</si>
  <si>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</si>
  <si>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</si>
  <si>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</si>
  <si>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</si>
  <si>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</si>
  <si>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</si>
  <si>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</si>
  <si>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</si>
  <si>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</si>
  <si>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</si>
  <si>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</si>
  <si>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</si>
  <si>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</si>
  <si>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</si>
  <si>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</si>
  <si>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</si>
  <si>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</si>
  <si>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</si>
  <si>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</si>
  <si>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</si>
  <si>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</si>
  <si>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</si>
  <si>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</si>
  <si>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</si>
  <si>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</si>
  <si>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</si>
  <si>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</si>
  <si>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</si>
  <si>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</si>
  <si>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</si>
  <si>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</si>
  <si>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</si>
  <si>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</si>
  <si>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</si>
  <si>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</si>
  <si>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</si>
  <si>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</si>
  <si>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</si>
  <si>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</si>
  <si>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</si>
  <si>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</si>
  <si>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</si>
  <si>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</si>
  <si>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</si>
  <si>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</si>
  <si>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</si>
  <si>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</si>
  <si>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</si>
  <si>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</si>
  <si>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</si>
  <si>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</si>
  <si>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</si>
  <si>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</si>
  <si>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</si>
  <si>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</si>
  <si>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</si>
  <si>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</si>
  <si>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</si>
  <si>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</si>
  <si>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</si>
  <si>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</si>
  <si>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</si>
  <si>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</si>
  <si>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</si>
  <si>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</si>
  <si>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</si>
  <si>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</si>
  <si>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</si>
  <si>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</si>
  <si>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</si>
  <si>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</si>
  <si>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</si>
  <si>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</si>
  <si>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</si>
  <si>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</si>
  <si>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</si>
  <si>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</si>
  <si>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</si>
  <si>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</si>
  <si>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</si>
  <si>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</si>
  <si>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</si>
  <si>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</si>
  <si>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</si>
  <si>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</si>
  <si>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</si>
  <si>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</si>
  <si>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</si>
  <si>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</si>
  <si>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</si>
  <si>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</si>
  <si>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</si>
  <si>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</si>
  <si>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</si>
  <si>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</si>
  <si>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</si>
  <si>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</si>
  <si>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</si>
  <si>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</si>
  <si>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</si>
  <si>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</si>
  <si>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</si>
  <si>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</si>
  <si>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</si>
  <si>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</si>
  <si>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</si>
  <si>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</si>
  <si>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</si>
  <si>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</si>
  <si>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</si>
  <si>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</si>
  <si>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</si>
  <si>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</si>
  <si>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</si>
  <si>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</si>
  <si>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</si>
  <si>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</si>
  <si>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</si>
  <si>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</si>
  <si>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</si>
  <si>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</si>
  <si>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</si>
  <si>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</si>
  <si>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</si>
  <si>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</si>
  <si>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</si>
  <si>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</si>
  <si>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</si>
  <si>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</si>
  <si>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</si>
  <si>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</si>
  <si>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</si>
  <si>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</si>
  <si>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</si>
  <si>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</si>
  <si>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</si>
  <si>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</si>
  <si>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</si>
  <si>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</si>
  <si>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</si>
  <si>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</si>
  <si>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</si>
  <si>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</si>
  <si>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</si>
  <si>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</si>
  <si>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</si>
  <si>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</si>
  <si>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</si>
  <si>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</si>
  <si>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</si>
  <si>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</si>
  <si>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</si>
  <si>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</si>
  <si>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</si>
  <si>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</si>
  <si>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</si>
  <si>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</si>
  <si>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</si>
  <si>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</si>
  <si>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</si>
  <si>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</si>
  <si>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</si>
  <si>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</si>
  <si>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</si>
  <si>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</si>
  <si>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</si>
  <si>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</si>
  <si>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</si>
  <si>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</si>
  <si>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</si>
  <si>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</si>
  <si>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</si>
  <si>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</si>
  <si>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</si>
  <si>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</si>
  <si>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</si>
  <si>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</si>
  <si>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</si>
  <si>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</si>
  <si>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</si>
  <si>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</si>
  <si>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</si>
  <si>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</si>
  <si>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</si>
  <si>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</si>
  <si>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</si>
  <si>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</si>
  <si>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</si>
  <si>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</si>
  <si>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</si>
  <si>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</si>
  <si>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</si>
  <si>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</si>
  <si>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</si>
  <si>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</si>
  <si>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</si>
  <si>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</si>
  <si>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</si>
  <si>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</si>
  <si>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</si>
  <si>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</si>
  <si>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</si>
  <si>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</si>
  <si>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</si>
  <si>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</si>
  <si>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</si>
  <si>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</si>
  <si>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</si>
  <si>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</si>
  <si>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</si>
  <si>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</si>
  <si>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</si>
  <si>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</si>
  <si>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</si>
  <si>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</si>
  <si>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</si>
  <si>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</si>
  <si>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</si>
  <si>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</si>
  <si>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</si>
  <si>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</si>
  <si>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</si>
  <si>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</si>
  <si>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</si>
  <si>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</si>
  <si>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</si>
  <si>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</si>
  <si>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</si>
  <si>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</si>
  <si>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</si>
  <si>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</si>
  <si>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</si>
  <si>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</si>
  <si>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</si>
  <si>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</si>
  <si>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</si>
  <si>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</si>
  <si>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</si>
  <si>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</si>
  <si>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</si>
  <si>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</si>
  <si>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</si>
  <si>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</si>
  <si>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</si>
  <si>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</si>
  <si>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</si>
  <si>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</si>
  <si>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</si>
  <si>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</si>
  <si>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</si>
  <si>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</si>
  <si>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</si>
  <si>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</si>
  <si>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</si>
  <si>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</si>
  <si>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</si>
  <si>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</si>
  <si>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</si>
  <si>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</si>
  <si>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</si>
  <si>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</si>
  <si>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</si>
  <si>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</si>
  <si>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</si>
  <si>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</si>
  <si>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</si>
  <si>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</si>
  <si>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</si>
  <si>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</si>
  <si>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</si>
  <si>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</si>
  <si>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</si>
  <si>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</si>
  <si>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</si>
  <si>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</si>
  <si>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</si>
  <si>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</si>
  <si>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</si>
  <si>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</si>
  <si>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</si>
  <si>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</si>
  <si>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</si>
  <si>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</si>
  <si>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</si>
  <si>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</si>
  <si>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</si>
  <si>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</si>
  <si>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</si>
  <si>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</si>
  <si>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</si>
  <si>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</si>
  <si>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</si>
  <si>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</si>
  <si>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</si>
  <si>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</si>
  <si>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</si>
  <si>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</si>
  <si>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</si>
  <si>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</si>
  <si>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</si>
  <si>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</si>
  <si>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</si>
  <si>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</si>
  <si>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</si>
  <si>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</si>
  <si>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</si>
  <si>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</si>
  <si>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</si>
  <si>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</si>
  <si>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</si>
  <si>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</si>
  <si>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</si>
  <si>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</si>
  <si>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</si>
  <si>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</si>
  <si>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</si>
  <si>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</si>
  <si>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</si>
  <si>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</si>
  <si>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</si>
  <si>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</si>
  <si>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</si>
  <si>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</si>
  <si>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</si>
  <si>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</si>
  <si>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</si>
  <si>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</si>
  <si>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</si>
  <si>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</si>
  <si>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</si>
  <si>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</si>
  <si>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</si>
  <si>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</si>
  <si>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</si>
  <si>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</si>
  <si>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</si>
  <si>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</si>
  <si>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</si>
  <si>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</si>
  <si>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</si>
  <si>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</si>
  <si>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</si>
  <si>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</si>
  <si>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</si>
  <si>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</si>
  <si>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</si>
  <si>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</si>
  <si>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</si>
  <si>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</si>
  <si>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</si>
  <si>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</si>
  <si>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</si>
  <si>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</si>
  <si>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</si>
  <si>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</si>
  <si>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</si>
  <si>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</si>
  <si>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</si>
  <si>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</si>
  <si>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</si>
  <si>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</si>
  <si>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</si>
  <si>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</si>
  <si>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</si>
  <si>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</si>
  <si>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</si>
  <si>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</si>
  <si>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</si>
  <si>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</si>
  <si>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</si>
  <si>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</si>
  <si>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</si>
  <si>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</si>
  <si>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</si>
  <si>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</si>
  <si>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</si>
  <si>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</si>
  <si>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</si>
  <si>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</si>
  <si>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</si>
  <si>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</si>
  <si>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</si>
  <si>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</si>
  <si>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</si>
  <si>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</si>
  <si>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</si>
  <si>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</si>
  <si>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</si>
  <si>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</si>
  <si>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</si>
  <si>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</si>
  <si>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</si>
  <si>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</si>
  <si>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</si>
  <si>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</si>
  <si>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</si>
  <si>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</si>
  <si>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</si>
  <si>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</si>
  <si>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</si>
  <si>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</si>
  <si>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</si>
  <si>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</si>
  <si>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</si>
  <si>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</si>
  <si>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</si>
  <si>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</si>
  <si>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</si>
  <si>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</si>
  <si>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</si>
  <si>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</si>
  <si>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</si>
  <si>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</si>
  <si>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</si>
  <si>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</si>
  <si>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</si>
  <si>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</si>
  <si>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</si>
  <si>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</si>
  <si>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</si>
  <si>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</si>
  <si>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</si>
  <si>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</si>
  <si>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</si>
  <si>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</si>
  <si>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</si>
  <si>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</si>
  <si>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</si>
  <si>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</si>
  <si>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</si>
  <si>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</si>
  <si>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</si>
  <si>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</si>
  <si>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</si>
  <si>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</si>
  <si>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</si>
  <si>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</si>
  <si>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</si>
  <si>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</si>
  <si>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</si>
  <si>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</si>
  <si>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</si>
  <si>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</si>
  <si>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</si>
  <si>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</si>
  <si>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</si>
  <si>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</si>
  <si>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</si>
  <si>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</si>
  <si>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</si>
  <si>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</si>
  <si>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</si>
  <si>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</si>
  <si>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</si>
  <si>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</si>
  <si>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</si>
  <si>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</si>
  <si>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</si>
  <si>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</si>
  <si>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</si>
  <si>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</si>
  <si>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</si>
  <si>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</si>
  <si>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</si>
  <si>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</si>
  <si>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</si>
  <si>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</si>
  <si>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</si>
  <si>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</si>
  <si>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</si>
  <si>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</si>
  <si>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</si>
  <si>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</si>
  <si>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</si>
  <si>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</si>
  <si>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</si>
  <si>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</si>
  <si>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</si>
  <si>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</si>
  <si>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</si>
  <si>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</si>
  <si>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</si>
  <si>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</si>
  <si>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</si>
  <si>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</si>
  <si>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</si>
  <si>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</si>
  <si>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</si>
  <si>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</si>
  <si>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</si>
  <si>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</si>
  <si>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</si>
  <si>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</si>
  <si>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</si>
  <si>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</si>
  <si>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</si>
  <si>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</si>
  <si>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</si>
  <si>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</si>
  <si>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</si>
  <si>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</si>
  <si>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</si>
  <si>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</si>
  <si>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</si>
  <si>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</si>
  <si>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</si>
  <si>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</si>
  <si>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</si>
  <si>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</si>
  <si>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</si>
  <si>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</si>
  <si>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</si>
  <si>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</si>
  <si>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</si>
  <si>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</si>
  <si>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</si>
  <si>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</si>
  <si>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</si>
  <si>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</si>
  <si>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</si>
  <si>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</si>
  <si>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</si>
  <si>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</si>
  <si>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</si>
  <si>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</si>
  <si>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</si>
  <si>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</si>
  <si>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</si>
  <si>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</si>
  <si>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</si>
  <si>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</si>
  <si>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</si>
  <si>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</si>
  <si>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</si>
  <si>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</si>
  <si>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</si>
  <si>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</si>
  <si>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</si>
  <si>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</si>
  <si>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</si>
  <si>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</si>
  <si>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</si>
  <si>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</si>
  <si>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</si>
  <si>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</si>
  <si>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</si>
  <si>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</si>
  <si>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</si>
  <si>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</si>
  <si>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</si>
  <si>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</si>
  <si>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</si>
  <si>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</si>
  <si>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</si>
  <si>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</si>
  <si>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</si>
  <si>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</si>
  <si>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</si>
  <si>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</si>
  <si>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</si>
  <si>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</si>
  <si>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</si>
  <si>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</si>
  <si>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</si>
  <si>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</si>
  <si>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</si>
  <si>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</si>
  <si>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</si>
  <si>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</si>
  <si>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</si>
  <si>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</si>
  <si>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</si>
  <si>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</si>
  <si>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</si>
  <si>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</si>
  <si>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</si>
  <si>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</si>
  <si>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</si>
  <si>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</si>
  <si>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</si>
  <si>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</si>
  <si>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</si>
  <si>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</si>
  <si>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</si>
  <si>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</si>
  <si>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</si>
  <si>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</si>
  <si>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</si>
  <si>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</si>
  <si>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</si>
  <si>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</si>
  <si>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</si>
  <si>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</si>
  <si>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</si>
  <si>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</si>
  <si>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</si>
  <si>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</si>
  <si>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</si>
  <si>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</si>
  <si>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</si>
  <si>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</si>
  <si>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</si>
  <si>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</si>
  <si>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</si>
  <si>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</si>
  <si>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</si>
  <si>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</si>
  <si>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</si>
  <si>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</si>
  <si>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</si>
  <si>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</si>
  <si>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</si>
  <si>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</si>
  <si>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</si>
  <si>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</si>
  <si>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</si>
  <si>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</si>
  <si>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</si>
  <si>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</si>
  <si>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</si>
  <si>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</si>
  <si>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</si>
  <si>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</si>
  <si>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</si>
  <si>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</si>
  <si>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</si>
  <si>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</si>
  <si>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</si>
  <si>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</si>
  <si>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</si>
  <si>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</si>
  <si>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</si>
  <si>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</si>
  <si>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</si>
  <si>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</si>
  <si>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</si>
  <si>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</si>
  <si>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</si>
  <si>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</si>
  <si>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</si>
  <si>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</si>
  <si>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</si>
  <si>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</si>
  <si>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</si>
  <si>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</si>
  <si>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</si>
  <si>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</si>
  <si>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</si>
  <si>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</si>
  <si>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</si>
  <si>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</si>
  <si>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</si>
  <si>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</si>
  <si>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</si>
  <si>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</si>
  <si>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</si>
  <si>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</si>
  <si>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</si>
  <si>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</si>
  <si>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</si>
  <si>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</si>
  <si>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</si>
  <si>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</si>
  <si>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</si>
  <si>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</si>
  <si>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</si>
  <si>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</si>
  <si>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</si>
  <si>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</si>
  <si>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</si>
  <si>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</si>
  <si>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</si>
  <si>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</si>
  <si>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</si>
  <si>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</si>
  <si>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</si>
  <si>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</si>
  <si>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</si>
  <si>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</si>
  <si>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</si>
  <si>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</si>
  <si>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</si>
  <si>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</si>
  <si>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</si>
  <si>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</si>
  <si>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</si>
  <si>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</si>
  <si>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</si>
  <si>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</si>
  <si>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</si>
  <si>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</si>
  <si>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</si>
  <si>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</si>
  <si>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</si>
  <si>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</si>
  <si>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</si>
  <si>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</si>
  <si>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</si>
  <si>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</si>
  <si>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</si>
  <si>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</si>
  <si>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</si>
  <si>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</si>
  <si>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</si>
  <si>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</si>
  <si>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</si>
  <si>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</si>
  <si>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</si>
  <si>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</si>
  <si>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</si>
  <si>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</si>
  <si>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</si>
  <si>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</si>
  <si>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</si>
  <si>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</si>
  <si>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</si>
  <si>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</si>
  <si>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</si>
  <si>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</si>
  <si>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</si>
  <si>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</si>
  <si>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</si>
  <si>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</si>
  <si>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</si>
  <si>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</si>
  <si>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</si>
  <si>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</si>
  <si>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</si>
  <si>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</si>
  <si>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</si>
  <si>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</si>
  <si>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</si>
  <si>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</si>
  <si>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</si>
  <si>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</si>
  <si>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</si>
  <si>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</si>
  <si>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</si>
  <si>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</si>
  <si>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</si>
  <si>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</si>
  <si>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</si>
  <si>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</si>
  <si>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</si>
  <si>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</si>
  <si>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</si>
  <si>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</si>
  <si>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</si>
  <si>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</si>
  <si>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</si>
  <si>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</si>
  <si>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</si>
  <si>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</si>
  <si>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</si>
  <si>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</si>
  <si>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</si>
  <si>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</si>
  <si>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</si>
  <si>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</si>
  <si>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</si>
  <si>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</si>
  <si>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</si>
  <si>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</si>
  <si>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</si>
  <si>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</si>
  <si>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</si>
  <si>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</si>
  <si>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</si>
  <si>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</si>
  <si>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</si>
  <si>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</si>
  <si>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</si>
  <si>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</si>
  <si>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</si>
  <si>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</si>
  <si>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</si>
  <si>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</si>
  <si>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</si>
  <si>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</si>
  <si>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</si>
  <si>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</si>
  <si>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</si>
  <si>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</si>
  <si>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</si>
  <si>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</si>
  <si>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</si>
  <si>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</si>
  <si>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</si>
  <si>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</si>
  <si>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</si>
  <si>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</si>
  <si>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</si>
  <si>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</si>
  <si>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</si>
  <si>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</si>
  <si>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</si>
  <si>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</si>
  <si>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</si>
  <si>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</si>
  <si>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</si>
  <si>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</si>
  <si>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</si>
  <si>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</si>
  <si>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</si>
  <si>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</si>
  <si>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</si>
  <si>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</si>
  <si>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</si>
  <si>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</si>
  <si>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</si>
  <si>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</si>
  <si>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</si>
  <si>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</si>
  <si>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</si>
  <si>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</si>
  <si>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</si>
  <si>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</si>
  <si>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</si>
  <si>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</si>
  <si>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</si>
  <si>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</si>
  <si>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</si>
  <si>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</si>
  <si>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</si>
  <si>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</si>
  <si>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</si>
  <si>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</si>
  <si>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</si>
  <si>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</si>
  <si>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</si>
  <si>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</si>
  <si>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</si>
  <si>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</si>
  <si>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</si>
  <si>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</si>
  <si>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</si>
  <si>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</si>
  <si>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</si>
  <si>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</si>
  <si>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</si>
  <si>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</si>
  <si>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</si>
  <si>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</si>
  <si>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</si>
  <si>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</si>
  <si>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</si>
  <si>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</si>
  <si>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</si>
  <si>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</si>
  <si>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</si>
  <si>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</si>
  <si>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</si>
  <si>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</si>
  <si>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</si>
  <si>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</si>
  <si>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</si>
  <si>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</si>
  <si>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</si>
  <si>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</si>
  <si>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</si>
  <si>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</si>
  <si>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</si>
  <si>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</si>
  <si>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</si>
  <si>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</si>
  <si>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</si>
  <si>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</si>
  <si>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</si>
  <si>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</si>
  <si>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</si>
  <si>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</si>
  <si>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</si>
  <si>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</si>
  <si>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</si>
  <si>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</si>
  <si>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</si>
  <si>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</si>
  <si>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</si>
  <si>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</si>
  <si>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</si>
  <si>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</si>
  <si>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</si>
  <si>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</si>
  <si>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</si>
  <si>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</si>
  <si>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</si>
  <si>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</si>
  <si>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</si>
  <si>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</si>
  <si>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</si>
  <si>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</si>
  <si>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</si>
  <si>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</si>
  <si>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</si>
  <si>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</si>
  <si>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</si>
  <si>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</si>
  <si>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</si>
  <si>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</si>
  <si>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</si>
  <si>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</si>
  <si>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</si>
  <si>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</si>
  <si>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</si>
  <si>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</si>
  <si>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</si>
  <si>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</si>
  <si>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</si>
  <si>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</si>
  <si>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</si>
  <si>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</si>
  <si>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</si>
  <si>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</si>
  <si>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</si>
  <si>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</si>
  <si>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</si>
  <si>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</si>
  <si>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</si>
  <si>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</si>
  <si>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</si>
  <si>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</si>
  <si>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</si>
  <si>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</si>
  <si>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</si>
  <si>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</si>
  <si>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</si>
  <si>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</si>
  <si>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</si>
  <si>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</si>
  <si>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</si>
  <si>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</si>
  <si>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</si>
  <si>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</si>
  <si>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</si>
  <si>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</si>
  <si>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</si>
  <si>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</si>
  <si>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</si>
  <si>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</si>
  <si>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</si>
  <si>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</si>
  <si>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</si>
  <si>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</si>
  <si>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</si>
  <si>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</si>
  <si>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</si>
  <si>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</si>
  <si>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</si>
  <si>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</si>
  <si>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</si>
  <si>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</si>
  <si>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</si>
  <si>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</si>
  <si>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</si>
  <si>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</si>
  <si>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</si>
  <si>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</si>
  <si>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</si>
  <si>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</si>
  <si>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</si>
  <si>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</si>
  <si>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</si>
  <si>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</si>
  <si>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</si>
  <si>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</si>
  <si>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</si>
  <si>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</si>
  <si>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</si>
  <si>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</si>
  <si>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</si>
  <si>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</si>
  <si>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</si>
  <si>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</si>
  <si>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</si>
  <si>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</si>
  <si>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</si>
  <si>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</si>
  <si>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</si>
  <si>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</si>
  <si>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</si>
  <si>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</si>
  <si>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</si>
  <si>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</si>
  <si>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</si>
  <si>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</si>
  <si>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</si>
  <si>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</si>
  <si>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</si>
  <si>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</si>
  <si>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</si>
  <si>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</si>
  <si>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</si>
  <si>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</si>
  <si>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</si>
  <si>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</si>
  <si>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</si>
  <si>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</si>
  <si>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</si>
  <si>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</si>
  <si>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</si>
  <si>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</si>
  <si>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</si>
  <si>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</si>
  <si>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</si>
  <si>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</si>
  <si>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</si>
  <si>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</si>
  <si>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</si>
  <si>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</si>
  <si>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</si>
  <si>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</si>
  <si>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</si>
  <si>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</si>
  <si>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</si>
  <si>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</si>
  <si>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</si>
  <si>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</si>
  <si>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</si>
  <si>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</si>
  <si>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</si>
  <si>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</si>
  <si>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</si>
  <si>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</si>
  <si>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</si>
  <si>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</si>
  <si>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</si>
  <si>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</si>
  <si>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</si>
  <si>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</si>
  <si>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</si>
  <si>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</si>
  <si>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</si>
  <si>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</si>
  <si>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</si>
  <si>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</si>
  <si>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</si>
  <si>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</si>
  <si>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</si>
  <si>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</si>
  <si>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</si>
  <si>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</si>
  <si>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</si>
  <si>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</si>
  <si>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</si>
  <si>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</si>
  <si>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</si>
  <si>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</si>
  <si>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</si>
  <si>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</si>
  <si>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</si>
  <si>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</si>
  <si>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</si>
  <si>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</si>
  <si>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</si>
  <si>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</si>
  <si>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</si>
  <si>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</si>
  <si>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</si>
  <si>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</si>
  <si>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</si>
  <si>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</si>
  <si>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</si>
  <si>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</si>
  <si>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</si>
  <si>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</si>
  <si>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</si>
  <si>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</si>
  <si>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</si>
  <si>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</si>
  <si>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</si>
  <si>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Z2_OLBV_T3_S2s1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</si>
</sst>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6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174.56163784984182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4.5163425341496604</v>
      </c>
      <c r="L5" s="143">
        <f>CdTrp1!G215+CdTrp2!G215+CdTrp3!G215+CdTrp4!G215</f>
        <v>4.5310845904761905</v>
      </c>
      <c r="M5" s="143">
        <f>CdTrp1!H215+CdTrp2!H215+CdTrp3!H215+CdTrp4!H215</f>
        <v>4.3991870775510202</v>
      </c>
      <c r="N5" s="143">
        <f>CdTrp1!I215+CdTrp2!I215+CdTrp3!I215+CdTrp4!I215</f>
        <v>4.4217203959183671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2.5902146479591837</v>
      </c>
      <c r="Y5" s="143">
        <f>CdTrp1!T215+CdTrp2!T215+CdTrp3!T215+CdTrp4!T215</f>
        <v>2.6765551362244904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145.92530009493197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3.0416619047619053</v>
      </c>
      <c r="K6" s="143">
        <f>CdTrp1!F216+CdTrp2!F216+CdTrp3!F216+CdTrp4!F216</f>
        <v>2.4272209183673468</v>
      </c>
      <c r="L6" s="143">
        <f>CdTrp1!G216+CdTrp2!G216+CdTrp3!G216+CdTrp4!G216</f>
        <v>2.4272209183673468</v>
      </c>
      <c r="M6" s="143">
        <f>CdTrp1!H216+CdTrp2!H216+CdTrp3!H216+CdTrp4!H216</f>
        <v>2.4318979591836736</v>
      </c>
      <c r="N6" s="143">
        <f>CdTrp1!I216+CdTrp2!I216+CdTrp3!I216+CdTrp4!I216</f>
        <v>2.1168979591836736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3.2947445833333324</v>
      </c>
      <c r="Z6" s="143">
        <f>CdTrp1!U216+CdTrp2!U216+CdTrp3!U216+CdTrp4!U216</f>
        <v>3.1266935833333322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174.6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3.0416619047619053</v>
      </c>
      <c r="K8" s="143">
        <f t="shared" si="0"/>
        <v>6.9435634525170071</v>
      </c>
      <c r="L8" s="143">
        <f t="shared" si="0"/>
        <v>6.9583055088435373</v>
      </c>
      <c r="M8" s="143">
        <f t="shared" si="0"/>
        <v>6.8310850367346934</v>
      </c>
      <c r="N8" s="143">
        <f t="shared" si="0"/>
        <v>6.5386183551020407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3.8912546479591836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70.023082318061228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7.7925629387755109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75.902217776870742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20.5</v>
      </c>
      <c r="H18" s="157">
        <f>G18/$G$17</f>
        <v>0.37614678899082571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18</v>
      </c>
      <c r="H19" s="157">
        <f t="shared" ref="H19:H21" si="1">G19/$G$17</f>
        <v>0.33027522935779818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4</v>
      </c>
      <c r="H21" s="157">
        <f t="shared" si="1"/>
        <v>7.3394495412844041E-2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5" zoomScale="90" zoomScaleNormal="90" workbookViewId="0">
      <selection activeCell="D35" sqref="D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3.0416619047619053</v>
      </c>
      <c r="AW5" s="13">
        <f>'Conduite Trp'!K8</f>
        <v>6.9435634525170071</v>
      </c>
      <c r="AX5" s="13">
        <f>'Conduite Trp'!L8</f>
        <v>6.9583055088435373</v>
      </c>
      <c r="AY5" s="13">
        <f>'Conduite Trp'!M8</f>
        <v>6.8310850367346934</v>
      </c>
      <c r="AZ5" s="13">
        <f>'Conduite Trp'!N8</f>
        <v>6.5386183551020407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3.8912546479591836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6.8310850367346934</v>
      </c>
      <c r="AZ7" s="61">
        <f t="shared" si="7"/>
        <v>6.5386183551020407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26.746208059591833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3.8912546479591836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24.223074395748299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3.0416619047619053</v>
      </c>
      <c r="AW11" s="61">
        <f t="shared" si="12"/>
        <v>6.9435634525170071</v>
      </c>
      <c r="AX11" s="61">
        <f t="shared" si="12"/>
        <v>6.9583055088435373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16.943530866122451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4.5163425341496604</v>
      </c>
      <c r="AX15" s="13">
        <f>'Conduite Trp'!L5</f>
        <v>4.5310845904761905</v>
      </c>
      <c r="AY15" s="13">
        <f>'Conduite Trp'!M5</f>
        <v>4.3991870775510202</v>
      </c>
      <c r="AZ15" s="13">
        <f>'Conduite Trp'!N5</f>
        <v>4.4217203959183671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2.5902146479591837</v>
      </c>
      <c r="BK15" s="13">
        <f>'Conduite Trp'!Y5</f>
        <v>2.6765551362244904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3.0416619047619053</v>
      </c>
      <c r="AW16" s="13">
        <f>'Conduite Trp'!K6</f>
        <v>2.4272209183673468</v>
      </c>
      <c r="AX16" s="13">
        <f>'Conduite Trp'!L6</f>
        <v>2.4272209183673468</v>
      </c>
      <c r="AY16" s="13">
        <f>'Conduite Trp'!M6</f>
        <v>2.4318979591836736</v>
      </c>
      <c r="AZ16" s="13">
        <f>'Conduite Trp'!N6</f>
        <v>2.1168979591836736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1.30104</v>
      </c>
      <c r="BK16" s="13">
        <f>'Conduite Trp'!Y6</f>
        <v>3.2947445833333324</v>
      </c>
      <c r="BL16" s="13">
        <f>'Conduite Trp'!Z6</f>
        <v>3.1266935833333322</v>
      </c>
      <c r="BM16" s="13">
        <f>'Conduite Trp'!AA6</f>
        <v>2.95289</v>
      </c>
      <c r="BN16" s="13">
        <f>'Conduite Trp'!AB6</f>
        <v>0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4.3991870775510202</v>
      </c>
      <c r="AZ19" s="61">
        <f t="shared" si="15"/>
        <v>4.4217203959183671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21.425749386122448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2.5902146479591837</v>
      </c>
      <c r="BK21" s="61">
        <f t="shared" si="18"/>
        <v>2.6765551362244904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13.547706229081633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4.5163425341496604</v>
      </c>
      <c r="AX23" s="61">
        <f t="shared" si="20"/>
        <v>4.5310845904761905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9.0474271246258517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26.75</v>
      </c>
      <c r="E24" s="61">
        <f t="shared" si="21"/>
        <v>0</v>
      </c>
      <c r="F24" s="61">
        <f t="shared" si="21"/>
        <v>26.475000000000001</v>
      </c>
      <c r="G24" s="61">
        <f t="shared" si="21"/>
        <v>4.375</v>
      </c>
      <c r="H24" s="61">
        <f t="shared" si="21"/>
        <v>22.875</v>
      </c>
      <c r="I24" s="61">
        <f t="shared" si="21"/>
        <v>0</v>
      </c>
      <c r="J24" s="63"/>
      <c r="K24" s="61">
        <f>AL27+AL49+AL71</f>
        <v>141.10000000000002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26.746208059591833</v>
      </c>
      <c r="E25" s="61">
        <f>BR8</f>
        <v>0</v>
      </c>
      <c r="F25" s="61">
        <f>BR9</f>
        <v>24.223074395748299</v>
      </c>
      <c r="G25" s="61">
        <f>BR10</f>
        <v>2.1102689965986396</v>
      </c>
      <c r="H25" s="61">
        <f>BR11</f>
        <v>16.943530866122451</v>
      </c>
      <c r="I25" s="61">
        <f>BR12</f>
        <v>0</v>
      </c>
      <c r="J25" s="63"/>
      <c r="K25" s="76">
        <f>'Conduite Trp'!C7</f>
        <v>174.6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3.7919404081669938E-3</v>
      </c>
      <c r="E27" s="93">
        <f t="shared" si="23"/>
        <v>0</v>
      </c>
      <c r="F27" s="93">
        <f t="shared" si="23"/>
        <v>2.2519256042517029</v>
      </c>
      <c r="G27" s="93">
        <f t="shared" si="23"/>
        <v>2.2647310034013604</v>
      </c>
      <c r="H27" s="93">
        <f t="shared" si="23"/>
        <v>5.9314691338775489</v>
      </c>
      <c r="I27" s="93">
        <f t="shared" si="23"/>
        <v>0</v>
      </c>
      <c r="J27" s="63"/>
      <c r="K27" s="93">
        <f>K24-K25</f>
        <v>-33.499999999999972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2.4318979591836736</v>
      </c>
      <c r="AZ27" s="61">
        <f t="shared" si="25"/>
        <v>2.1168979591836736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5.3204586734693882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3.2947445833333324</v>
      </c>
      <c r="BL29" s="61">
        <f t="shared" si="35"/>
        <v>3.1266935833333322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10.675368166666665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3.0416619047619053</v>
      </c>
      <c r="AW31" s="61">
        <f t="shared" si="37"/>
        <v>2.4272209183673468</v>
      </c>
      <c r="AX31" s="61">
        <f t="shared" si="37"/>
        <v>2.4272209183673468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7.8961037414965993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5.5</v>
      </c>
      <c r="AF49" s="75">
        <f t="shared" ref="AF49" si="50">SUM(AF29:AF48)</f>
        <v>0</v>
      </c>
      <c r="AG49" s="75">
        <f t="shared" ref="AG49" si="51">SUM(AG29:AG48)</f>
        <v>11.850000000000001</v>
      </c>
      <c r="AH49" s="75">
        <f t="shared" ref="AH49" si="52">SUM(AH29:AH48)</f>
        <v>1.4</v>
      </c>
      <c r="AI49" s="75">
        <f t="shared" ref="AI49" si="53">SUM(AI29:AI48)</f>
        <v>9.375</v>
      </c>
      <c r="AJ49" s="75">
        <f t="shared" ref="AJ49" si="54">SUM(AJ29:AJ48)</f>
        <v>0</v>
      </c>
      <c r="AK49"/>
      <c r="AL49" s="75">
        <f>SUM(AL29:AL48)</f>
        <v>84.65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141.10000000000002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21.425749386122448</v>
      </c>
      <c r="E73" s="61">
        <f>BR20</f>
        <v>0</v>
      </c>
      <c r="F73" s="61">
        <f>BR21</f>
        <v>13.547706229081633</v>
      </c>
      <c r="G73" s="61">
        <f>BR22</f>
        <v>0</v>
      </c>
      <c r="H73" s="61">
        <f>BR23</f>
        <v>9.0474271246258517</v>
      </c>
      <c r="I73" s="61">
        <f>BR60</f>
        <v>0</v>
      </c>
      <c r="J73" s="63"/>
      <c r="K73" s="76">
        <f>+K25</f>
        <v>174.6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-0.1757493861224475</v>
      </c>
      <c r="E75" s="93">
        <f t="shared" ref="E75:I75" si="71">E72-E73</f>
        <v>0</v>
      </c>
      <c r="F75" s="93">
        <f t="shared" si="71"/>
        <v>1.0772937709183665</v>
      </c>
      <c r="G75" s="93">
        <f t="shared" si="71"/>
        <v>2.9749999999999996</v>
      </c>
      <c r="H75" s="93">
        <f t="shared" si="71"/>
        <v>4.4525728753741483</v>
      </c>
      <c r="I75" s="93">
        <f t="shared" si="71"/>
        <v>0</v>
      </c>
      <c r="J75" s="63"/>
      <c r="K75" s="93">
        <f>+K27</f>
        <v>-33.499999999999972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5.5</v>
      </c>
      <c r="E82" s="61">
        <f t="shared" ref="E82:H82" si="72">AF49</f>
        <v>0</v>
      </c>
      <c r="F82" s="61">
        <f t="shared" si="72"/>
        <v>11.850000000000001</v>
      </c>
      <c r="G82" s="61">
        <f t="shared" si="72"/>
        <v>1.4</v>
      </c>
      <c r="H82" s="61">
        <f t="shared" si="72"/>
        <v>9.375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5.3204586734693882</v>
      </c>
      <c r="E83" s="61">
        <f>BR28</f>
        <v>0</v>
      </c>
      <c r="F83" s="61">
        <f>BR29</f>
        <v>10.675368166666665</v>
      </c>
      <c r="G83" s="61">
        <f>BR30</f>
        <v>2.1102689965986396</v>
      </c>
      <c r="H83" s="61">
        <f>BR31</f>
        <v>7.8961037414965993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0.17954132653061183</v>
      </c>
      <c r="E85" s="93">
        <f t="shared" ref="E85:H85" si="73">E82-E83</f>
        <v>0</v>
      </c>
      <c r="F85" s="93">
        <f t="shared" si="73"/>
        <v>1.1746318333333363</v>
      </c>
      <c r="G85" s="93">
        <f t="shared" si="73"/>
        <v>-0.71026899659863973</v>
      </c>
      <c r="H85" s="93">
        <f t="shared" si="73"/>
        <v>1.4788962585034007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80" zoomScale="80" zoomScaleNormal="80" workbookViewId="0">
      <selection activeCell="K89" sqref="K8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1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>
        <v>3</v>
      </c>
      <c r="L61" s="30" t="str">
        <f>IF(COUNTIF(CdTrp2!B76:Y85,5)&gt;0, "OUI", "NON")</f>
        <v>OUI</v>
      </c>
      <c r="P61" t="s">
        <v>592</v>
      </c>
    </row>
    <row r="62" spans="10:132" x14ac:dyDescent="0.25">
      <c r="J62" s="14" t="s">
        <v>593</v>
      </c>
      <c r="K62" s="80">
        <v>20</v>
      </c>
    </row>
    <row r="63" spans="10:132" x14ac:dyDescent="0.25">
      <c r="J63"/>
      <c r="K63">
        <v>1</v>
      </c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60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60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609</v>
      </c>
    </row>
    <row r="77" spans="10:22" x14ac:dyDescent="0.25">
      <c r="J77" s="14" t="s">
        <v>610</v>
      </c>
      <c r="K77" s="80"/>
      <c r="R77">
        <v>2</v>
      </c>
      <c r="U77" s="13">
        <v>2</v>
      </c>
      <c r="V77" s="13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>
        <v>2</v>
      </c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1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>
        <v>1</v>
      </c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>
        <v>2</v>
      </c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644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644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644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>
        <v>1</v>
      </c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10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2</v>
      </c>
      <c r="N28" s="174">
        <f t="shared" si="25"/>
        <v>2</v>
      </c>
      <c r="O28" s="174">
        <f t="shared" si="25"/>
        <v>2</v>
      </c>
      <c r="P28" s="174">
        <f t="shared" si="25"/>
        <v>2</v>
      </c>
      <c r="Q28" s="174">
        <f t="shared" si="25"/>
        <v>2</v>
      </c>
      <c r="R28" s="174">
        <f t="shared" si="25"/>
        <v>2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8</v>
      </c>
      <c r="N33" s="174">
        <f>N28*[1]Protect!$B$15</f>
        <v>8</v>
      </c>
      <c r="O33" s="174">
        <f>O28*[1]Protect!$B$15</f>
        <v>8</v>
      </c>
      <c r="P33" s="174">
        <f>P28*[1]Protect!$B$15</f>
        <v>8</v>
      </c>
      <c r="Q33" s="174">
        <f>Q28*[1]Protect!$B$15</f>
        <v>8</v>
      </c>
      <c r="R33" s="174">
        <f>R28*[1]Protect!$B$15</f>
        <v>8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8</v>
      </c>
      <c r="N34" s="174">
        <f t="shared" si="28"/>
        <v>8</v>
      </c>
      <c r="O34" s="174">
        <f t="shared" si="28"/>
        <v>8</v>
      </c>
      <c r="P34" s="174">
        <f t="shared" si="28"/>
        <v>8</v>
      </c>
      <c r="Q34" s="174">
        <f t="shared" si="28"/>
        <v>8</v>
      </c>
      <c r="R34" s="174">
        <f t="shared" si="28"/>
        <v>8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1" activePane="bottomLeft" state="frozen"/>
      <selection activeCell="L18" sqref="L18"/>
      <selection pane="bottomLeft" activeCell="G72" sqref="G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2134.2725714285721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149.48914285714287</v>
      </c>
      <c r="K13" s="30">
        <f t="shared" si="8"/>
        <v>152.92957142857142</v>
      </c>
      <c r="L13" s="30">
        <f t="shared" si="8"/>
        <v>152.87</v>
      </c>
      <c r="M13" s="30">
        <f t="shared" si="8"/>
        <v>152.81042857142859</v>
      </c>
      <c r="N13" s="30">
        <f t="shared" si="8"/>
        <v>152.77071428571429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21.196000000000002</v>
      </c>
      <c r="X13" s="30">
        <f t="shared" si="8"/>
        <v>64.198428571428565</v>
      </c>
      <c r="Y13" s="30">
        <f t="shared" si="8"/>
        <v>74.698428571428565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92.198428571428565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560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1</v>
      </c>
      <c r="C17" s="185">
        <f>VALUE(LEFT(Scénario!K64,1))</f>
        <v>1</v>
      </c>
      <c r="D17" s="185">
        <f>IF(B17&gt;0,VLOOKUP(C17,[1]Trav!$A$86:$D$90,4),0)</f>
        <v>12</v>
      </c>
      <c r="E17" s="185">
        <f>Scénario!K61*2</f>
        <v>6</v>
      </c>
      <c r="F17" s="170">
        <f t="shared" ref="F17:F18" si="15">IF(B17&gt;0,D17*E17/B17,0)</f>
        <v>72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222</v>
      </c>
      <c r="BS61" s="170">
        <f>IF(BS16=0,0,IF(BS38=3,0,VALUE(CONCATENATE(Travail!BS27,Travail!BS38,Travail!BS49))))</f>
        <v>222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222</v>
      </c>
      <c r="AW62" s="170">
        <f>IF(AW17=0,0,IF(AW39=3,0,VALUE(CONCATENATE(Travail!AW28,Travail!AW39,Travail!AW50))))</f>
        <v>222</v>
      </c>
      <c r="AX62" s="170">
        <f>IF(AX17=0,0,IF(AX39=3,0,VALUE(CONCATENATE(Travail!AX28,Travail!AX39,Travail!AX50))))</f>
        <v>222</v>
      </c>
      <c r="AY62" s="170">
        <f>IF(AY17=0,0,IF(AY39=3,0,VALUE(CONCATENATE(Travail!AY28,Travail!AY39,Travail!AY50))))</f>
        <v>222</v>
      </c>
      <c r="AZ62" s="170">
        <f>IF(AZ17=0,0,IF(AZ39=3,0,VALUE(CONCATENATE(Travail!AZ28,Travail!AZ39,Travail!AZ50))))</f>
        <v>222</v>
      </c>
      <c r="BA62" s="170">
        <f>IF(BA17=0,0,IF(BA39=3,0,VALUE(CONCATENATE(Travail!BA28,Travail!BA39,Travail!BA50))))</f>
        <v>222</v>
      </c>
      <c r="BB62" s="170">
        <f>IF(BB17=0,0,IF(BB39=3,0,VALUE(CONCATENATE(Travail!BB28,Travail!BB39,Travail!BB50))))</f>
        <v>222</v>
      </c>
      <c r="BC62" s="170">
        <f>IF(BC17=0,0,IF(BC39=3,0,VALUE(CONCATENATE(Travail!BC28,Travail!BC39,Travail!BC50))))</f>
        <v>222</v>
      </c>
      <c r="BD62" s="170">
        <f>IF(BD17=0,0,IF(BD39=3,0,VALUE(CONCATENATE(Travail!BD28,Travail!BD39,Travail!BD50))))</f>
        <v>222</v>
      </c>
      <c r="BE62" s="170">
        <f>IF(BE17=0,0,IF(BE39=3,0,VALUE(CONCATENATE(Travail!BE28,Travail!BE39,Travail!BE50))))</f>
        <v>222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222</v>
      </c>
      <c r="BR62" s="170">
        <f>IF(BR17=0,0,IF(BR39=3,0,VALUE(CONCATENATE(Travail!BR28,Travail!BR39,Travail!BR50))))</f>
        <v>222</v>
      </c>
      <c r="BS62" s="170">
        <f>IF(BS17=0,0,IF(BS39=3,0,VALUE(CONCATENATE(Travail!BS28,Travail!BS39,Travail!BS50))))</f>
        <v>222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221</v>
      </c>
      <c r="BA64" s="170">
        <f>IF(BA19=0,0,IF(BA41=3,0,VALUE(CONCATENATE(Travail!BA30,Travail!BA41,Travail!BA52))))</f>
        <v>221</v>
      </c>
      <c r="BB64" s="170">
        <f>IF(BB19=0,0,IF(BB41=3,0,VALUE(CONCATENATE(Travail!BB30,Travail!BB41,Travail!BB52))))</f>
        <v>221</v>
      </c>
      <c r="BC64" s="170">
        <f>IF(BC19=0,0,IF(BC41=3,0,VALUE(CONCATENATE(Travail!BC30,Travail!BC41,Travail!BC52))))</f>
        <v>221</v>
      </c>
      <c r="BD64" s="170">
        <f>IF(BD19=0,0,IF(BD41=3,0,VALUE(CONCATENATE(Travail!BD30,Travail!BD41,Travail!BD52))))</f>
        <v>221</v>
      </c>
      <c r="BE64" s="170">
        <f>IF(BE19=0,0,IF(BE41=3,0,VALUE(CONCATENATE(Travail!BE30,Travail!BE41,Travail!BE52))))</f>
        <v>221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290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15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15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25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15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22</v>
      </c>
      <c r="AW73" s="170">
        <f t="shared" si="36"/>
        <v>22</v>
      </c>
      <c r="AX73" s="170">
        <f t="shared" si="36"/>
        <v>22</v>
      </c>
      <c r="AY73" s="170">
        <f t="shared" si="36"/>
        <v>22</v>
      </c>
      <c r="AZ73" s="170">
        <f t="shared" si="36"/>
        <v>22</v>
      </c>
      <c r="BA73" s="170">
        <f t="shared" si="36"/>
        <v>22</v>
      </c>
      <c r="BB73" s="170">
        <f t="shared" si="36"/>
        <v>22</v>
      </c>
      <c r="BC73" s="170">
        <f t="shared" si="36"/>
        <v>22</v>
      </c>
      <c r="BD73" s="170">
        <f t="shared" si="36"/>
        <v>22</v>
      </c>
      <c r="BE73" s="170">
        <f t="shared" si="36"/>
        <v>22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22</v>
      </c>
      <c r="BR73" s="170">
        <f t="shared" si="36"/>
        <v>22</v>
      </c>
      <c r="BS73" s="170">
        <f t="shared" si="36"/>
        <v>22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22</v>
      </c>
      <c r="BA75" s="170">
        <f t="shared" si="36"/>
        <v>22</v>
      </c>
      <c r="BB75" s="170">
        <f t="shared" si="36"/>
        <v>22</v>
      </c>
      <c r="BC75" s="170">
        <f t="shared" si="36"/>
        <v>22</v>
      </c>
      <c r="BD75" s="170">
        <f t="shared" si="36"/>
        <v>22</v>
      </c>
      <c r="BE75" s="170">
        <f t="shared" si="36"/>
        <v>22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395</v>
      </c>
      <c r="G77" s="46">
        <f t="shared" ref="G77:AD77" si="43">+SUM(G69:G76)</f>
        <v>18.5</v>
      </c>
      <c r="H77" s="46">
        <f t="shared" si="43"/>
        <v>18.5</v>
      </c>
      <c r="I77" s="46">
        <f t="shared" si="43"/>
        <v>18.5</v>
      </c>
      <c r="J77" s="46">
        <f t="shared" si="43"/>
        <v>18.5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28.5</v>
      </c>
      <c r="P77" s="46">
        <f t="shared" si="43"/>
        <v>23.5</v>
      </c>
      <c r="Q77" s="46">
        <f t="shared" si="43"/>
        <v>23.5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18.5</v>
      </c>
      <c r="AC77" s="46">
        <f t="shared" si="43"/>
        <v>18.5</v>
      </c>
      <c r="AD77" s="46">
        <f t="shared" si="43"/>
        <v>18.5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1.43</v>
      </c>
      <c r="C81" s="185">
        <f>[1]Protect!$B$10</f>
        <v>4</v>
      </c>
      <c r="D81" s="169"/>
      <c r="E81" s="169"/>
      <c r="F81" s="170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3</v>
      </c>
      <c r="AW83" s="170">
        <f t="shared" ref="AW83:BS83" si="50">COUNTIF(AW$71:AW$80,22)</f>
        <v>3</v>
      </c>
      <c r="AX83" s="170">
        <f t="shared" si="50"/>
        <v>3</v>
      </c>
      <c r="AY83" s="170">
        <f t="shared" si="50"/>
        <v>3</v>
      </c>
      <c r="AZ83" s="170">
        <f t="shared" si="50"/>
        <v>4</v>
      </c>
      <c r="BA83" s="170">
        <f t="shared" si="50"/>
        <v>4</v>
      </c>
      <c r="BB83" s="170">
        <f t="shared" si="50"/>
        <v>4</v>
      </c>
      <c r="BC83" s="170">
        <f t="shared" si="50"/>
        <v>4</v>
      </c>
      <c r="BD83" s="170">
        <f t="shared" si="50"/>
        <v>5</v>
      </c>
      <c r="BE83" s="170">
        <f t="shared" si="50"/>
        <v>4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2</v>
      </c>
      <c r="BS83" s="170">
        <f t="shared" si="50"/>
        <v>2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5</v>
      </c>
      <c r="C86" s="173"/>
      <c r="D86" s="173"/>
      <c r="E86" s="173"/>
      <c r="F86" s="170">
        <f>B86*[1]Eco!$B$108*[1]Eco!$B$109</f>
        <v>1200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2074.0725714285718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560</v>
      </c>
      <c r="C95" s="5"/>
      <c r="D95" s="198">
        <f>B95/Troupeau!$B$17</f>
        <v>2.014388489208633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120</v>
      </c>
      <c r="C96" s="5"/>
      <c r="D96" s="198">
        <f>IF(B96=0,0,B96/Troupeau!$C$17)</f>
        <v>6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680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391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290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290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42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46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1200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4876.2725714285716</v>
      </c>
      <c r="D118" s="198">
        <f>B118/Troupeau!$B$17</f>
        <v>17.540548818088386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615.29999999999995</v>
      </c>
      <c r="D119" s="198">
        <f>IF(B119=0,0,B119/Troupeau!$C$17)</f>
        <v>30.764999999999997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5491.5725714285718</v>
      </c>
    </row>
    <row r="123" spans="1:132" x14ac:dyDescent="0.25">
      <c r="A123" s="2" t="s">
        <v>894</v>
      </c>
      <c r="B123" s="30">
        <f>B108</f>
        <v>391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332</v>
      </c>
    </row>
    <row r="126" spans="1:132" x14ac:dyDescent="0.25">
      <c r="A126" s="2" t="s">
        <v>910</v>
      </c>
      <c r="B126" s="30">
        <f>B114+B115+B116</f>
        <v>1252.8</v>
      </c>
    </row>
    <row r="128" spans="1:132" x14ac:dyDescent="0.25">
      <c r="A128" s="2" t="s">
        <v>911</v>
      </c>
      <c r="B128" s="197">
        <f>SUM(B122:B126)</f>
        <v>8067.372571428572</v>
      </c>
    </row>
    <row r="129" spans="1:2" x14ac:dyDescent="0.25">
      <c r="A129" s="2" t="s">
        <v>912</v>
      </c>
      <c r="B129" s="30">
        <f>IF(Scénario!K129=1,Travail!F77+Travail!F86,F86)</f>
        <v>1595</v>
      </c>
    </row>
    <row r="130" spans="1:2" x14ac:dyDescent="0.25">
      <c r="A130" s="2" t="s">
        <v>913</v>
      </c>
      <c r="B130" s="197">
        <f>ROUND((B128-B129)/(Scénario!K4+Scénario!K6),0)</f>
        <v>3236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125.44999999999999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125.44999999999999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96.35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12500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125.44999999999999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159565.19999999998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69.333333333333343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33.499999999999972</v>
      </c>
      <c r="C118" s="185">
        <f>IF(Scénario!$K$12="BV",[1]Eco!$B$78,IF(Scénario!$K$12="BL",[1]Eco!$B$77,[1]Eco!$B$76))</f>
        <v>223</v>
      </c>
      <c r="J118" s="170">
        <f>B118*C118</f>
        <v>7470.4999999999936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9043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1143.96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53041.814999999995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1200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12756.000000000002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405.8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4313.6540000000005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67787.754000000001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38735.630999999979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19368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3669.6316670421834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24065.999332957796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12033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6044</v>
      </c>
      <c r="U234" t="s">
        <v>1142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2</v>
      </c>
      <c r="W235" s="170">
        <f>[1]Protect!$B$83</f>
        <v>2000</v>
      </c>
      <c r="X235" s="170">
        <f t="shared" ref="X235:X236" si="87">T235*W235</f>
        <v>4000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1</v>
      </c>
      <c r="W236" s="170">
        <f>[1]Protect!$B$84</f>
        <v>5000</v>
      </c>
      <c r="X236" s="170">
        <f t="shared" si="87"/>
        <v>5000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45264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29764</v>
      </c>
      <c r="AB237" s="30">
        <f>(Scénario!K127/100)*AA237</f>
        <v>0</v>
      </c>
      <c r="AC237" s="30">
        <f>AA237-AB237</f>
        <v>29764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3669.6316670421834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10</v>
      </c>
      <c r="X245" s="170">
        <f>ROUND((([1]Protect!$B$5/[1]Protect!$B$11)+[1]Protect!$B$8)*T245,0)</f>
        <v>9043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5</v>
      </c>
      <c r="W246" s="170">
        <f>[1]Eco!$B$106*[1]Eco!$B$108*[1]Eco!$B$109</f>
        <v>2551.2000000000003</v>
      </c>
      <c r="X246" s="170">
        <f>T246*W246</f>
        <v>12756.000000000002</v>
      </c>
    </row>
    <row r="247" spans="17:31" x14ac:dyDescent="0.25">
      <c r="S247" s="14" t="s">
        <v>1157</v>
      </c>
      <c r="T247" s="30">
        <f>Travail!F16/8</f>
        <v>70</v>
      </c>
      <c r="W247" s="170">
        <f>[1]Eco!$B$111</f>
        <v>28.3</v>
      </c>
      <c r="X247" s="170">
        <f>T247*W247</f>
        <v>1981</v>
      </c>
    </row>
    <row r="248" spans="17:31" x14ac:dyDescent="0.25">
      <c r="W248" s="14" t="s">
        <v>1158</v>
      </c>
      <c r="X248" s="170">
        <f>SUM(X245:X247)</f>
        <v>23780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23780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280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1</v>
      </c>
      <c r="U257" s="170">
        <f>IF(T257=0,0,[1]Protect!$B77)</f>
        <v>12500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0</v>
      </c>
      <c r="U258" s="170">
        <f>IF(T258=0,0,[1]Protect!$B78)</f>
        <v>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12500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4</v>
      </c>
      <c r="U274" s="170"/>
      <c r="V274" s="170"/>
      <c r="W274" s="170">
        <f>W271</f>
        <v>100</v>
      </c>
      <c r="X274" s="170">
        <f>T274*W274</f>
        <v>400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1</v>
      </c>
      <c r="U275" s="170"/>
      <c r="V275" s="170"/>
      <c r="W275" s="170">
        <f>[1]Protect!$B$42</f>
        <v>200</v>
      </c>
      <c r="X275" s="170">
        <f>T275*W275</f>
        <v>200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Z2_OLBV_T3_S2s1</v>
      </c>
      <c r="D1" s="253" t="str">
        <f>CONCATENATE(C1,"_corr")</f>
        <v>Z2_OLBV_T3_S2s1_corr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593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1</v>
      </c>
      <c r="D51" s="174">
        <f t="shared" si="0"/>
        <v>1</v>
      </c>
      <c r="E51" s="14"/>
    </row>
    <row r="52" spans="1:132" x14ac:dyDescent="0.25">
      <c r="B52" s="19" t="s">
        <v>607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618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2</v>
      </c>
      <c r="D59" s="174">
        <f t="shared" si="0"/>
        <v>2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3.5</v>
      </c>
      <c r="D128" s="170">
        <f t="shared" si="25"/>
        <v>3.5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0.53246753246753242</v>
      </c>
      <c r="D136" s="260">
        <f t="shared" si="25"/>
        <v>0.53246753246753242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80.474999999999994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70.023082318061228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141.10000000000002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174.6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10.451917681938767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-33.499999999999972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33.499999999999972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6044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2</v>
      </c>
      <c r="D187" s="170">
        <f>C187</f>
        <v>2</v>
      </c>
    </row>
    <row r="188" spans="1:132" x14ac:dyDescent="0.25">
      <c r="B188" s="14" t="s">
        <v>1349</v>
      </c>
      <c r="C188" s="170">
        <f>'Calcul éco'!T236</f>
        <v>1</v>
      </c>
      <c r="D188" s="170">
        <f t="shared" ref="D188:D189" si="101">C188</f>
        <v>1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10</v>
      </c>
      <c r="D189" s="170">
        <f t="shared" si="101"/>
        <v>10</v>
      </c>
      <c r="AH189" s="15"/>
      <c r="AJ189" s="14" t="s">
        <v>1155</v>
      </c>
      <c r="AK189" s="30">
        <f>D189</f>
        <v>10</v>
      </c>
      <c r="AO189" s="170">
        <f>ROUND((([1]Protect!$B$5/[1]Protect!$B$11)+[1]Protect!$B$8)*AK189,0)</f>
        <v>9043</v>
      </c>
    </row>
    <row r="190" spans="1:132" x14ac:dyDescent="0.25">
      <c r="B190" s="14" t="s">
        <v>1351</v>
      </c>
      <c r="C190" s="170">
        <f>'Calcul éco'!T246*(30)</f>
        <v>150</v>
      </c>
      <c r="D190" s="170">
        <f>C190</f>
        <v>150</v>
      </c>
      <c r="AH190" s="15"/>
      <c r="AJ190" s="14" t="s">
        <v>1156</v>
      </c>
      <c r="AK190" s="30">
        <f>D190/30</f>
        <v>5</v>
      </c>
      <c r="AN190" s="170">
        <f>[1]Eco!$B$106*[1]Eco!$B$108*[1]Eco!$B$109</f>
        <v>2551.2000000000003</v>
      </c>
      <c r="AO190" s="170">
        <f>AK190*AN190</f>
        <v>12756.000000000002</v>
      </c>
    </row>
    <row r="191" spans="1:132" x14ac:dyDescent="0.25">
      <c r="B191" s="14" t="s">
        <v>1352</v>
      </c>
      <c r="C191" s="193">
        <f>ROUND(SUM(Travail!F69:F74)/8,1)</f>
        <v>36.299999999999997</v>
      </c>
      <c r="D191" s="170">
        <f>C191</f>
        <v>36.299999999999997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70</v>
      </c>
      <c r="AN191" s="170">
        <f>[1]Eco!$B$111</f>
        <v>28.3</v>
      </c>
      <c r="AO191" s="170">
        <f>AK191*AN191</f>
        <v>1981</v>
      </c>
    </row>
    <row r="192" spans="1:132" x14ac:dyDescent="0.25">
      <c r="B192" s="14" t="s">
        <v>1356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23780</v>
      </c>
    </row>
    <row r="193" spans="1:43" x14ac:dyDescent="0.25">
      <c r="B193" s="14" t="s">
        <v>1358</v>
      </c>
      <c r="C193" s="170">
        <f>(Travail!F75+Travail!F76+Travail!F81)/8</f>
        <v>18.875</v>
      </c>
      <c r="D193" s="170">
        <f>C193</f>
        <v>18.875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1025</v>
      </c>
      <c r="C208" s="170">
        <f>ROUND('Calcul éco'!J44,0)</f>
        <v>8405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7500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12500</v>
      </c>
      <c r="D210" s="262">
        <f>ROUND(AL207,0)</f>
        <v>5000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61654.400000000001</v>
      </c>
      <c r="D211" s="262">
        <f>ROUND(SUM(D201:D210),0)</f>
        <v>5000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1858.4749999999999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10494.579999999994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4</v>
      </c>
      <c r="AK218" s="170"/>
      <c r="AL218" s="170"/>
      <c r="AM218" s="170">
        <f>'Calcul éco'!W274</f>
        <v>100</v>
      </c>
      <c r="AN218" s="170">
        <f>AJ218*AM218</f>
        <v>400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9043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1</v>
      </c>
      <c r="AK219" s="170"/>
      <c r="AL219" s="170"/>
      <c r="AM219" s="170">
        <f>'Calcul éco'!W275</f>
        <v>200</v>
      </c>
      <c r="AN219" s="170">
        <f>AJ219*AM219</f>
        <v>200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1143.96</v>
      </c>
      <c r="D220" s="262">
        <f>SUM(AN215:AN219)</f>
        <v>600</v>
      </c>
      <c r="E220" s="17" t="s">
        <v>1394</v>
      </c>
      <c r="H220" s="14" t="s">
        <v>1038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53042</v>
      </c>
      <c r="D221" s="262">
        <f>ROUND(SUM(D216:D220),0)</f>
        <v>600</v>
      </c>
      <c r="E221" s="17" t="s">
        <v>1394</v>
      </c>
      <c r="H221" s="14" t="s">
        <v>1039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2</v>
      </c>
      <c r="AN226" s="170">
        <f>[1]Protect!$B$83</f>
        <v>2000</v>
      </c>
      <c r="AO226" s="170">
        <f t="shared" ref="AO226:AO227" si="108">AK226*AN226</f>
        <v>4000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1</v>
      </c>
      <c r="AN227" s="170">
        <f>[1]Protect!$B$84</f>
        <v>5000</v>
      </c>
      <c r="AO227" s="170">
        <f t="shared" si="108"/>
        <v>5000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9000</v>
      </c>
      <c r="AQ228" s="30">
        <f>IF(Scénario!K84=1,MIN(0.8*AO228,[1]Protect!$B$68),IF(Scénario!K84=2,MIN(0.8*AO228,[1]Protect!$B$67),0))</f>
        <v>7200</v>
      </c>
      <c r="AR228" s="30">
        <f>AO228-AQ228</f>
        <v>1800</v>
      </c>
      <c r="AS228" s="30">
        <f>(1-Scénario!K127/100)*AR228</f>
        <v>1800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12756.000000000002</v>
      </c>
      <c r="D234" s="170">
        <f>C234</f>
        <v>12756.000000000002</v>
      </c>
    </row>
    <row r="235" spans="1:49" x14ac:dyDescent="0.25">
      <c r="B235" s="14" t="s">
        <v>1402</v>
      </c>
      <c r="C235" s="170">
        <f>'Calcul éco'!J167</f>
        <v>4313.6540000000005</v>
      </c>
      <c r="D235" s="262">
        <f>(D191+D192)*8*[1]Eco!$B$106</f>
        <v>3086.9519999999998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67788</v>
      </c>
      <c r="D236" s="262">
        <f>ROUND(SUM(D222:D235),0)</f>
        <v>36525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38735.399999999994</v>
      </c>
      <c r="D237" s="262">
        <f>D194+D211-D221-D236</f>
        <v>-32125</v>
      </c>
    </row>
    <row r="238" spans="1:49" x14ac:dyDescent="0.25">
      <c r="B238" s="207" t="s">
        <v>1131</v>
      </c>
      <c r="C238" s="170">
        <f>ROUND(C237/Scénario!$K$4,0)</f>
        <v>19368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3669.6316670421834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24066</v>
      </c>
      <c r="D241" s="266">
        <f>ROUND(D237-D239-D240,0)</f>
        <v>-43125</v>
      </c>
    </row>
    <row r="242" spans="1:15" x14ac:dyDescent="0.25">
      <c r="B242" s="207" t="s">
        <v>1135</v>
      </c>
      <c r="C242" s="170">
        <f>ROUND(C241/Scénario!K4,0)</f>
        <v>12033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45264</v>
      </c>
      <c r="D243" s="170">
        <f>C243</f>
        <v>45264</v>
      </c>
    </row>
    <row r="244" spans="1:15" x14ac:dyDescent="0.25">
      <c r="B244" s="207" t="s">
        <v>1407</v>
      </c>
      <c r="C244" s="170">
        <f>'Calcul éco'!AA237+'Calcul éco'!AA240</f>
        <v>29764</v>
      </c>
      <c r="D244" s="170">
        <f>C244</f>
        <v>29764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560</v>
      </c>
      <c r="D251" s="170">
        <f>C251</f>
        <v>560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72</v>
      </c>
      <c r="D252" s="170">
        <f t="shared" ref="D252:D253" si="113">C252</f>
        <v>72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290.39999999999998</v>
      </c>
      <c r="D275" s="170">
        <f>C275</f>
        <v>290.39999999999998</v>
      </c>
    </row>
    <row r="276" spans="1:4" x14ac:dyDescent="0.25">
      <c r="A276" s="23"/>
      <c r="B276" s="32" t="s">
        <v>1418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109</v>
      </c>
      <c r="D277" s="170">
        <f>C277</f>
        <v>109</v>
      </c>
    </row>
    <row r="278" spans="1:4" x14ac:dyDescent="0.25">
      <c r="B278" s="32" t="s">
        <v>1420</v>
      </c>
      <c r="C278" s="268">
        <f>Travail!F76</f>
        <v>42</v>
      </c>
      <c r="D278" s="170">
        <f>C278</f>
        <v>42</v>
      </c>
    </row>
    <row r="279" spans="1:4" x14ac:dyDescent="0.25">
      <c r="B279" s="32" t="s">
        <v>1421</v>
      </c>
      <c r="C279" s="268">
        <f>Travail!F86</f>
        <v>1200</v>
      </c>
      <c r="D279" s="268">
        <f>C279</f>
        <v>1200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4877</v>
      </c>
      <c r="D281" s="262">
        <f>ROUND(D245+D248+D251+D254+D257+D260+D261,0)</f>
        <v>1655</v>
      </c>
    </row>
    <row r="282" spans="1:4" x14ac:dyDescent="0.25">
      <c r="B282" s="14" t="s">
        <v>1425</v>
      </c>
      <c r="C282" s="170">
        <f>ROUND(C246+C249+C252+C255+C258,0)</f>
        <v>615</v>
      </c>
      <c r="D282" s="262">
        <f>ROUND(D246+D249+D252+D255+D258,0)</f>
        <v>162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17.54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30.75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5492</v>
      </c>
      <c r="D287" s="262">
        <f>SUM(D281:D283)</f>
        <v>1817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406.2</v>
      </c>
      <c r="D290" s="269">
        <f>D275+D276+D277</f>
        <v>399.4</v>
      </c>
    </row>
    <row r="291" spans="2:4" x14ac:dyDescent="0.25">
      <c r="B291" s="14" t="s">
        <v>1434</v>
      </c>
      <c r="C291" s="268">
        <f>C278+C279+C280</f>
        <v>1242</v>
      </c>
      <c r="D291" s="268">
        <f>D278+D279+D280</f>
        <v>1242</v>
      </c>
    </row>
    <row r="292" spans="2:4" x14ac:dyDescent="0.25">
      <c r="B292" s="14" t="s">
        <v>911</v>
      </c>
      <c r="C292" s="170">
        <f>ROUND(SUM(C287:C291),0)</f>
        <v>8131</v>
      </c>
      <c r="D292" s="262">
        <f>ROUND(SUM(D287:D291),0)</f>
        <v>4058</v>
      </c>
    </row>
    <row r="293" spans="2:4" x14ac:dyDescent="0.25">
      <c r="B293" s="14" t="s">
        <v>912</v>
      </c>
      <c r="C293" s="170">
        <f>ROUND(IF(Scénario!$K$129=1,SUM(C275:C280),SUM(C278:C280)),0)</f>
        <v>1648</v>
      </c>
      <c r="D293" s="170">
        <f>ROUND(IF(Scénario!$K$129=1,SUM(D275:D280),SUM(D278:D280)),0)</f>
        <v>1641</v>
      </c>
    </row>
    <row r="294" spans="2:4" x14ac:dyDescent="0.25">
      <c r="B294" s="14" t="s">
        <v>913</v>
      </c>
      <c r="C294" s="170">
        <f>ROUND((C292-C293)/C83,0)</f>
        <v>3242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1451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36264</v>
      </c>
    </row>
    <row r="308" spans="2:3" x14ac:dyDescent="0.25">
      <c r="B308" s="14" t="s">
        <v>1458</v>
      </c>
      <c r="C308" s="170">
        <f>'Calcul éco'!X235</f>
        <v>4000</v>
      </c>
    </row>
    <row r="309" spans="2:3" x14ac:dyDescent="0.25">
      <c r="B309" s="14" t="s">
        <v>1459</v>
      </c>
      <c r="C309" s="170">
        <f>'Calcul éco'!X236</f>
        <v>5000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7" activePane="bottomLeft" state="frozen"/>
      <selection pane="bottomLeft" activeCell="AB205" sqref="AB20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2023-01-09T10:16:13Z</dcterms:modified>
</cp:coreProperties>
</file>