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71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13" i="29" l="1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E26" i="29"/>
  <c r="BF26" i="29" s="1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C53" i="32"/>
  <c r="D53" i="32" s="1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CX91" i="32" l="1"/>
  <c r="CJ90" i="32"/>
  <c r="BG29" i="30"/>
  <c r="BQ29" i="30"/>
  <c r="CH91" i="32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F69" i="30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B109" i="30" l="1"/>
  <c r="E201" i="29"/>
  <c r="E212" i="29" s="1"/>
  <c r="BA64" i="30"/>
  <c r="BA110" i="30" s="1"/>
  <c r="BB73" i="30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BR84" i="30" s="1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H83" i="30" s="1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H82" i="30" l="1"/>
  <c r="BR81" i="30"/>
  <c r="BH84" i="30"/>
  <c r="BR82" i="30"/>
  <c r="BR83" i="30"/>
  <c r="D251" i="32"/>
  <c r="AJ186" i="28"/>
  <c r="AI186" i="28"/>
  <c r="AJ186" i="31"/>
  <c r="AI186" i="31"/>
  <c r="BO85" i="30"/>
  <c r="AH164" i="31"/>
  <c r="F203" i="29"/>
  <c r="AI164" i="28"/>
  <c r="AJ193" i="3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J228" i="31" l="1"/>
  <c r="C134" i="31" s="1"/>
  <c r="J134" i="31" s="1"/>
  <c r="AI228" i="28"/>
  <c r="C71" i="32"/>
  <c r="C74" i="32" s="1"/>
  <c r="K48" i="28"/>
  <c r="B154" i="31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AY102" i="30" s="1"/>
  <c r="J9" i="30" s="1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CI102" i="30" l="1"/>
  <c r="N10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AJ8" i="29" l="1"/>
  <c r="B81" i="30" s="1"/>
  <c r="F81" i="30" s="1"/>
  <c r="B114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F77" i="30" l="1"/>
  <c r="B129" i="30" s="1"/>
  <c r="F75" i="30"/>
  <c r="C193" i="32" s="1"/>
  <c r="D193" i="32" s="1"/>
  <c r="F76" i="30"/>
  <c r="C278" i="32" s="1"/>
  <c r="T245" i="31"/>
  <c r="X245" i="31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B113" i="30" l="1"/>
  <c r="B125" i="30" s="1"/>
  <c r="C277" i="32"/>
  <c r="C189" i="32"/>
  <c r="D189" i="32" s="1"/>
  <c r="AK189" i="32" s="1"/>
  <c r="AO189" i="32" s="1"/>
  <c r="AO192" i="32" s="1"/>
  <c r="J141" i="31"/>
  <c r="C219" i="32" s="1"/>
  <c r="D219" i="32" s="1"/>
  <c r="X248" i="31"/>
  <c r="D278" i="32"/>
  <c r="D291" i="32" s="1"/>
  <c r="C291" i="32"/>
  <c r="D277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A219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T234" i="31"/>
  <c r="B83" i="30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F83" i="30" l="1"/>
  <c r="F84" i="30"/>
  <c r="T272" i="31"/>
  <c r="X272" i="31" s="1"/>
  <c r="J142" i="31" s="1"/>
  <c r="C220" i="32" s="1"/>
  <c r="X234" i="31"/>
  <c r="C185" i="32"/>
  <c r="D185" i="32" s="1"/>
  <c r="D183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K225" i="32" l="1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D192" i="32"/>
  <c r="X237" i="31"/>
  <c r="C307" i="32"/>
  <c r="C192" i="32"/>
  <c r="C276" i="32" s="1"/>
  <c r="B115" i="30"/>
  <c r="B126" i="30" s="1"/>
  <c r="B167" i="31"/>
  <c r="J167" i="31" s="1"/>
  <c r="D235" i="32"/>
  <c r="D236" i="32" s="1"/>
  <c r="D276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93" i="32" l="1"/>
  <c r="C290" i="32"/>
  <c r="C235" i="32"/>
  <c r="C236" i="32" s="1"/>
  <c r="J170" i="31"/>
  <c r="C243" i="32"/>
  <c r="D243" i="32" s="1"/>
  <c r="Z237" i="31"/>
  <c r="AA237" i="31" s="1"/>
  <c r="D290" i="32"/>
  <c r="D293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<sst xmlns="http://schemas.openxmlformats.org/spreadsheetml/2006/main" count="3020" uniqueCount="1471">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</sst>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84" zoomScale="80" zoomScaleNormal="80" workbookViewId="0">
      <selection activeCell="K89" sqref="K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609</v>
      </c>
    </row>
    <row r="77" spans="10:22" x14ac:dyDescent="0.25">
      <c r="J77" s="14" t="s">
        <v>610</v>
      </c>
      <c r="K77" s="80"/>
      <c r="R77">
        <v>2</v>
      </c>
      <c r="U77" s="13">
        <v>2</v>
      </c>
      <c r="V77" s="13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>
        <v>2</v>
      </c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1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>
        <v>1</v>
      </c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>
        <v>2</v>
      </c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>
        <v>1</v>
      </c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10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222</v>
      </c>
      <c r="BS61" s="170">
        <f>IF(BS16=0,0,IF(BS38=3,0,VALUE(CONCATENATE(Travail!BS27,Travail!BS38,Travail!BS49))))</f>
        <v>222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222</v>
      </c>
      <c r="AW62" s="170">
        <f>IF(AW17=0,0,IF(AW39=3,0,VALUE(CONCATENATE(Travail!AW28,Travail!AW39,Travail!AW50))))</f>
        <v>222</v>
      </c>
      <c r="AX62" s="170">
        <f>IF(AX17=0,0,IF(AX39=3,0,VALUE(CONCATENATE(Travail!AX28,Travail!AX39,Travail!AX50))))</f>
        <v>222</v>
      </c>
      <c r="AY62" s="170">
        <f>IF(AY17=0,0,IF(AY39=3,0,VALUE(CONCATENATE(Travail!AY28,Travail!AY39,Travail!AY50))))</f>
        <v>222</v>
      </c>
      <c r="AZ62" s="170">
        <f>IF(AZ17=0,0,IF(AZ39=3,0,VALUE(CONCATENATE(Travail!AZ28,Travail!AZ39,Travail!AZ50))))</f>
        <v>222</v>
      </c>
      <c r="BA62" s="170">
        <f>IF(BA17=0,0,IF(BA39=3,0,VALUE(CONCATENATE(Travail!BA28,Travail!BA39,Travail!BA50))))</f>
        <v>222</v>
      </c>
      <c r="BB62" s="170">
        <f>IF(BB17=0,0,IF(BB39=3,0,VALUE(CONCATENATE(Travail!BB28,Travail!BB39,Travail!BB50))))</f>
        <v>222</v>
      </c>
      <c r="BC62" s="170">
        <f>IF(BC17=0,0,IF(BC39=3,0,VALUE(CONCATENATE(Travail!BC28,Travail!BC39,Travail!BC50))))</f>
        <v>222</v>
      </c>
      <c r="BD62" s="170">
        <f>IF(BD17=0,0,IF(BD39=3,0,VALUE(CONCATENATE(Travail!BD28,Travail!BD39,Travail!BD50))))</f>
        <v>222</v>
      </c>
      <c r="BE62" s="170">
        <f>IF(BE17=0,0,IF(BE39=3,0,VALUE(CONCATENATE(Travail!BE28,Travail!BE39,Travail!BE50))))</f>
        <v>222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222</v>
      </c>
      <c r="BR62" s="170">
        <f>IF(BR17=0,0,IF(BR39=3,0,VALUE(CONCATENATE(Travail!BR28,Travail!BR39,Travail!BR50))))</f>
        <v>222</v>
      </c>
      <c r="BS62" s="170">
        <f>IF(BS17=0,0,IF(BS39=3,0,VALUE(CONCATENATE(Travail!BS28,Travail!BS39,Travail!BS50))))</f>
        <v>222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221</v>
      </c>
      <c r="BA64" s="170">
        <f>IF(BA19=0,0,IF(BA41=3,0,VALUE(CONCATENATE(Travail!BA30,Travail!BA41,Travail!BA52))))</f>
        <v>221</v>
      </c>
      <c r="BB64" s="170">
        <f>IF(BB19=0,0,IF(BB41=3,0,VALUE(CONCATENATE(Travail!BB30,Travail!BB41,Travail!BB52))))</f>
        <v>221</v>
      </c>
      <c r="BC64" s="170">
        <f>IF(BC19=0,0,IF(BC41=3,0,VALUE(CONCATENATE(Travail!BC30,Travail!BC41,Travail!BC52))))</f>
        <v>221</v>
      </c>
      <c r="BD64" s="170">
        <f>IF(BD19=0,0,IF(BD41=3,0,VALUE(CONCATENATE(Travail!BD30,Travail!BD41,Travail!BD52))))</f>
        <v>221</v>
      </c>
      <c r="BE64" s="170">
        <f>IF(BE19=0,0,IF(BE41=3,0,VALUE(CONCATENATE(Travail!BE30,Travail!BE41,Travail!BE52))))</f>
        <v>221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290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15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15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22</v>
      </c>
      <c r="AW73" s="170">
        <f t="shared" si="36"/>
        <v>22</v>
      </c>
      <c r="AX73" s="170">
        <f t="shared" si="36"/>
        <v>22</v>
      </c>
      <c r="AY73" s="170">
        <f t="shared" si="36"/>
        <v>22</v>
      </c>
      <c r="AZ73" s="170">
        <f t="shared" si="36"/>
        <v>22</v>
      </c>
      <c r="BA73" s="170">
        <f t="shared" si="36"/>
        <v>22</v>
      </c>
      <c r="BB73" s="170">
        <f t="shared" si="36"/>
        <v>22</v>
      </c>
      <c r="BC73" s="170">
        <f t="shared" si="36"/>
        <v>22</v>
      </c>
      <c r="BD73" s="170">
        <f t="shared" si="36"/>
        <v>22</v>
      </c>
      <c r="BE73" s="170">
        <f t="shared" si="36"/>
        <v>22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22</v>
      </c>
      <c r="BR73" s="170">
        <f t="shared" si="36"/>
        <v>22</v>
      </c>
      <c r="BS73" s="170">
        <f t="shared" si="36"/>
        <v>22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22</v>
      </c>
      <c r="BA75" s="170">
        <f t="shared" si="36"/>
        <v>22</v>
      </c>
      <c r="BB75" s="170">
        <f t="shared" si="36"/>
        <v>22</v>
      </c>
      <c r="BC75" s="170">
        <f t="shared" si="36"/>
        <v>22</v>
      </c>
      <c r="BD75" s="170">
        <f t="shared" si="36"/>
        <v>22</v>
      </c>
      <c r="BE75" s="170">
        <f t="shared" si="36"/>
        <v>22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395</v>
      </c>
      <c r="G77" s="46">
        <f t="shared" ref="G77:AD77" si="43">+SUM(G69:G76)</f>
        <v>18.5</v>
      </c>
      <c r="H77" s="46">
        <f t="shared" si="43"/>
        <v>18.5</v>
      </c>
      <c r="I77" s="46">
        <f t="shared" si="43"/>
        <v>18.5</v>
      </c>
      <c r="J77" s="46">
        <f t="shared" si="43"/>
        <v>18.5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18.5</v>
      </c>
      <c r="AC77" s="46">
        <f t="shared" si="43"/>
        <v>18.5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1.43</v>
      </c>
      <c r="C81" s="185">
        <f>[1]Protect!$B$10</f>
        <v>4</v>
      </c>
      <c r="D81" s="169"/>
      <c r="E81" s="169"/>
      <c r="F81" s="170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3</v>
      </c>
      <c r="AW83" s="170">
        <f t="shared" ref="AW83:BS83" si="50">COUNTIF(AW$71:AW$80,22)</f>
        <v>3</v>
      </c>
      <c r="AX83" s="170">
        <f t="shared" si="50"/>
        <v>3</v>
      </c>
      <c r="AY83" s="170">
        <f t="shared" si="50"/>
        <v>3</v>
      </c>
      <c r="AZ83" s="170">
        <f t="shared" si="50"/>
        <v>4</v>
      </c>
      <c r="BA83" s="170">
        <f t="shared" si="50"/>
        <v>4</v>
      </c>
      <c r="BB83" s="170">
        <f t="shared" si="50"/>
        <v>4</v>
      </c>
      <c r="BC83" s="170">
        <f t="shared" si="50"/>
        <v>4</v>
      </c>
      <c r="BD83" s="170">
        <f t="shared" si="50"/>
        <v>5</v>
      </c>
      <c r="BE83" s="170">
        <f t="shared" si="50"/>
        <v>4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2</v>
      </c>
      <c r="BS83" s="170">
        <f t="shared" si="50"/>
        <v>2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1.6666666666666665</v>
      </c>
      <c r="C86" s="173"/>
      <c r="D86" s="173"/>
      <c r="E86" s="173"/>
      <c r="F86" s="170">
        <f>B86*[1]Eco!$B$108*[1]Eco!$B$109</f>
        <v>399.99999999999994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306.66666666666663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290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290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42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46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399.99999999999994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5118.2392380952388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332</v>
      </c>
    </row>
    <row r="126" spans="1:132" x14ac:dyDescent="0.25">
      <c r="A126" s="2" t="s">
        <v>910</v>
      </c>
      <c r="B126" s="30">
        <f>B114+B115+B116</f>
        <v>452.79999999999995</v>
      </c>
    </row>
    <row r="128" spans="1:132" x14ac:dyDescent="0.25">
      <c r="A128" s="2" t="s">
        <v>911</v>
      </c>
      <c r="B128" s="197">
        <f>SUM(B122:B126)</f>
        <v>6894.0392380952389</v>
      </c>
    </row>
    <row r="129" spans="1:2" x14ac:dyDescent="0.25">
      <c r="A129" s="2" t="s">
        <v>912</v>
      </c>
      <c r="B129" s="30">
        <f>IF(Scénario!K129=1,Travail!F77+Travail!F86,F86)</f>
        <v>795</v>
      </c>
    </row>
    <row r="130" spans="1:2" x14ac:dyDescent="0.25">
      <c r="A130" s="2" t="s">
        <v>913</v>
      </c>
      <c r="B130" s="197">
        <f>ROUND((B128-B129)/(Scénario!K4+Scénario!K6),0)</f>
        <v>3050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11164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158229.19999999998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9043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743.95999999999992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52641.814999999995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399.99999999999994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4252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405.8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4313.6540000000005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59283.754000000001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46303.630999999979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23152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2929.8860010613639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32373.744998938615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16187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6044</v>
      </c>
      <c r="U234" t="s">
        <v>1142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0.66666666666666663</v>
      </c>
      <c r="W235" s="170">
        <f>[1]Protect!$B$83</f>
        <v>2000</v>
      </c>
      <c r="X235" s="170">
        <f t="shared" ref="X235:X236" si="87">T235*W235</f>
        <v>1333.3333333333333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0.33333333333333331</v>
      </c>
      <c r="W236" s="170">
        <f>[1]Protect!$B$84</f>
        <v>5000</v>
      </c>
      <c r="X236" s="170">
        <f t="shared" si="87"/>
        <v>1666.6666666666665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39264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23764</v>
      </c>
      <c r="AB237" s="30">
        <f>(Scénario!K127/100)*AA237</f>
        <v>0</v>
      </c>
      <c r="AC237" s="30">
        <f>AA237-AB237</f>
        <v>23764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2929.8860010613639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10</v>
      </c>
      <c r="X245" s="170">
        <f>ROUND((([1]Protect!$B$5/[1]Protect!$B$11)+[1]Protect!$B$8)*T245,0)</f>
        <v>9043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1.6666666666666665</v>
      </c>
      <c r="W246" s="170">
        <f>[1]Eco!$B$106*[1]Eco!$B$108*[1]Eco!$B$109</f>
        <v>2551.2000000000003</v>
      </c>
      <c r="X246" s="170">
        <f>T246*W246</f>
        <v>4252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13955.333333333334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13955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11164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11164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1.3333333333333333</v>
      </c>
      <c r="U274" s="170"/>
      <c r="V274" s="170"/>
      <c r="W274" s="170">
        <f>W271</f>
        <v>100</v>
      </c>
      <c r="X274" s="170">
        <f>T274*W274</f>
        <v>133.33333333333331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0.33333333333333331</v>
      </c>
      <c r="U275" s="170"/>
      <c r="V275" s="170"/>
      <c r="W275" s="170">
        <f>[1]Protect!$B$42</f>
        <v>200</v>
      </c>
      <c r="X275" s="170">
        <f>T275*W275</f>
        <v>66.666666666666657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Z2_OLBV_T3_SC2s1</v>
      </c>
      <c r="D1" s="253" t="str">
        <f>CONCATENATE(C1,"_corr")</f>
        <v>Z2_OLBV_T3_SC2s1_corr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1</v>
      </c>
      <c r="D51" s="174">
        <f t="shared" si="0"/>
        <v>1</v>
      </c>
      <c r="E51" s="14"/>
    </row>
    <row r="52" spans="1:132" x14ac:dyDescent="0.25">
      <c r="B52" s="19" t="s">
        <v>607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618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2</v>
      </c>
      <c r="D59" s="174">
        <f t="shared" si="0"/>
        <v>2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6044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0.66666666666666663</v>
      </c>
      <c r="D187" s="170">
        <f>C187</f>
        <v>0.66666666666666663</v>
      </c>
    </row>
    <row r="188" spans="1:132" x14ac:dyDescent="0.25">
      <c r="B188" s="14" t="s">
        <v>1349</v>
      </c>
      <c r="C188" s="170">
        <f>'Calcul éco'!T236</f>
        <v>0.33333333333333331</v>
      </c>
      <c r="D188" s="170">
        <f t="shared" ref="D188:D189" si="101">C188</f>
        <v>0.33333333333333331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10</v>
      </c>
      <c r="D189" s="170">
        <f t="shared" si="101"/>
        <v>10</v>
      </c>
      <c r="AH189" s="15"/>
      <c r="AJ189" s="14" t="s">
        <v>1155</v>
      </c>
      <c r="AK189" s="30">
        <f>D189</f>
        <v>10</v>
      </c>
      <c r="AO189" s="170">
        <f>ROUND((([1]Protect!$B$5/[1]Protect!$B$11)+[1]Protect!$B$8)*AK189,0)</f>
        <v>9043</v>
      </c>
    </row>
    <row r="190" spans="1:132" x14ac:dyDescent="0.25">
      <c r="B190" s="14" t="s">
        <v>1351</v>
      </c>
      <c r="C190" s="170">
        <f>'Calcul éco'!T246*(30)</f>
        <v>49.999999999999993</v>
      </c>
      <c r="D190" s="170">
        <f>C190</f>
        <v>49.999999999999993</v>
      </c>
      <c r="AH190" s="15"/>
      <c r="AJ190" s="14" t="s">
        <v>1156</v>
      </c>
      <c r="AK190" s="30">
        <f>D190/30</f>
        <v>1.6666666666666665</v>
      </c>
      <c r="AN190" s="170">
        <f>[1]Eco!$B$106*[1]Eco!$B$108*[1]Eco!$B$109</f>
        <v>2551.2000000000003</v>
      </c>
      <c r="AO190" s="170">
        <f>AK190*AN190</f>
        <v>4252</v>
      </c>
    </row>
    <row r="191" spans="1:132" x14ac:dyDescent="0.25">
      <c r="B191" s="14" t="s">
        <v>1352</v>
      </c>
      <c r="C191" s="193">
        <f>ROUND(SUM(Travail!F69:F74)/8,1)</f>
        <v>36.299999999999997</v>
      </c>
      <c r="D191" s="170">
        <f>C191</f>
        <v>36.299999999999997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13955.333333333334</v>
      </c>
    </row>
    <row r="193" spans="1:43" x14ac:dyDescent="0.25">
      <c r="B193" s="14" t="s">
        <v>1358</v>
      </c>
      <c r="C193" s="170">
        <f>(Travail!F75+Travail!F76+Travail!F81)/8</f>
        <v>18.875</v>
      </c>
      <c r="D193" s="170">
        <f>C193</f>
        <v>18.875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11164</v>
      </c>
      <c r="D210" s="262">
        <f>ROUND(AL207,0)</f>
        <v>5000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60318.400000000001</v>
      </c>
      <c r="D211" s="262">
        <f>ROUND(SUM(D201:D210),0)</f>
        <v>5000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1.3333333333333333</v>
      </c>
      <c r="AK218" s="170"/>
      <c r="AL218" s="170"/>
      <c r="AM218" s="170">
        <f>'Calcul éco'!W274</f>
        <v>100</v>
      </c>
      <c r="AN218" s="170">
        <f>AJ218*AM218</f>
        <v>133.33333333333331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9043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0.33333333333333331</v>
      </c>
      <c r="AK219" s="170"/>
      <c r="AL219" s="170"/>
      <c r="AM219" s="170">
        <f>'Calcul éco'!W275</f>
        <v>200</v>
      </c>
      <c r="AN219" s="170">
        <f>AJ219*AM219</f>
        <v>66.666666666666657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743.95999999999992</v>
      </c>
      <c r="D220" s="262">
        <f>SUM(AN215:AN219)</f>
        <v>199.99999999999997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52642</v>
      </c>
      <c r="D221" s="262">
        <f>ROUND(SUM(D216:D220),0)</f>
        <v>200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0.66666666666666663</v>
      </c>
      <c r="AN226" s="170">
        <f>[1]Protect!$B$83</f>
        <v>2000</v>
      </c>
      <c r="AO226" s="170">
        <f t="shared" ref="AO226:AO227" si="108">AK226*AN226</f>
        <v>1333.3333333333333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0.33333333333333331</v>
      </c>
      <c r="AN227" s="170">
        <f>[1]Protect!$B$84</f>
        <v>5000</v>
      </c>
      <c r="AO227" s="170">
        <f t="shared" si="108"/>
        <v>1666.6666666666665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3000</v>
      </c>
      <c r="AQ228" s="30">
        <f>IF(Scénario!K84=1,MIN(0.8*AO228,[1]Protect!$B$68),IF(Scénario!K84=2,MIN(0.8*AO228,[1]Protect!$B$67),0))</f>
        <v>2400</v>
      </c>
      <c r="AR228" s="30">
        <f>AO228-AQ228</f>
        <v>600</v>
      </c>
      <c r="AS228" s="30">
        <f>(1-Scénario!K127/100)*AR228</f>
        <v>600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4252</v>
      </c>
      <c r="D234" s="170">
        <f>C234</f>
        <v>4252</v>
      </c>
    </row>
    <row r="235" spans="1:49" x14ac:dyDescent="0.25">
      <c r="B235" s="14" t="s">
        <v>1402</v>
      </c>
      <c r="C235" s="170">
        <f>'Calcul éco'!J167</f>
        <v>4313.6540000000005</v>
      </c>
      <c r="D235" s="262">
        <f>(D191+D192)*8*[1]Eco!$B$106</f>
        <v>3086.9519999999998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59284</v>
      </c>
      <c r="D236" s="262">
        <f>ROUND(SUM(D222:D235),0)</f>
        <v>28021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46303.399999999994</v>
      </c>
      <c r="D237" s="262">
        <f>D194+D211-D221-D236</f>
        <v>-23221</v>
      </c>
    </row>
    <row r="238" spans="1:49" x14ac:dyDescent="0.25">
      <c r="B238" s="207" t="s">
        <v>1131</v>
      </c>
      <c r="C238" s="170">
        <f>ROUND(C237/Scénario!$K$4,0)</f>
        <v>23152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2929.8860010613639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32374</v>
      </c>
      <c r="D241" s="266">
        <f>ROUND(D237-D239-D240,0)</f>
        <v>-34221</v>
      </c>
    </row>
    <row r="242" spans="1:15" x14ac:dyDescent="0.25">
      <c r="B242" s="207" t="s">
        <v>1135</v>
      </c>
      <c r="C242" s="170">
        <f>ROUND(C241/Scénario!K4,0)</f>
        <v>16187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39264</v>
      </c>
      <c r="D243" s="170">
        <f>C243</f>
        <v>39264</v>
      </c>
    </row>
    <row r="244" spans="1:15" x14ac:dyDescent="0.25">
      <c r="B244" s="207" t="s">
        <v>1407</v>
      </c>
      <c r="C244" s="170">
        <f>'Calcul éco'!AA237+'Calcul éco'!AA240</f>
        <v>23764</v>
      </c>
      <c r="D244" s="170">
        <f>C244</f>
        <v>23764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72</v>
      </c>
      <c r="D252" s="170">
        <f t="shared" ref="D252:D253" si="113">C252</f>
        <v>72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290.39999999999998</v>
      </c>
      <c r="D275" s="170">
        <f>C275</f>
        <v>290.39999999999998</v>
      </c>
    </row>
    <row r="276" spans="1:4" x14ac:dyDescent="0.25">
      <c r="A276" s="23"/>
      <c r="B276" s="32" t="s">
        <v>1418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109</v>
      </c>
      <c r="D277" s="170">
        <f>C277</f>
        <v>109</v>
      </c>
    </row>
    <row r="278" spans="1:4" x14ac:dyDescent="0.25">
      <c r="B278" s="32" t="s">
        <v>1420</v>
      </c>
      <c r="C278" s="268">
        <f>Travail!F76</f>
        <v>42</v>
      </c>
      <c r="D278" s="170">
        <f>C278</f>
        <v>42</v>
      </c>
    </row>
    <row r="279" spans="1:4" x14ac:dyDescent="0.25">
      <c r="B279" s="32" t="s">
        <v>1421</v>
      </c>
      <c r="C279" s="268">
        <f>Travail!F86</f>
        <v>399.99999999999994</v>
      </c>
      <c r="D279" s="268">
        <f>C279</f>
        <v>399.99999999999994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5118</v>
      </c>
      <c r="D287" s="262">
        <f>SUM(D281:D283)</f>
        <v>1444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406.2</v>
      </c>
      <c r="D290" s="269">
        <f>D275+D276+D277</f>
        <v>399.4</v>
      </c>
    </row>
    <row r="291" spans="2:4" x14ac:dyDescent="0.25">
      <c r="B291" s="14" t="s">
        <v>1434</v>
      </c>
      <c r="C291" s="268">
        <f>C278+C279+C280</f>
        <v>441.99999999999994</v>
      </c>
      <c r="D291" s="268">
        <f>D278+D279+D280</f>
        <v>441.99999999999994</v>
      </c>
    </row>
    <row r="292" spans="2:4" x14ac:dyDescent="0.25">
      <c r="B292" s="14" t="s">
        <v>911</v>
      </c>
      <c r="C292" s="170">
        <f>ROUND(SUM(C287:C291),0)</f>
        <v>6957</v>
      </c>
      <c r="D292" s="262">
        <f>ROUND(SUM(D287:D291),0)</f>
        <v>2885</v>
      </c>
    </row>
    <row r="293" spans="2:4" x14ac:dyDescent="0.25">
      <c r="B293" s="14" t="s">
        <v>912</v>
      </c>
      <c r="C293" s="170">
        <f>ROUND(IF(Scénario!$K$129=1,SUM(C275:C280),SUM(C278:C280)),0)</f>
        <v>848</v>
      </c>
      <c r="D293" s="170">
        <f>ROUND(IF(Scénario!$K$129=1,SUM(D275:D280),SUM(D278:D280)),0)</f>
        <v>841</v>
      </c>
    </row>
    <row r="294" spans="2:4" x14ac:dyDescent="0.25">
      <c r="B294" s="14" t="s">
        <v>913</v>
      </c>
      <c r="C294" s="170">
        <f>ROUND((C292-C293)/C83,0)</f>
        <v>3055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36264</v>
      </c>
    </row>
    <row r="308" spans="2:3" x14ac:dyDescent="0.25">
      <c r="B308" s="14" t="s">
        <v>1458</v>
      </c>
      <c r="C308" s="170">
        <f>'Calcul éco'!X235</f>
        <v>1333.3333333333333</v>
      </c>
    </row>
    <row r="309" spans="2:3" x14ac:dyDescent="0.25">
      <c r="B309" s="14" t="s">
        <v>1459</v>
      </c>
      <c r="C309" s="170">
        <f>'Calcul éco'!X236</f>
        <v>1666.6666666666665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29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2023-01-09T10:17:14Z</dcterms:modified>
</cp:coreProperties>
</file>