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5" r:id="rId18"/>
  </pivotCaches>
</workbook>
</file>

<file path=xl/calcChain.xml><?xml version="1.0" encoding="utf-8"?>
<calcChain xmlns="http://schemas.openxmlformats.org/spreadsheetml/2006/main">
  <c r="B43" i="31" l="1"/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AV9" i="29"/>
  <c r="AW9" i="29"/>
  <c r="BD9" i="29" s="1"/>
  <c r="BE9" i="29" s="1"/>
  <c r="BF9" i="29" s="1"/>
  <c r="AX9" i="29"/>
  <c r="AY9" i="29"/>
  <c r="AZ9" i="29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BD19" i="29" s="1"/>
  <c r="BE19" i="29" s="1"/>
  <c r="BF19" i="29" s="1"/>
  <c r="AX19" i="29"/>
  <c r="AY19" i="29"/>
  <c r="AZ19" i="29"/>
  <c r="AV20" i="29"/>
  <c r="AW20" i="29"/>
  <c r="BD20" i="29" s="1"/>
  <c r="BE20" i="29" s="1"/>
  <c r="BF20" i="29" s="1"/>
  <c r="BK20" i="29" s="1"/>
  <c r="AX20" i="29"/>
  <c r="AY20" i="29"/>
  <c r="AZ20" i="29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 s="1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AA71" i="29"/>
  <c r="H71" i="29" s="1"/>
  <c r="AA70" i="29"/>
  <c r="R70" i="29" s="1"/>
  <c r="Y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BD3" i="29" l="1"/>
  <c r="BE3" i="29" s="1"/>
  <c r="J72" i="29"/>
  <c r="F70" i="29"/>
  <c r="K72" i="29"/>
  <c r="E70" i="29"/>
  <c r="D71" i="29"/>
  <c r="X71" i="29"/>
  <c r="G71" i="29"/>
  <c r="O71" i="29"/>
  <c r="W71" i="29"/>
  <c r="E72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C52" i="32"/>
  <c r="D52" i="32" s="1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M16" i="30"/>
  <c r="BM61" i="30" s="1"/>
  <c r="BM107" i="30" s="1"/>
  <c r="BI16" i="30"/>
  <c r="BI72" i="30" s="1"/>
  <c r="BE16" i="30"/>
  <c r="BA16" i="30"/>
  <c r="AW16" i="30"/>
  <c r="AT16" i="30"/>
  <c r="E16" i="30"/>
  <c r="C16" i="30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AK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CH91" i="32" l="1"/>
  <c r="AV90" i="32"/>
  <c r="CP91" i="32"/>
  <c r="CX91" i="32"/>
  <c r="BG29" i="30"/>
  <c r="BQ29" i="30"/>
  <c r="CJ90" i="32"/>
  <c r="Q8" i="29"/>
  <c r="N8" i="29"/>
  <c r="N201" i="29" s="1"/>
  <c r="N212" i="29" s="1"/>
  <c r="R8" i="29"/>
  <c r="R201" i="29" s="1"/>
  <c r="R212" i="29" s="1"/>
  <c r="V8" i="29"/>
  <c r="D16" i="30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BO100" i="30" s="1"/>
  <c r="BO101" i="30" s="1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CY160" i="32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AW74" i="30" s="1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W28" i="28"/>
  <c r="F69" i="30"/>
  <c r="B109" i="30" s="1"/>
  <c r="AY92" i="31"/>
  <c r="AE166" i="31"/>
  <c r="G202" i="29"/>
  <c r="G213" i="29" s="1"/>
  <c r="AG166" i="31"/>
  <c r="X275" i="3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A74" i="30" s="1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AW61" i="30" s="1"/>
  <c r="AW107" i="30" s="1"/>
  <c r="BG27" i="30"/>
  <c r="BQ27" i="30"/>
  <c r="BQ72" i="30" s="1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BE27" i="30"/>
  <c r="BE61" i="30" s="1"/>
  <c r="BE107" i="30" s="1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J26" i="29"/>
  <c r="J30" i="29" s="1"/>
  <c r="R26" i="29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8" i="29" s="1"/>
  <c r="C19" i="29"/>
  <c r="C4" i="29"/>
  <c r="G3" i="29"/>
  <c r="G4" i="29"/>
  <c r="K3" i="29"/>
  <c r="K4" i="29"/>
  <c r="O3" i="29"/>
  <c r="O4" i="29"/>
  <c r="S3" i="29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B110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BB21" i="29" s="1"/>
  <c r="T19" i="7"/>
  <c r="BB20" i="29" s="1"/>
  <c r="T18" i="7"/>
  <c r="BB19" i="29" s="1"/>
  <c r="T8" i="7"/>
  <c r="BB9" i="29" s="1"/>
  <c r="T7" i="7"/>
  <c r="BB8" i="29" s="1"/>
  <c r="T6" i="7"/>
  <c r="T5" i="7"/>
  <c r="AW72" i="30" l="1"/>
  <c r="S22" i="29"/>
  <c r="S8" i="29"/>
  <c r="O8" i="29"/>
  <c r="P8" i="29"/>
  <c r="P201" i="29" s="1"/>
  <c r="P212" i="29" s="1"/>
  <c r="O180" i="29"/>
  <c r="O195" i="29" s="1"/>
  <c r="S75" i="30" s="1"/>
  <c r="S77" i="30" s="1"/>
  <c r="D8" i="29"/>
  <c r="Y54" i="29"/>
  <c r="Y55" i="29" s="1"/>
  <c r="E201" i="29"/>
  <c r="E212" i="29" s="1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202" i="29" s="1"/>
  <c r="C213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Z83" i="30" l="1"/>
  <c r="AZ82" i="30"/>
  <c r="AZ81" i="30"/>
  <c r="AZ84" i="30"/>
  <c r="BN82" i="30"/>
  <c r="AK226" i="32"/>
  <c r="AO226" i="32" s="1"/>
  <c r="G76" i="30"/>
  <c r="G77" i="30" s="1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T240" i="31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31" l="1"/>
  <c r="C133" i="31" s="1"/>
  <c r="J133" i="31" s="1"/>
  <c r="AI228" i="28"/>
  <c r="AJ228" i="31"/>
  <c r="C134" i="31" s="1"/>
  <c r="J134" i="31" s="1"/>
  <c r="BO87" i="30"/>
  <c r="BO102" i="30" s="1"/>
  <c r="Z9" i="30" s="1"/>
  <c r="T273" i="31"/>
  <c r="X273" i="31" s="1"/>
  <c r="C186" i="32"/>
  <c r="D186" i="32" s="1"/>
  <c r="X240" i="31"/>
  <c r="C71" i="32"/>
  <c r="C74" i="32" s="1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CI102" i="30" l="1"/>
  <c r="N10" i="30" s="1"/>
  <c r="AA240" i="31"/>
  <c r="AB240" i="31" s="1"/>
  <c r="AC240" i="31" s="1"/>
  <c r="AF240" i="31" s="1"/>
  <c r="C310" i="32"/>
  <c r="AJ217" i="32"/>
  <c r="AN217" i="32" s="1"/>
  <c r="AK231" i="32"/>
  <c r="AO231" i="32" s="1"/>
  <c r="AR231" i="32" s="1"/>
  <c r="AS231" i="32" s="1"/>
  <c r="AT231" i="32" s="1"/>
  <c r="AW231" i="32" s="1"/>
  <c r="B149" i="31"/>
  <c r="J149" i="31" s="1"/>
  <c r="C222" i="32" s="1"/>
  <c r="AY102" i="30"/>
  <c r="J9" i="30" s="1"/>
  <c r="BN102" i="30"/>
  <c r="Y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J43" i="3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J13" i="30" l="1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B81" i="30" l="1"/>
  <c r="F81" i="30" s="1"/>
  <c r="B114" i="30" s="1"/>
  <c r="T245" i="31"/>
  <c r="F76" i="30"/>
  <c r="F75" i="30"/>
  <c r="V265" i="31"/>
  <c r="V263" i="31" s="1"/>
  <c r="J46" i="31" s="1"/>
  <c r="C210" i="32" s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C193" i="32" l="1"/>
  <c r="D193" i="32" s="1"/>
  <c r="C277" i="32"/>
  <c r="C278" i="32"/>
  <c r="B113" i="30"/>
  <c r="B125" i="30" s="1"/>
  <c r="X245" i="31"/>
  <c r="C189" i="32"/>
  <c r="D189" i="32" s="1"/>
  <c r="AK189" i="32" s="1"/>
  <c r="AO189" i="32" s="1"/>
  <c r="AO192" i="32" s="1"/>
  <c r="G18" i="22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H67" i="32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H64" i="32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G78" i="32" l="1"/>
  <c r="BG154" i="32"/>
  <c r="BH75" i="32"/>
  <c r="BH151" i="32"/>
  <c r="BI75" i="32"/>
  <c r="BI151" i="32"/>
  <c r="BL75" i="32"/>
  <c r="BL151" i="32"/>
  <c r="BL160" i="32" s="1"/>
  <c r="BL161" i="32" s="1"/>
  <c r="BL162" i="32" s="1"/>
  <c r="BH78" i="32"/>
  <c r="BH154" i="32"/>
  <c r="BI78" i="32"/>
  <c r="BI154" i="32"/>
  <c r="BJ75" i="32"/>
  <c r="BJ151" i="32"/>
  <c r="BG75" i="32"/>
  <c r="BG151" i="32"/>
  <c r="BJ78" i="32"/>
  <c r="BJ154" i="32"/>
  <c r="BK75" i="32"/>
  <c r="BK151" i="32"/>
  <c r="BK160" i="32" s="1"/>
  <c r="BK161" i="32" s="1"/>
  <c r="BK162" i="32" s="1"/>
  <c r="BE76" i="32"/>
  <c r="BE152" i="32"/>
  <c r="BE160" i="32" s="1"/>
  <c r="BE161" i="32" s="1"/>
  <c r="BE162" i="32" s="1"/>
  <c r="J141" i="31"/>
  <c r="C219" i="32" s="1"/>
  <c r="D219" i="32" s="1"/>
  <c r="X248" i="31"/>
  <c r="D278" i="32"/>
  <c r="D291" i="32" s="1"/>
  <c r="C291" i="32"/>
  <c r="D277" i="32"/>
  <c r="H19" i="22"/>
  <c r="CC75" i="32"/>
  <c r="CC132" i="32" s="1"/>
  <c r="CG75" i="32"/>
  <c r="CG132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AL207" i="32" s="1"/>
  <c r="D210" i="32" s="1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G160" i="32" l="1"/>
  <c r="BG161" i="32" s="1"/>
  <c r="BG162" i="32" s="1"/>
  <c r="BH160" i="32"/>
  <c r="BH161" i="32" s="1"/>
  <c r="BH162" i="32" s="1"/>
  <c r="BJ160" i="32"/>
  <c r="BJ161" i="32" s="1"/>
  <c r="BJ162" i="32" s="1"/>
  <c r="BI160" i="32"/>
  <c r="BI161" i="32" s="1"/>
  <c r="BI162" i="32" s="1"/>
  <c r="CG121" i="32"/>
  <c r="CG167" i="32" s="1"/>
  <c r="BQ123" i="32"/>
  <c r="BQ169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72" i="24" l="1"/>
  <c r="AA219" i="24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BA4" i="29" s="1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BC21" i="29" s="1"/>
  <c r="V9" i="7"/>
  <c r="U9" i="7"/>
  <c r="V13" i="7"/>
  <c r="U13" i="7"/>
  <c r="V8" i="7"/>
  <c r="U8" i="7"/>
  <c r="BC9" i="29" s="1"/>
  <c r="V10" i="7"/>
  <c r="U10" i="7"/>
  <c r="V14" i="7"/>
  <c r="U14" i="7"/>
  <c r="K64" i="7"/>
  <c r="V7" i="7"/>
  <c r="U7" i="7"/>
  <c r="BC8" i="29" s="1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BA8" i="29" s="1"/>
  <c r="S15" i="7"/>
  <c r="R15" i="7"/>
  <c r="S8" i="7"/>
  <c r="BA9" i="29" s="1"/>
  <c r="R8" i="7"/>
  <c r="S20" i="7"/>
  <c r="BA21" i="29" s="1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BB4" i="29" s="1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AK21" i="29" s="1"/>
  <c r="AK25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BC19" i="29" s="1"/>
  <c r="V19" i="7"/>
  <c r="U19" i="7"/>
  <c r="BC20" i="29" s="1"/>
  <c r="V12" i="7"/>
  <c r="U12" i="7"/>
  <c r="R26" i="7"/>
  <c r="S26" i="7"/>
  <c r="U5" i="7"/>
  <c r="R19" i="7"/>
  <c r="S19" i="7"/>
  <c r="BA20" i="29" s="1"/>
  <c r="R22" i="7"/>
  <c r="S22" i="7"/>
  <c r="R18" i="7"/>
  <c r="S18" i="7"/>
  <c r="BA19" i="29" s="1"/>
  <c r="U37" i="7"/>
  <c r="R27" i="7"/>
  <c r="S27" i="7"/>
  <c r="U30" i="7"/>
  <c r="S23" i="7"/>
  <c r="R23" i="7"/>
  <c r="S12" i="7"/>
  <c r="R12" i="7"/>
  <c r="U3" i="7"/>
  <c r="BC4" i="29" s="1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83" i="30" l="1"/>
  <c r="C183" i="32"/>
  <c r="T234" i="31"/>
  <c r="BI31" i="29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T272" i="31" l="1"/>
  <c r="X272" i="31" s="1"/>
  <c r="J142" i="31" s="1"/>
  <c r="C220" i="32" s="1"/>
  <c r="X234" i="31"/>
  <c r="F83" i="30"/>
  <c r="F84" i="30"/>
  <c r="AP4" i="29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2" s="1"/>
  <c r="AD20" i="29"/>
  <c r="AF20" i="29" s="1"/>
  <c r="C192" i="32"/>
  <c r="C276" i="32" s="1"/>
  <c r="B115" i="30"/>
  <c r="B126" i="30" s="1"/>
  <c r="B167" i="31"/>
  <c r="J167" i="31" s="1"/>
  <c r="X237" i="31"/>
  <c r="C307" i="32"/>
  <c r="D184" i="32"/>
  <c r="C185" i="32"/>
  <c r="D185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243" i="32" l="1"/>
  <c r="D243" i="32" s="1"/>
  <c r="Z237" i="31"/>
  <c r="AA237" i="31" s="1"/>
  <c r="C235" i="32"/>
  <c r="C236" i="32" s="1"/>
  <c r="J170" i="31"/>
  <c r="C293" i="32"/>
  <c r="C290" i="32"/>
  <c r="D183" i="32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8" i="18"/>
  <c r="R185" i="18" s="1"/>
  <c r="R216" i="18" s="1"/>
  <c r="W6" i="22" s="1"/>
  <c r="BI16" i="23" s="1"/>
  <c r="BI29" i="23" s="1"/>
  <c r="M165" i="18"/>
  <c r="X163" i="18"/>
  <c r="X176" i="18"/>
  <c r="O165" i="18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62" i="18" s="1"/>
  <c r="O120" i="18"/>
  <c r="B145" i="18"/>
  <c r="B139" i="18"/>
  <c r="AA139" i="18" s="1"/>
  <c r="M120" i="18"/>
  <c r="M136" i="18"/>
  <c r="M149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AB237" i="31" l="1"/>
  <c r="AC237" i="31" s="1"/>
  <c r="AF237" i="31" s="1"/>
  <c r="B178" i="31" s="1"/>
  <c r="C240" i="32" s="1"/>
  <c r="C244" i="32"/>
  <c r="D244" i="32" s="1"/>
  <c r="AJ216" i="32"/>
  <c r="AN216" i="32" s="1"/>
  <c r="D220" i="32" s="1"/>
  <c r="D192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R172" i="18"/>
  <c r="R215" i="18" s="1"/>
  <c r="Q172" i="18"/>
  <c r="Q215" i="18" s="1"/>
  <c r="N201" i="18"/>
  <c r="N162" i="18"/>
  <c r="N172" i="18" s="1"/>
  <c r="N215" i="18" s="1"/>
  <c r="S5" i="22" s="1"/>
  <c r="O172" i="18"/>
  <c r="O215" i="18" s="1"/>
  <c r="T5" i="22" s="1"/>
  <c r="M201" i="18"/>
  <c r="M211" i="18" s="1"/>
  <c r="M218" i="18" s="1"/>
  <c r="R9" i="22" s="1"/>
  <c r="M162" i="18"/>
  <c r="M172" i="18" s="1"/>
  <c r="M215" i="18" s="1"/>
  <c r="R5" i="22" s="1"/>
  <c r="P201" i="18"/>
  <c r="P211" i="18" s="1"/>
  <c r="P218" i="18" s="1"/>
  <c r="U9" i="22" s="1"/>
  <c r="P162" i="18"/>
  <c r="P172" i="18" s="1"/>
  <c r="P215" i="18" s="1"/>
  <c r="U5" i="2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35" i="32" l="1"/>
  <c r="D236" i="32" s="1"/>
  <c r="D276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D290" i="32" l="1"/>
  <c r="D293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<sst xmlns="http://schemas.openxmlformats.org/spreadsheetml/2006/main" count="3021" uniqueCount="1472">
  <si>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</si>
  <si>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</si>
  <si>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</si>
  <si>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</si>
  <si>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</si>
  <si>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</si>
  <si>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</si>
  <si>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</si>
  <si>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</si>
  <si>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</si>
  <si>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</si>
  <si>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</si>
  <si>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</si>
  <si>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</si>
  <si>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</si>
  <si>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</si>
  <si>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</si>
  <si>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</si>
  <si>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</si>
  <si>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</si>
  <si>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</si>
  <si>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</si>
  <si>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</si>
  <si>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</si>
  <si>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</si>
  <si>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</si>
  <si>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</si>
  <si>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</si>
  <si>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</si>
  <si>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</si>
  <si>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</si>
  <si>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</si>
  <si>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</si>
  <si>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</si>
  <si>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</si>
  <si>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</si>
  <si>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</si>
  <si>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</si>
  <si>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</si>
  <si>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</si>
  <si>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</si>
  <si>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</si>
  <si>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</si>
  <si>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</si>
  <si>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</si>
  <si>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</si>
  <si>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</si>
  <si>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</si>
  <si>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</si>
  <si>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</si>
  <si>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</si>
  <si>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</si>
  <si>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</si>
  <si>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</si>
  <si>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</si>
  <si>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</si>
  <si>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</si>
  <si>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</si>
  <si>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</si>
  <si>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</si>
  <si>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</si>
  <si>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</si>
  <si>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</si>
  <si>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</si>
  <si>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</si>
  <si>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</si>
  <si>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</si>
  <si>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</si>
  <si>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</si>
  <si>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</si>
  <si>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</si>
  <si>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</si>
  <si>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</si>
  <si>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</si>
  <si>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</si>
  <si>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</si>
  <si>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</si>
  <si>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</si>
  <si>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</si>
  <si>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</si>
  <si>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</si>
  <si>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</si>
  <si>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</si>
  <si>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</si>
  <si>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</si>
  <si>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</si>
  <si>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</si>
  <si>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</si>
  <si>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</si>
  <si>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</si>
  <si>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</si>
  <si>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</si>
  <si>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</si>
  <si>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</si>
  <si>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</si>
  <si>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</si>
  <si>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</si>
  <si>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</si>
  <si>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</si>
  <si>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</si>
  <si>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</si>
  <si>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</si>
  <si>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</si>
  <si>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</si>
  <si>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</si>
  <si>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</si>
  <si>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</si>
  <si>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</si>
  <si>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</si>
  <si>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</si>
  <si>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</si>
  <si>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</si>
  <si>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</si>
  <si>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</si>
  <si>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</si>
  <si>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</si>
  <si>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</si>
  <si>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</si>
  <si>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</si>
  <si>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</si>
  <si>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</si>
  <si>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</si>
  <si>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</si>
  <si>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</si>
  <si>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</si>
  <si>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</si>
  <si>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</si>
  <si>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</si>
  <si>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</si>
  <si>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</si>
  <si>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</si>
  <si>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</si>
  <si>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</si>
  <si>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</si>
  <si>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</si>
  <si>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</si>
  <si>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</si>
  <si>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</si>
  <si>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</si>
  <si>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</si>
  <si>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</si>
  <si>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</si>
  <si>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</si>
  <si>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</si>
  <si>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</si>
  <si>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</si>
  <si>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</si>
  <si>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</si>
  <si>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</si>
  <si>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</si>
  <si>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</si>
  <si>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</si>
  <si>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</si>
  <si>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</si>
  <si>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</si>
  <si>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</si>
  <si>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</si>
  <si>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</si>
  <si>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</si>
  <si>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</si>
  <si>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</si>
  <si>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</si>
  <si>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</si>
  <si>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</si>
  <si>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</si>
  <si>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</si>
  <si>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</si>
  <si>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</si>
  <si>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</si>
  <si>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</si>
  <si>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</si>
  <si>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</si>
  <si>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</si>
  <si>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</si>
  <si>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</si>
  <si>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</si>
  <si>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</si>
  <si>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</si>
  <si>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</si>
  <si>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</si>
  <si>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</si>
  <si>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</si>
  <si>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</si>
  <si>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</si>
  <si>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</si>
  <si>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</si>
  <si>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</si>
  <si>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</si>
  <si>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</si>
  <si>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</si>
  <si>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</si>
  <si>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</si>
  <si>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</si>
  <si>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</si>
  <si>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</si>
  <si>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</si>
  <si>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</si>
  <si>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</si>
  <si>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</si>
  <si>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</si>
  <si>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</si>
  <si>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</si>
  <si>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</si>
  <si>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</si>
  <si>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</si>
  <si>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</si>
  <si>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</si>
  <si>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</si>
  <si>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</si>
  <si>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</si>
  <si>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</si>
  <si>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</si>
  <si>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</si>
  <si>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</si>
  <si>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</si>
  <si>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</si>
  <si>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</si>
  <si>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</si>
  <si>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</si>
  <si>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</si>
  <si>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</si>
  <si>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</si>
  <si>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</si>
  <si>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</si>
  <si>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</si>
  <si>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</si>
  <si>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</si>
  <si>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</si>
  <si>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</si>
  <si>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</si>
  <si>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</si>
  <si>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</si>
  <si>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</si>
  <si>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</si>
  <si>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</si>
  <si>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</si>
  <si>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</si>
  <si>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</si>
  <si>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</si>
  <si>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</si>
  <si>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</si>
  <si>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</si>
  <si>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</si>
  <si>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</si>
  <si>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</si>
  <si>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</si>
  <si>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</si>
  <si>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</si>
  <si>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</si>
  <si>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</si>
  <si>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</si>
  <si>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</si>
  <si>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</si>
  <si>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</si>
  <si>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</si>
  <si>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</si>
  <si>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</si>
  <si>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</si>
  <si>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</si>
  <si>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</si>
  <si>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</si>
  <si>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</si>
  <si>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</si>
  <si>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</si>
  <si>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</si>
  <si>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</si>
  <si>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</si>
  <si>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</si>
  <si>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</si>
  <si>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</si>
  <si>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</si>
  <si>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</si>
  <si>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</si>
  <si>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</si>
  <si>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</si>
  <si>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</si>
  <si>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</si>
  <si>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</si>
  <si>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</si>
  <si>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</si>
  <si>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</si>
  <si>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</si>
  <si>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</si>
  <si>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</si>
  <si>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</si>
  <si>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</si>
  <si>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</si>
  <si>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</si>
  <si>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</si>
  <si>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</si>
  <si>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</si>
  <si>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</si>
  <si>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</si>
  <si>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</si>
  <si>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</si>
  <si>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</si>
  <si>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</si>
  <si>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</si>
  <si>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</si>
  <si>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</si>
  <si>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</si>
  <si>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</si>
  <si>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</si>
  <si>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</si>
  <si>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</si>
  <si>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</si>
  <si>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</si>
  <si>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</si>
  <si>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</si>
  <si>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</si>
  <si>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</si>
  <si>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</si>
  <si>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</si>
  <si>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</si>
  <si>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</si>
  <si>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</si>
  <si>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</si>
  <si>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</si>
  <si>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</si>
  <si>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</si>
  <si>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</si>
  <si>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</si>
  <si>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</si>
  <si>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</si>
  <si>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</si>
  <si>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</si>
  <si>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</si>
  <si>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</si>
  <si>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</si>
  <si>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</si>
  <si>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</si>
  <si>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</si>
  <si>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</si>
  <si>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</si>
  <si>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</si>
  <si>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</si>
  <si>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</si>
  <si>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</si>
  <si>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</si>
  <si>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</si>
  <si>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</si>
  <si>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</si>
  <si>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</si>
  <si>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</si>
  <si>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</si>
  <si>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</si>
  <si>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</si>
  <si>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</si>
  <si>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</si>
  <si>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</si>
  <si>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</si>
  <si>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</si>
  <si>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</si>
  <si>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</si>
  <si>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</si>
  <si>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</si>
  <si>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</si>
  <si>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</si>
  <si>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</si>
  <si>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</si>
  <si>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</si>
  <si>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</si>
  <si>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</si>
  <si>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</si>
  <si>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</si>
  <si>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</si>
  <si>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</si>
  <si>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</si>
  <si>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</si>
  <si>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</si>
  <si>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</si>
  <si>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</si>
  <si>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</si>
  <si>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</si>
  <si>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</si>
  <si>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</si>
  <si>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</si>
  <si>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</si>
  <si>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</si>
  <si>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</si>
  <si>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</si>
  <si>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</si>
  <si>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</si>
  <si>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</si>
  <si>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</si>
  <si>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</si>
  <si>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</si>
  <si>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</si>
  <si>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</si>
  <si>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</si>
  <si>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</si>
  <si>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</si>
  <si>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</si>
  <si>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</si>
  <si>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</si>
  <si>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</si>
  <si>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</si>
  <si>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</si>
  <si>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</si>
  <si>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</si>
  <si>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</si>
  <si>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</si>
  <si>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</si>
  <si>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</si>
  <si>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</si>
  <si>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</si>
  <si>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</si>
  <si>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</si>
  <si>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</si>
  <si>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</si>
  <si>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</si>
  <si>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</si>
  <si>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</si>
  <si>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</si>
  <si>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</si>
  <si>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</si>
  <si>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</si>
  <si>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</si>
  <si>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</si>
  <si>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</si>
  <si>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</si>
  <si>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</si>
  <si>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</si>
  <si>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</si>
  <si>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</si>
  <si>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</si>
  <si>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</si>
  <si>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</si>
  <si>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</si>
  <si>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</si>
  <si>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</si>
  <si>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</si>
  <si>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</si>
  <si>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</si>
  <si>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</si>
  <si>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</si>
  <si>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</si>
  <si>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</si>
  <si>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</si>
  <si>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</si>
  <si>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</si>
  <si>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</si>
  <si>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</si>
  <si>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</si>
  <si>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</si>
  <si>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</si>
  <si>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</si>
  <si>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</si>
  <si>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</si>
  <si>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</si>
  <si>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</si>
  <si>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</si>
  <si>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</si>
  <si>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</si>
  <si>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</si>
  <si>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</si>
  <si>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</si>
  <si>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</si>
  <si>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</si>
  <si>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</si>
  <si>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</si>
  <si>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</si>
  <si>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</si>
  <si>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</si>
  <si>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</si>
  <si>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</si>
  <si>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</si>
  <si>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</si>
  <si>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</si>
  <si>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</si>
  <si>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</si>
  <si>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</si>
  <si>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</si>
  <si>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</si>
  <si>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</si>
  <si>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</si>
  <si>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</si>
  <si>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</si>
  <si>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</si>
  <si>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</si>
  <si>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</si>
  <si>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</si>
  <si>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</si>
  <si>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</si>
  <si>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</si>
  <si>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</si>
  <si>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</si>
  <si>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</si>
  <si>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</si>
  <si>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</si>
  <si>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</si>
  <si>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</si>
  <si>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</si>
  <si>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</si>
  <si>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</si>
  <si>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</si>
  <si>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</si>
  <si>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</si>
  <si>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</si>
  <si>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</si>
  <si>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</si>
  <si>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</si>
  <si>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</si>
  <si>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</si>
  <si>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</si>
  <si>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</si>
  <si>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</si>
  <si>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</si>
  <si>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</si>
  <si>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</si>
  <si>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</si>
  <si>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</si>
  <si>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</si>
  <si>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</si>
  <si>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</si>
  <si>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</si>
  <si>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</si>
  <si>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</si>
  <si>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</si>
  <si>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</si>
  <si>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</si>
  <si>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</si>
  <si>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</si>
  <si>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</si>
  <si>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</si>
  <si>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</si>
  <si>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</si>
  <si>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</si>
  <si>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</si>
  <si>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</si>
  <si>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</si>
  <si>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</si>
  <si>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</si>
  <si>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</si>
  <si>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</si>
  <si>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</si>
  <si>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</si>
  <si>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</si>
  <si>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</si>
  <si>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</si>
  <si>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</si>
  <si>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</si>
  <si>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</si>
  <si>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</si>
  <si>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</si>
  <si>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</si>
  <si>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</si>
  <si>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</si>
  <si>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</si>
  <si>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</si>
  <si>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</si>
  <si>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</si>
  <si>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</si>
  <si>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</si>
  <si>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</si>
  <si>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</si>
  <si>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</si>
  <si>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</si>
  <si>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</si>
  <si>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</si>
  <si>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</si>
  <si>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</si>
  <si>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</si>
  <si>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</si>
  <si>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</si>
  <si>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</si>
  <si>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</si>
  <si>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</si>
  <si>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</si>
  <si>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</si>
  <si>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</si>
  <si>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</si>
  <si>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</si>
  <si>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</si>
  <si>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</si>
  <si>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</si>
  <si>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</si>
  <si>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</si>
  <si>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</si>
  <si>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</si>
  <si>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</si>
  <si>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</si>
  <si>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</si>
  <si>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</si>
  <si>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</si>
  <si>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</si>
  <si>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</si>
  <si>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</si>
  <si>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</si>
  <si>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</si>
  <si>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</si>
  <si>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</si>
  <si>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</si>
  <si>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</si>
  <si>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</si>
  <si>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</si>
  <si>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</si>
  <si>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</si>
  <si>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</si>
  <si>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</si>
  <si>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</si>
  <si>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</si>
  <si>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</si>
  <si>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</si>
  <si>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</si>
  <si>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</si>
  <si>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</si>
  <si>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</si>
  <si>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</si>
  <si>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</si>
  <si>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</si>
  <si>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</si>
  <si>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</si>
  <si>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</si>
  <si>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</si>
  <si>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</si>
  <si>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</si>
  <si>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</si>
  <si>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</si>
  <si>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</si>
  <si>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</si>
  <si>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</si>
  <si>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</si>
  <si>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</si>
  <si>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</si>
  <si>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</si>
  <si>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</si>
  <si>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</si>
  <si>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</si>
  <si>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</si>
  <si>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</si>
  <si>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</si>
  <si>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</si>
  <si>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</si>
  <si>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</si>
  <si>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</si>
  <si>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</si>
  <si>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</si>
  <si>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</si>
  <si>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</si>
  <si>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</si>
  <si>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</si>
  <si>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</si>
  <si>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</si>
  <si>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</si>
  <si>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</si>
  <si>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</si>
  <si>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</si>
  <si>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</si>
  <si>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</si>
  <si>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</si>
  <si>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</si>
  <si>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</si>
  <si>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</si>
  <si>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</si>
  <si>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</si>
  <si>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</si>
  <si>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</si>
  <si>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</si>
  <si>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</si>
  <si>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</si>
  <si>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</si>
  <si>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</si>
  <si>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</si>
  <si>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</si>
  <si>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</si>
  <si>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</si>
  <si>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</si>
  <si>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</si>
  <si>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</si>
  <si>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</si>
  <si>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</si>
  <si>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</si>
  <si>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</si>
  <si>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</si>
  <si>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</si>
  <si>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</si>
  <si>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</si>
  <si>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</si>
  <si>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</si>
  <si>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</si>
  <si>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</si>
  <si>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</si>
  <si>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</si>
  <si>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</si>
  <si>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</si>
  <si>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</si>
  <si>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</si>
  <si>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</si>
  <si>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</si>
  <si>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</si>
  <si>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</si>
  <si>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</si>
  <si>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</si>
  <si>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</si>
  <si>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</si>
  <si>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</si>
  <si>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</si>
  <si>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</si>
  <si>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</si>
  <si>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</si>
  <si>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</si>
  <si>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</si>
  <si>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</si>
  <si>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</si>
  <si>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</si>
  <si>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</si>
  <si>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</si>
  <si>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</si>
  <si>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</si>
  <si>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</si>
  <si>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</si>
  <si>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</si>
  <si>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</si>
  <si>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</si>
  <si>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</si>
  <si>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</si>
  <si>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</si>
  <si>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</si>
  <si>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</si>
  <si>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</si>
  <si>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</si>
  <si>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</si>
  <si>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</si>
  <si>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</si>
  <si>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</si>
  <si>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</si>
  <si>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</si>
  <si>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</si>
  <si>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</si>
  <si>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</si>
  <si>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</si>
  <si>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</si>
  <si>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</si>
  <si>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</si>
  <si>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</si>
  <si>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</si>
  <si>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</si>
  <si>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</si>
  <si>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</si>
  <si>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</si>
  <si>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</si>
  <si>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</si>
  <si>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</si>
  <si>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</si>
  <si>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</si>
  <si>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</si>
  <si>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</si>
  <si>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</si>
  <si>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</si>
  <si>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</si>
  <si>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</si>
  <si>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</si>
  <si>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</si>
  <si>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</si>
  <si>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</si>
  <si>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</si>
  <si>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</si>
  <si>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</si>
  <si>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</si>
  <si>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</si>
  <si>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</si>
  <si>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</si>
  <si>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</si>
  <si>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</si>
  <si>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</si>
  <si>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</si>
  <si>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</si>
  <si>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</si>
  <si>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</si>
  <si>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</si>
  <si>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</si>
  <si>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</si>
  <si>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</si>
  <si>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</si>
  <si>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</si>
  <si>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</si>
  <si>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</si>
  <si>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</si>
  <si>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</si>
  <si>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</si>
  <si>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</si>
  <si>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</si>
  <si>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</si>
  <si>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</si>
  <si>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</si>
  <si>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</si>
  <si>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</si>
  <si>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</si>
  <si>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</si>
  <si>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</si>
  <si>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</si>
  <si>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</si>
  <si>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</si>
  <si>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</si>
  <si>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</si>
  <si>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</si>
  <si>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</si>
  <si>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</si>
  <si>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</si>
  <si>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</si>
  <si>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</si>
  <si>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</si>
  <si>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</si>
  <si>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</si>
  <si>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</si>
  <si>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</si>
  <si>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</si>
  <si>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</si>
  <si>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</si>
  <si>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</si>
  <si>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</si>
  <si>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</si>
  <si>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</si>
  <si>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</si>
  <si>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</si>
  <si>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</si>
  <si>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</si>
  <si>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</si>
  <si>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</si>
  <si>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</si>
  <si>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</si>
  <si>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</si>
  <si>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</si>
  <si>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</si>
  <si>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</si>
  <si>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</si>
  <si>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</si>
  <si>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</si>
  <si>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</si>
  <si>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</si>
  <si>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</si>
  <si>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</si>
  <si>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</si>
  <si>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</si>
  <si>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</si>
  <si>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</si>
  <si>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</si>
  <si>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</si>
  <si>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</si>
  <si>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</si>
  <si>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</si>
  <si>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</si>
  <si>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</si>
  <si>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</si>
  <si>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</si>
  <si>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</si>
  <si>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</si>
  <si>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</si>
  <si>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</si>
  <si>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</si>
  <si>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</si>
  <si>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</si>
  <si>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</si>
  <si>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</si>
  <si>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</si>
  <si>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</si>
  <si>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</si>
  <si>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</si>
  <si>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</si>
  <si>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</si>
  <si>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</si>
  <si>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</si>
  <si>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</si>
  <si>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</si>
  <si>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</si>
  <si>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</si>
  <si>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</si>
  <si>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</si>
  <si>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</si>
  <si>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</si>
  <si>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</si>
  <si>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</si>
  <si>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</si>
  <si>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</si>
  <si>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</si>
  <si>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</si>
  <si>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</si>
  <si>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</si>
  <si>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</si>
  <si>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</si>
  <si>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</si>
  <si>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</si>
  <si>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</si>
  <si>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</si>
  <si>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</si>
  <si>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</si>
  <si>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</si>
  <si>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</si>
  <si>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</si>
  <si>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</si>
  <si>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</si>
  <si>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</si>
  <si>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</si>
  <si>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</si>
  <si>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</si>
  <si>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</si>
  <si>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</si>
  <si>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</si>
  <si>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</si>
  <si>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</si>
  <si>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</si>
  <si>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</si>
  <si>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</si>
  <si>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</si>
  <si>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</si>
  <si>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</si>
  <si>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</si>
  <si>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</si>
  <si>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</si>
  <si>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</si>
  <si>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</si>
  <si>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</si>
  <si>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</si>
  <si>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</si>
  <si>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</si>
  <si>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</si>
  <si>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</si>
  <si>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</si>
  <si>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</si>
  <si>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</si>
  <si>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</si>
  <si>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</si>
  <si>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</si>
  <si>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</si>
  <si>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</si>
  <si>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</si>
  <si>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</si>
  <si>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</si>
  <si>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</si>
  <si>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</si>
  <si>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</si>
  <si>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</si>
  <si>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</si>
  <si>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</si>
  <si>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</si>
  <si>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</si>
  <si>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</si>
  <si>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</si>
  <si>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</si>
  <si>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</si>
  <si>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</si>
  <si>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</si>
  <si>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</si>
  <si>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</si>
  <si>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</si>
  <si>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</si>
  <si>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</si>
  <si>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</si>
  <si>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</si>
  <si>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</si>
  <si>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</si>
  <si>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</si>
  <si>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</si>
  <si>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</si>
  <si>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</si>
  <si>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</si>
  <si>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</si>
  <si>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</si>
  <si>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</si>
  <si>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</si>
  <si>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</si>
  <si>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</si>
  <si>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</si>
  <si>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</si>
  <si>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</si>
  <si>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</si>
  <si>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</si>
  <si>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</si>
  <si>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</si>
  <si>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</si>
  <si>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</si>
  <si>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</si>
  <si>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</si>
  <si>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</si>
  <si>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</si>
  <si>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</si>
  <si>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</si>
  <si>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</si>
  <si>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</si>
  <si>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</si>
  <si>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</si>
  <si>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</si>
  <si>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</si>
  <si>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</si>
  <si>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</si>
  <si>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</si>
  <si>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</si>
  <si>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</si>
  <si>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</si>
  <si>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</si>
  <si>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</si>
  <si>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</si>
  <si>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</si>
  <si>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</si>
  <si>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</si>
  <si>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</si>
  <si>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</si>
  <si>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</si>
  <si>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</si>
  <si>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</si>
  <si>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</si>
  <si>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</si>
  <si>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</si>
  <si>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</si>
  <si>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</si>
  <si>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</si>
  <si>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</si>
  <si>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</si>
  <si>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</si>
  <si>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</si>
  <si>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</si>
  <si>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</si>
  <si>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</si>
  <si>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</si>
  <si>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</si>
  <si>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</si>
  <si>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</si>
  <si>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</si>
  <si>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</si>
  <si>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</si>
  <si>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</si>
  <si>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</si>
  <si>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</si>
  <si>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</si>
  <si>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</si>
  <si>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</si>
  <si>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</si>
  <si>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</si>
  <si>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</si>
  <si>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</si>
  <si>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</si>
  <si>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</si>
  <si>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</si>
  <si>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</si>
  <si>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</si>
  <si>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</si>
  <si>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</si>
  <si>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</si>
  <si>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</si>
  <si>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</si>
  <si>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</si>
  <si>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</si>
  <si>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</si>
  <si>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</si>
  <si>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</si>
  <si>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</si>
  <si>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</si>
  <si>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</si>
  <si>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</si>
  <si>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</si>
  <si>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</si>
  <si>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</si>
  <si>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</si>
  <si>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</si>
  <si>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</si>
  <si>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</si>
  <si>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</si>
  <si>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</si>
  <si>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</si>
  <si>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</si>
  <si>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</si>
  <si>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</si>
  <si>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</si>
  <si>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</si>
  <si>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</si>
  <si>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</si>
  <si>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</si>
  <si>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</si>
  <si>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</si>
  <si>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</si>
  <si>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</si>
  <si>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</si>
  <si>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</si>
  <si>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</si>
  <si>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</si>
  <si>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</si>
  <si>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</si>
  <si>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</si>
  <si>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</si>
  <si>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</si>
  <si>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</si>
  <si>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</si>
  <si>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</si>
  <si>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</si>
  <si>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</si>
  <si>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</si>
  <si>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</si>
  <si>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</si>
  <si>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</si>
  <si>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</si>
  <si>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</si>
  <si>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</si>
  <si>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</si>
  <si>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</si>
  <si>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</si>
  <si>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</si>
  <si>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</si>
  <si>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</si>
  <si>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</si>
  <si>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</si>
  <si>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</si>
  <si>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</si>
  <si>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</si>
  <si>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</si>
  <si>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</si>
  <si>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</si>
  <si>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</si>
  <si>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</si>
  <si>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</si>
  <si>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</si>
  <si>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</si>
  <si>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</si>
  <si>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</si>
  <si>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</si>
  <si>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</si>
  <si>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</si>
  <si>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</si>
  <si>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</si>
  <si>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</si>
  <si>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</si>
  <si>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</si>
  <si>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</si>
  <si>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</si>
  <si>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</si>
  <si>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</si>
  <si>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</si>
  <si>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</si>
  <si>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</si>
  <si>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</si>
  <si>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</si>
  <si>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</si>
  <si>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</si>
  <si>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</si>
  <si>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</si>
  <si>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</si>
  <si>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</si>
  <si>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</si>
  <si>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</si>
  <si>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</si>
  <si>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</si>
  <si>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</si>
  <si>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</si>
  <si>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</si>
  <si>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</si>
  <si>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</si>
  <si>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</si>
  <si>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</si>
  <si>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</si>
  <si>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</si>
  <si>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</si>
  <si>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</si>
  <si>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</si>
  <si>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</si>
  <si>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</si>
  <si>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</si>
  <si>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</si>
  <si>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</si>
  <si>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</si>
  <si>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</si>
  <si>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</si>
  <si>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</si>
  <si>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</si>
  <si>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</si>
  <si>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</si>
  <si>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</si>
  <si>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</si>
  <si>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</si>
  <si>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</si>
  <si>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</si>
  <si>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</si>
  <si>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</si>
  <si>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</si>
  <si>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</si>
  <si>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</si>
  <si>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</si>
  <si>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</si>
  <si>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</si>
  <si>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</si>
  <si>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</si>
  <si>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</si>
  <si>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</si>
  <si>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</si>
  <si>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</si>
  <si>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</si>
  <si>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</si>
  <si>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</si>
  <si>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</si>
  <si>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</si>
  <si>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</si>
  <si>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</si>
  <si>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</si>
  <si>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</si>
  <si>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</si>
  <si>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</si>
  <si>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</si>
  <si>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</si>
  <si>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</si>
  <si>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</si>
  <si>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</si>
  <si>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</si>
  <si>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</si>
  <si>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</si>
  <si>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</si>
  <si>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</si>
  <si>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</si>
  <si>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</si>
  <si>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</si>
  <si>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</si>
  <si>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</si>
  <si>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</si>
  <si>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</si>
  <si>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</si>
  <si>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</si>
  <si>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</si>
  <si>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</si>
  <si>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</si>
  <si>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</si>
  <si>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</si>
  <si>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</si>
  <si>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</si>
  <si>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</si>
  <si>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</si>
  <si>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</si>
  <si>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</si>
  <si>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</si>
  <si>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</si>
  <si>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</si>
  <si>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</si>
  <si>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</si>
  <si>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</si>
  <si>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</si>
  <si>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</si>
  <si>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</si>
  <si>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</si>
  <si>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</si>
  <si>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</si>
  <si>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</si>
  <si>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</si>
  <si>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</si>
  <si>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</si>
  <si>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</si>
  <si>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</si>
  <si>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</si>
  <si>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</si>
  <si>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</si>
  <si>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</si>
  <si>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</si>
  <si>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</si>
  <si>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</si>
  <si>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</si>
  <si>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</si>
  <si>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</si>
  <si>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</si>
  <si>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</si>
  <si>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</si>
  <si>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</si>
  <si>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</si>
  <si>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</si>
  <si>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</si>
  <si>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</si>
  <si>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</si>
  <si>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</si>
  <si>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</si>
  <si>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</si>
  <si>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</si>
  <si>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</si>
  <si>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</si>
  <si>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</si>
  <si>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</si>
  <si>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</si>
  <si>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</si>
  <si>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</si>
  <si>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</si>
  <si>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</si>
  <si>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</si>
  <si>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</si>
  <si>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</si>
  <si>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</si>
  <si>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</si>
  <si>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</si>
  <si>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</si>
  <si>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</si>
  <si>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</si>
  <si>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</si>
  <si>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</si>
  <si>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</si>
  <si>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</si>
  <si>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</si>
  <si>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</si>
  <si>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</si>
  <si>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</si>
  <si>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</si>
  <si>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</si>
  <si>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</si>
  <si>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</si>
  <si>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</si>
  <si>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</si>
  <si>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</si>
  <si>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</si>
  <si>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</si>
  <si>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</si>
  <si>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</si>
  <si>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</si>
  <si>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</si>
  <si>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</si>
  <si>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</si>
  <si>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</si>
  <si>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</si>
  <si>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</si>
  <si>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</si>
  <si>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</si>
  <si>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</si>
  <si>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</si>
  <si>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</si>
  <si>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</si>
  <si>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</si>
  <si>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</si>
  <si>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</si>
  <si>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</si>
  <si>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</si>
  <si>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</si>
  <si>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</si>
  <si>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</si>
  <si>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</si>
  <si>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</si>
  <si>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</si>
  <si>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</si>
  <si>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</si>
  <si>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</si>
  <si>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</si>
  <si>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</si>
  <si>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</si>
  <si>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</si>
  <si>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</si>
  <si>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</si>
  <si>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</si>
  <si>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</si>
  <si>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</si>
  <si>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</si>
  <si>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</si>
  <si>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</si>
  <si>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</si>
  <si>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</si>
  <si>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</si>
  <si>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</si>
  <si>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</si>
  <si>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</si>
  <si>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</si>
  <si>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</si>
  <si>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</si>
  <si>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</si>
  <si>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</si>
  <si>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</si>
  <si>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</si>
  <si>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</si>
  <si>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</si>
  <si>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</si>
  <si>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</si>
  <si>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</si>
  <si>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</si>
  <si>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</si>
  <si>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</si>
  <si>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</si>
  <si>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</si>
  <si>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</si>
  <si>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</si>
  <si>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</si>
  <si>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</si>
  <si>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</si>
  <si>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</si>
  <si>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</si>
  <si>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</si>
  <si>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</si>
  <si>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</si>
  <si>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</si>
  <si>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</si>
  <si>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</si>
  <si>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</si>
  <si>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</si>
  <si>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</si>
  <si>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</si>
  <si>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</si>
  <si>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</si>
  <si>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</si>
  <si>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</si>
  <si>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</si>
  <si>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</si>
  <si>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</si>
  <si>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</si>
  <si>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</si>
  <si>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</si>
  <si>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</si>
  <si>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</si>
  <si>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</si>
  <si>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</si>
  <si>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</si>
  <si>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</si>
  <si>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</si>
  <si>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</si>
  <si>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</si>
  <si>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</si>
  <si>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</si>
  <si>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</si>
  <si>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</si>
  <si>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</si>
  <si>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</si>
  <si>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</si>
  <si>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</si>
  <si>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</si>
  <si>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</si>
  <si>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</si>
  <si>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</si>
  <si>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</si>
  <si>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</si>
  <si>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</si>
  <si>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</si>
  <si>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</si>
  <si>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</si>
  <si>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</si>
  <si>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</si>
  <si>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</si>
  <si>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</si>
  <si>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</si>
  <si>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</si>
  <si>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</si>
  <si>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</si>
  <si>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</si>
  <si>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</si>
  <si>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</si>
  <si>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</si>
  <si>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</si>
  <si>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</si>
  <si>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</si>
  <si>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</si>
  <si>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</si>
  <si>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</si>
  <si>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</si>
  <si>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</si>
  <si>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</si>
  <si>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</si>
  <si>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</si>
  <si>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</si>
  <si>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</si>
  <si>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</si>
  <si>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</si>
  <si>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</si>
  <si>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</si>
  <si>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</si>
  <si>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</si>
  <si>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</si>
  <si>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</si>
  <si>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</si>
  <si>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</si>
  <si>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</si>
  <si>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</si>
  <si>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</si>
  <si>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</si>
  <si>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</si>
  <si>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</si>
  <si>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</si>
  <si>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</si>
  <si>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</si>
  <si>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</si>
  <si>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</si>
  <si>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</si>
  <si>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</si>
  <si>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</si>
  <si>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Z2_OLBV_T3_s3</t>
  </si>
  <si>
    <t>tardives + vides</t>
  </si>
  <si>
    <t>(ancien lot de vides)</t>
  </si>
  <si>
    <t>suppression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</si>
</sst>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4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2" t="s">
        <v>2</v>
      </c>
      <c r="H1" s="292"/>
      <c r="I1" s="292" t="s">
        <v>0</v>
      </c>
      <c r="J1" s="292"/>
      <c r="K1" s="292" t="s">
        <v>1</v>
      </c>
      <c r="L1" s="292"/>
      <c r="M1" s="292" t="s">
        <v>3</v>
      </c>
      <c r="N1" s="292"/>
      <c r="O1" s="292" t="s">
        <v>4</v>
      </c>
      <c r="P1" s="292"/>
      <c r="Q1" s="292" t="s">
        <v>5</v>
      </c>
      <c r="R1" s="292"/>
      <c r="S1" s="292" t="s">
        <v>6</v>
      </c>
      <c r="T1" s="292"/>
      <c r="U1" s="292" t="s">
        <v>7</v>
      </c>
      <c r="V1" s="292"/>
      <c r="W1" s="292" t="s">
        <v>8</v>
      </c>
      <c r="X1" s="292"/>
      <c r="Y1" s="292" t="s">
        <v>9</v>
      </c>
      <c r="Z1" s="292"/>
      <c r="AA1" s="292" t="s">
        <v>10</v>
      </c>
      <c r="AB1" s="292"/>
      <c r="AC1" s="292" t="s">
        <v>11</v>
      </c>
      <c r="AD1" s="292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49.783000000000001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187.66581429912759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0.26579494897959188</v>
      </c>
      <c r="H5" s="143">
        <f>CdTrp1!C215+CdTrp2!C215+CdTrp3!C215+CdTrp4!C215</f>
        <v>0.2400728571428572</v>
      </c>
      <c r="I5" s="143">
        <f>CdTrp1!D215+CdTrp2!D215+CdTrp3!D215+CdTrp4!D215</f>
        <v>0.38721428571428573</v>
      </c>
      <c r="J5" s="143">
        <f>CdTrp1!E215+CdTrp2!E215+CdTrp3!E215+CdTrp4!E215</f>
        <v>0.3407485714285714</v>
      </c>
      <c r="K5" s="143">
        <f>CdTrp1!F215+CdTrp2!F215+CdTrp3!F215+CdTrp4!F215</f>
        <v>3.0112809439455788</v>
      </c>
      <c r="L5" s="143">
        <f>CdTrp1!G215+CdTrp2!G215+CdTrp3!G215+CdTrp4!G215</f>
        <v>2.9790399506802725</v>
      </c>
      <c r="M5" s="143">
        <f>CdTrp1!H215+CdTrp2!H215+CdTrp3!H215+CdTrp4!H215</f>
        <v>4.4265686591836735</v>
      </c>
      <c r="N5" s="143">
        <f>CdTrp1!I215+CdTrp2!I215+CdTrp3!I215+CdTrp4!I215</f>
        <v>4.4491019775510203</v>
      </c>
      <c r="O5" s="143">
        <f>CdTrp1!J215+CdTrp2!J215+CdTrp3!J215+CdTrp4!J215</f>
        <v>3.6803564724489801</v>
      </c>
      <c r="P5" s="143">
        <f>CdTrp1!K215+CdTrp2!K215+CdTrp3!K215+CdTrp4!K215</f>
        <v>3.9051306208163266</v>
      </c>
      <c r="Q5" s="143">
        <f>CdTrp1!L215+CdTrp2!L215+CdTrp3!L215+CdTrp4!L215</f>
        <v>4.1453476408163263</v>
      </c>
      <c r="R5" s="143">
        <f>CdTrp1!M215+CdTrp2!M215+CdTrp3!M215+CdTrp4!M215</f>
        <v>5.0085887020408171</v>
      </c>
      <c r="S5" s="143">
        <f>CdTrp1!N215+CdTrp2!N215+CdTrp3!N215+CdTrp4!N215</f>
        <v>5.1755416587755105</v>
      </c>
      <c r="T5" s="143">
        <f>CdTrp1!O215+CdTrp2!O215+CdTrp3!O215+CdTrp4!O215</f>
        <v>5.1755416587755105</v>
      </c>
      <c r="U5" s="143">
        <f>CdTrp1!P215+CdTrp2!P215+CdTrp3!P215+CdTrp4!P215</f>
        <v>5.8925592587755107</v>
      </c>
      <c r="V5" s="143">
        <f>CdTrp1!Q215+CdTrp2!Q215+CdTrp3!Q215+CdTrp4!Q215</f>
        <v>5.8925592587755107</v>
      </c>
      <c r="W5" s="143">
        <f>CdTrp1!R215+CdTrp2!R215+CdTrp3!R215+CdTrp4!R215</f>
        <v>3.8893079387755103</v>
      </c>
      <c r="X5" s="143">
        <f>CdTrp1!S215+CdTrp2!S215+CdTrp3!S215+CdTrp4!S215</f>
        <v>3.7286246479591836</v>
      </c>
      <c r="Y5" s="143">
        <f>CdTrp1!T215+CdTrp2!T215+CdTrp3!T215+CdTrp4!T215</f>
        <v>3.5168101362244903</v>
      </c>
      <c r="Z5" s="143">
        <f>CdTrp1!U215+CdTrp2!U215+CdTrp3!U215+CdTrp4!U215</f>
        <v>3.3487591362244906</v>
      </c>
      <c r="AA5" s="143">
        <f>CdTrp1!V215+CdTrp2!V215+CdTrp3!V215+CdTrp4!V215</f>
        <v>1.5051987321428573</v>
      </c>
      <c r="AB5" s="143">
        <f>CdTrp1!W215+CdTrp2!W215+CdTrp3!W215+CdTrp4!W215</f>
        <v>4.7945088010204078</v>
      </c>
      <c r="AC5" s="143">
        <f>CdTrp1!X215+CdTrp2!X215+CdTrp3!X215+CdTrp4!X215</f>
        <v>0.79738484693877543</v>
      </c>
      <c r="AD5" s="143">
        <f>CdTrp1!Y215+CdTrp2!Y215+CdTrp3!Y215+CdTrp4!Y215</f>
        <v>0.79738484693877543</v>
      </c>
      <c r="AE5" s="153"/>
      <c r="AF5" s="144">
        <f>AF8+AF9</f>
        <v>134.53036405207484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2.8093333333333339</v>
      </c>
      <c r="K6" s="143">
        <f>CdTrp1!F216+CdTrp2!F216+CdTrp3!F216+CdTrp4!F216</f>
        <v>2.17</v>
      </c>
      <c r="L6" s="143">
        <f>CdTrp1!G216+CdTrp2!G216+CdTrp3!G216+CdTrp4!G216</f>
        <v>2.17</v>
      </c>
      <c r="M6" s="143">
        <f>CdTrp1!H216+CdTrp2!H216+CdTrp3!H216+CdTrp4!H216</f>
        <v>2.1</v>
      </c>
      <c r="N6" s="143">
        <f>CdTrp1!I216+CdTrp2!I216+CdTrp3!I216+CdTrp4!I216</f>
        <v>1.7850000000000004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2.4544895833333324</v>
      </c>
      <c r="Z6" s="143">
        <f>CdTrp1!U216+CdTrp2!U216+CdTrp3!U216+CdTrp4!U216</f>
        <v>2.4544895833333324</v>
      </c>
      <c r="AA6" s="143">
        <f>CdTrp1!V216+CdTrp2!V216+CdTrp3!V216+CdTrp4!V216</f>
        <v>2.4649999999999999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187.7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0.26579494897959188</v>
      </c>
      <c r="H8" s="143">
        <f t="shared" ref="H8:AD8" si="0">SUM(H5:H7)</f>
        <v>0.2400728571428572</v>
      </c>
      <c r="I8" s="143">
        <f t="shared" si="0"/>
        <v>1.2365476190476192</v>
      </c>
      <c r="J8" s="143">
        <f t="shared" si="0"/>
        <v>3.1500819047619055</v>
      </c>
      <c r="K8" s="143">
        <f t="shared" si="0"/>
        <v>5.1812809439455787</v>
      </c>
      <c r="L8" s="143">
        <f t="shared" si="0"/>
        <v>5.1490399506802724</v>
      </c>
      <c r="M8" s="143">
        <f t="shared" si="0"/>
        <v>6.526568659183674</v>
      </c>
      <c r="N8" s="143">
        <f t="shared" si="0"/>
        <v>6.2341019775510205</v>
      </c>
      <c r="O8" s="143">
        <f t="shared" si="0"/>
        <v>3.6803564724489801</v>
      </c>
      <c r="P8" s="143">
        <f t="shared" si="0"/>
        <v>3.9051306208163266</v>
      </c>
      <c r="Q8" s="143">
        <f t="shared" si="0"/>
        <v>4.1453476408163263</v>
      </c>
      <c r="R8" s="143">
        <f t="shared" si="0"/>
        <v>5.0085887020408171</v>
      </c>
      <c r="S8" s="143">
        <f t="shared" si="0"/>
        <v>5.1755416587755105</v>
      </c>
      <c r="T8" s="143">
        <f t="shared" si="0"/>
        <v>5.1755416587755105</v>
      </c>
      <c r="U8" s="143">
        <f t="shared" si="0"/>
        <v>5.8925592587755107</v>
      </c>
      <c r="V8" s="143">
        <f t="shared" si="0"/>
        <v>5.8925592587755107</v>
      </c>
      <c r="W8" s="143">
        <f t="shared" si="0"/>
        <v>3.8893079387755103</v>
      </c>
      <c r="X8" s="143">
        <f t="shared" si="0"/>
        <v>3.7286246479591836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4.7945088010204078</v>
      </c>
      <c r="AC8" s="143">
        <f t="shared" si="0"/>
        <v>0.79738484693877543</v>
      </c>
      <c r="AD8" s="143">
        <f t="shared" si="0"/>
        <v>0.79738484693877543</v>
      </c>
      <c r="AE8" s="153"/>
      <c r="AF8" s="144">
        <f>SUM(G8:AD8)</f>
        <v>96.611072385408164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3.7406250000000005</v>
      </c>
      <c r="S9" s="143">
        <f>CdTrp1!N218+CdTrp2!N218+CdTrp3!N218+CdTrp4!N218</f>
        <v>3.8653124999999999</v>
      </c>
      <c r="T9" s="143">
        <f>CdTrp1!O218+CdTrp2!O218+CdTrp3!O218+CdTrp4!O218</f>
        <v>3.8653124999999999</v>
      </c>
      <c r="U9" s="143">
        <f>CdTrp1!P218+CdTrp2!P218+CdTrp3!P218+CdTrp4!P218</f>
        <v>3.8653124999999999</v>
      </c>
      <c r="V9" s="143">
        <f>CdTrp1!Q218+CdTrp2!Q218+CdTrp3!Q218+CdTrp4!Q218</f>
        <v>3.8653124999999999</v>
      </c>
      <c r="W9" s="143">
        <f>CdTrp1!R218+CdTrp2!R218+CdTrp3!R218+CdTrp4!R218</f>
        <v>3.7406250000000005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37.919291666666673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26</v>
      </c>
      <c r="H18" s="157">
        <f>G18/$G$17</f>
        <v>0.61176470588235299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6.5</v>
      </c>
      <c r="H19" s="157">
        <f t="shared" ref="H19:H21" si="1">G19/$G$17</f>
        <v>0.15294117647058825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4</v>
      </c>
      <c r="H21" s="157">
        <f t="shared" si="1"/>
        <v>9.4117647058823528E-2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24" zoomScale="90" zoomScaleNormal="90" workbookViewId="0">
      <selection activeCell="Q29" sqref="Q29:R3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3" t="s">
        <v>250</v>
      </c>
      <c r="AT2" s="293"/>
      <c r="AU2" s="292" t="s">
        <v>251</v>
      </c>
      <c r="AV2" s="292"/>
      <c r="AW2" s="292" t="s">
        <v>252</v>
      </c>
      <c r="AX2" s="292"/>
      <c r="AY2" s="292" t="s">
        <v>253</v>
      </c>
      <c r="AZ2" s="292"/>
      <c r="BA2" s="292" t="s">
        <v>254</v>
      </c>
      <c r="BB2" s="292"/>
      <c r="BC2" s="292" t="s">
        <v>255</v>
      </c>
      <c r="BD2" s="292"/>
      <c r="BE2" s="292" t="s">
        <v>256</v>
      </c>
      <c r="BF2" s="292"/>
      <c r="BG2" s="292" t="s">
        <v>257</v>
      </c>
      <c r="BH2" s="292"/>
      <c r="BI2" s="292" t="s">
        <v>258</v>
      </c>
      <c r="BJ2" s="292"/>
      <c r="BK2" s="292" t="s">
        <v>259</v>
      </c>
      <c r="BL2" s="292"/>
      <c r="BM2" s="292" t="s">
        <v>260</v>
      </c>
      <c r="BN2" s="292"/>
      <c r="BO2" s="292" t="s">
        <v>261</v>
      </c>
      <c r="BP2" s="292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0.26579494897959188</v>
      </c>
      <c r="AT5" s="13">
        <f>'Conduite Trp'!H8</f>
        <v>0.2400728571428572</v>
      </c>
      <c r="AU5" s="13">
        <f>'Conduite Trp'!I8</f>
        <v>1.2365476190476192</v>
      </c>
      <c r="AV5" s="13">
        <f>'Conduite Trp'!J8</f>
        <v>3.1500819047619055</v>
      </c>
      <c r="AW5" s="13">
        <f>'Conduite Trp'!K8</f>
        <v>5.1812809439455787</v>
      </c>
      <c r="AX5" s="13">
        <f>'Conduite Trp'!L8</f>
        <v>5.1490399506802724</v>
      </c>
      <c r="AY5" s="13">
        <f>'Conduite Trp'!M8</f>
        <v>6.526568659183674</v>
      </c>
      <c r="AZ5" s="13">
        <f>'Conduite Trp'!N8</f>
        <v>6.2341019775510205</v>
      </c>
      <c r="BA5" s="13">
        <f>'Conduite Trp'!O8</f>
        <v>3.6803564724489801</v>
      </c>
      <c r="BB5" s="13">
        <f>'Conduite Trp'!P8</f>
        <v>3.9051306208163266</v>
      </c>
      <c r="BC5" s="13">
        <f>'Conduite Trp'!Q8</f>
        <v>4.1453476408163263</v>
      </c>
      <c r="BD5" s="13">
        <f>'Conduite Trp'!R8</f>
        <v>5.0085887020408171</v>
      </c>
      <c r="BE5" s="13">
        <f>'Conduite Trp'!S8</f>
        <v>5.1755416587755105</v>
      </c>
      <c r="BF5" s="13">
        <f>'Conduite Trp'!T8</f>
        <v>5.1755416587755105</v>
      </c>
      <c r="BG5" s="13">
        <f>'Conduite Trp'!U8</f>
        <v>5.8925592587755107</v>
      </c>
      <c r="BH5" s="13">
        <f>'Conduite Trp'!V8</f>
        <v>5.8925592587755107</v>
      </c>
      <c r="BI5" s="13">
        <f>'Conduite Trp'!W8</f>
        <v>3.8893079387755103</v>
      </c>
      <c r="BJ5" s="13">
        <f>'Conduite Trp'!X8</f>
        <v>3.7286246479591836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4.7945088010204078</v>
      </c>
      <c r="BO5" s="13">
        <f>'Conduite Trp'!AC8</f>
        <v>0.79738484693877543</v>
      </c>
      <c r="BP5" s="13">
        <f>'Conduite Trp'!AD8</f>
        <v>0.79738484693877543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4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1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6.526568659183674</v>
      </c>
      <c r="AZ7" s="61">
        <f t="shared" si="7"/>
        <v>6.2341019775510205</v>
      </c>
      <c r="BA7" s="61">
        <f t="shared" si="7"/>
        <v>3.6803564724489801</v>
      </c>
      <c r="BB7" s="61">
        <f t="shared" si="7"/>
        <v>3.9051306208163266</v>
      </c>
      <c r="BC7" s="61">
        <f t="shared" si="7"/>
        <v>4.1453476408163263</v>
      </c>
      <c r="BD7" s="61">
        <f t="shared" si="7"/>
        <v>5.0085887020408171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29.500094072857145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49.783000000000001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/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5.1755416587755105</v>
      </c>
      <c r="BF8" s="61">
        <f t="shared" si="8"/>
        <v>5.1755416587755105</v>
      </c>
      <c r="BG8" s="61">
        <f t="shared" si="8"/>
        <v>5.8925592587755107</v>
      </c>
      <c r="BH8" s="61">
        <f t="shared" si="8"/>
        <v>5.8925592587755107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22.136201835102042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49.783000000000001</v>
      </c>
      <c r="G9" s="81"/>
      <c r="H9" s="61">
        <f>SUM(L34:L43)</f>
        <v>3</v>
      </c>
      <c r="I9" s="81"/>
      <c r="J9" s="81"/>
      <c r="K9" s="93">
        <f>H9-F9</f>
        <v>-46.783000000000001</v>
      </c>
      <c r="L9" s="81"/>
      <c r="M9" s="100"/>
      <c r="P9">
        <v>3</v>
      </c>
      <c r="Q9" s="286">
        <v>323</v>
      </c>
      <c r="R9" s="286">
        <v>8.5</v>
      </c>
      <c r="S9" s="285" t="str">
        <f>VLOOKUP($Q9,[1]MEP!$A$5:$D$300,3)</f>
        <v>PP EXCELLENTE pâturage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2.5</v>
      </c>
      <c r="X9" s="76">
        <f>VLOOKUP($Q9,[1]MEP!$A$4:$K$300,7)</f>
        <v>2.5</v>
      </c>
      <c r="Y9" s="76">
        <f>VLOOKUP($Q9,[1]MEP!$A$4:$K$300,8)</f>
        <v>0</v>
      </c>
      <c r="Z9" s="76">
        <f>VLOOKUP($Q9,[1]MEP!$A$4:$K$300,9)</f>
        <v>1.5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25.5</v>
      </c>
      <c r="AF9" s="61">
        <f t="shared" si="1"/>
        <v>21.25</v>
      </c>
      <c r="AG9" s="61">
        <f t="shared" si="2"/>
        <v>21.25</v>
      </c>
      <c r="AH9" s="61">
        <f t="shared" si="3"/>
        <v>0</v>
      </c>
      <c r="AI9" s="61">
        <f t="shared" si="4"/>
        <v>12.75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3.8893079387755103</v>
      </c>
      <c r="BJ9" s="61">
        <f t="shared" si="10"/>
        <v>3.7286246479591836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4.7945088010204078</v>
      </c>
      <c r="BO9" s="61">
        <f t="shared" si="10"/>
        <v>0</v>
      </c>
      <c r="BP9" s="61">
        <f t="shared" si="10"/>
        <v>0</v>
      </c>
      <c r="BR9" s="61">
        <f t="shared" si="9"/>
        <v>28.157188559013605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>
        <v>260</v>
      </c>
      <c r="R10" s="286">
        <v>1</v>
      </c>
      <c r="S10" s="285" t="str">
        <f>VLOOKUP($Q10,[1]MEP!$A$5:$D$300,3)</f>
        <v>PP bonne Prélevt étalé</v>
      </c>
      <c r="T10" s="76" t="str">
        <f>VLOOKUP($Q10,[1]MEP!$A$5:$D$300,4)</f>
        <v>zone 2</v>
      </c>
      <c r="U10" s="76" t="str">
        <f>VLOOKUP($Q10,[1]MEP!$A$4:$K$300,2)</f>
        <v>P</v>
      </c>
      <c r="V10" s="76">
        <f>VLOOKUP($Q10,[1]MEP!$A$4:$K$300,5)</f>
        <v>2</v>
      </c>
      <c r="W10" s="76">
        <f>VLOOKUP($Q10,[1]MEP!$A$4:$K$300,6)</f>
        <v>1.5</v>
      </c>
      <c r="X10" s="76">
        <f>VLOOKUP($Q10,[1]MEP!$A$4:$K$300,7)</f>
        <v>1.5</v>
      </c>
      <c r="Y10" s="76">
        <f>VLOOKUP($Q10,[1]MEP!$A$4:$K$300,8)</f>
        <v>1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2</v>
      </c>
      <c r="AF10" s="61">
        <f t="shared" si="1"/>
        <v>1.5</v>
      </c>
      <c r="AG10" s="61">
        <f t="shared" si="2"/>
        <v>1.5</v>
      </c>
      <c r="AH10" s="61">
        <f t="shared" si="3"/>
        <v>1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0.26579494897959188</v>
      </c>
      <c r="AT10" s="61">
        <f t="shared" ref="AT10:BP10" si="11">IF(AT$4=4,AT$5,0)</f>
        <v>0.2400728571428572</v>
      </c>
      <c r="AU10" s="61">
        <f t="shared" si="11"/>
        <v>1.2365476190476192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0.79738484693877543</v>
      </c>
      <c r="BP10" s="61">
        <f t="shared" si="11"/>
        <v>0.79738484693877543</v>
      </c>
      <c r="BR10" s="61">
        <f t="shared" si="9"/>
        <v>3.3371851190476187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3.1500819047619055</v>
      </c>
      <c r="AW11" s="61">
        <f t="shared" si="12"/>
        <v>5.1812809439455787</v>
      </c>
      <c r="AX11" s="61">
        <f t="shared" si="12"/>
        <v>5.1490399506802724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13.480402799387758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0.26579494897959188</v>
      </c>
      <c r="AT15" s="13">
        <f>'Conduite Trp'!H5</f>
        <v>0.2400728571428572</v>
      </c>
      <c r="AU15" s="13">
        <f>'Conduite Trp'!I5</f>
        <v>0.38721428571428573</v>
      </c>
      <c r="AV15" s="13">
        <f>'Conduite Trp'!J5</f>
        <v>0.3407485714285714</v>
      </c>
      <c r="AW15" s="13">
        <f>'Conduite Trp'!K5</f>
        <v>3.0112809439455788</v>
      </c>
      <c r="AX15" s="13">
        <f>'Conduite Trp'!L5</f>
        <v>2.9790399506802725</v>
      </c>
      <c r="AY15" s="13">
        <f>'Conduite Trp'!M5</f>
        <v>4.4265686591836735</v>
      </c>
      <c r="AZ15" s="13">
        <f>'Conduite Trp'!N5</f>
        <v>4.4491019775510203</v>
      </c>
      <c r="BA15" s="13">
        <f>'Conduite Trp'!O5</f>
        <v>3.6803564724489801</v>
      </c>
      <c r="BB15" s="13">
        <f>'Conduite Trp'!P5</f>
        <v>3.9051306208163266</v>
      </c>
      <c r="BC15" s="13">
        <f>'Conduite Trp'!Q5</f>
        <v>4.1453476408163263</v>
      </c>
      <c r="BD15" s="13">
        <f>'Conduite Trp'!R5</f>
        <v>5.0085887020408171</v>
      </c>
      <c r="BE15" s="13">
        <f>'Conduite Trp'!S5</f>
        <v>5.1755416587755105</v>
      </c>
      <c r="BF15" s="13">
        <f>'Conduite Trp'!T5</f>
        <v>5.1755416587755105</v>
      </c>
      <c r="BG15" s="13">
        <f>'Conduite Trp'!U5</f>
        <v>5.8925592587755107</v>
      </c>
      <c r="BH15" s="13">
        <f>'Conduite Trp'!V5</f>
        <v>5.8925592587755107</v>
      </c>
      <c r="BI15" s="13">
        <f>'Conduite Trp'!W5</f>
        <v>3.8893079387755103</v>
      </c>
      <c r="BJ15" s="13">
        <f>'Conduite Trp'!X5</f>
        <v>3.7286246479591836</v>
      </c>
      <c r="BK15" s="13">
        <f>'Conduite Trp'!Y5</f>
        <v>3.5168101362244903</v>
      </c>
      <c r="BL15" s="13">
        <f>'Conduite Trp'!Z5</f>
        <v>3.3487591362244906</v>
      </c>
      <c r="BM15" s="13">
        <f>'Conduite Trp'!AA5</f>
        <v>1.5051987321428573</v>
      </c>
      <c r="BN15" s="13">
        <f>'Conduite Trp'!AB5</f>
        <v>4.7945088010204078</v>
      </c>
      <c r="BO15" s="13">
        <f>'Conduite Trp'!AC5</f>
        <v>0.79738484693877543</v>
      </c>
      <c r="BP15" s="13">
        <f>'Conduite Trp'!AD5</f>
        <v>0.79738484693877543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2.8093333333333339</v>
      </c>
      <c r="AW16" s="13">
        <f>'Conduite Trp'!K6</f>
        <v>2.17</v>
      </c>
      <c r="AX16" s="13">
        <f>'Conduite Trp'!L6</f>
        <v>2.17</v>
      </c>
      <c r="AY16" s="13">
        <f>'Conduite Trp'!M6</f>
        <v>2.1</v>
      </c>
      <c r="AZ16" s="13">
        <f>'Conduite Trp'!N6</f>
        <v>1.7850000000000004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2.4544895833333324</v>
      </c>
      <c r="BL16" s="13">
        <f>'Conduite Trp'!Z6</f>
        <v>2.4544895833333324</v>
      </c>
      <c r="BM16" s="13">
        <f>'Conduite Trp'!AA6</f>
        <v>2.4649999999999999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4.4265686591836735</v>
      </c>
      <c r="AZ19" s="61">
        <f t="shared" si="15"/>
        <v>4.4491019775510203</v>
      </c>
      <c r="BA19" s="61">
        <f t="shared" si="15"/>
        <v>3.6803564724489801</v>
      </c>
      <c r="BB19" s="61">
        <f t="shared" si="15"/>
        <v>3.9051306208163266</v>
      </c>
      <c r="BC19" s="61">
        <f t="shared" si="15"/>
        <v>4.1453476408163263</v>
      </c>
      <c r="BD19" s="61">
        <f t="shared" si="15"/>
        <v>5.0085887020408171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25.615094072857143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5.1755416587755105</v>
      </c>
      <c r="BF20" s="61">
        <f t="shared" si="16"/>
        <v>5.1755416587755105</v>
      </c>
      <c r="BG20" s="61">
        <f t="shared" si="16"/>
        <v>5.8925592587755107</v>
      </c>
      <c r="BH20" s="61">
        <f t="shared" si="16"/>
        <v>5.8925592587755107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22.136201835102042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3.8893079387755103</v>
      </c>
      <c r="BJ21" s="61">
        <f t="shared" si="18"/>
        <v>3.7286246479591836</v>
      </c>
      <c r="BK21" s="61">
        <f t="shared" si="18"/>
        <v>3.5168101362244903</v>
      </c>
      <c r="BL21" s="61">
        <f t="shared" si="18"/>
        <v>3.3487591362244906</v>
      </c>
      <c r="BM21" s="61">
        <f t="shared" si="18"/>
        <v>1.5051987321428573</v>
      </c>
      <c r="BN21" s="61">
        <f t="shared" si="18"/>
        <v>4.7945088010204078</v>
      </c>
      <c r="BO21" s="61">
        <f t="shared" si="18"/>
        <v>0</v>
      </c>
      <c r="BP21" s="61">
        <f t="shared" si="18"/>
        <v>0</v>
      </c>
      <c r="BR21" s="61">
        <f t="shared" si="17"/>
        <v>20.78320939234694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0.26579494897959188</v>
      </c>
      <c r="AT22" s="61">
        <f t="shared" ref="AT22:BP22" si="19">IF(AT$4=4,AT$15,0)</f>
        <v>0.2400728571428572</v>
      </c>
      <c r="AU22" s="61">
        <f t="shared" si="19"/>
        <v>0.38721428571428573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0.79738484693877543</v>
      </c>
      <c r="BP22" s="61">
        <f t="shared" si="19"/>
        <v>0.79738484693877543</v>
      </c>
      <c r="BR22" s="61">
        <f t="shared" si="17"/>
        <v>2.4878517857142857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0.3407485714285714</v>
      </c>
      <c r="AW23" s="61">
        <f t="shared" si="20"/>
        <v>3.0112809439455788</v>
      </c>
      <c r="AX23" s="61">
        <f t="shared" si="20"/>
        <v>2.9790399506802725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6.3310694660544229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31.5</v>
      </c>
      <c r="E24" s="61">
        <f t="shared" si="21"/>
        <v>22.75</v>
      </c>
      <c r="F24" s="61">
        <f t="shared" si="21"/>
        <v>37.049999999999997</v>
      </c>
      <c r="G24" s="61">
        <f t="shared" si="21"/>
        <v>2.19</v>
      </c>
      <c r="H24" s="61">
        <f t="shared" si="21"/>
        <v>25.524999999999999</v>
      </c>
      <c r="I24" s="61">
        <f t="shared" si="21"/>
        <v>0</v>
      </c>
      <c r="J24" s="63"/>
      <c r="K24" s="61">
        <f>AL27+AL49+AL71</f>
        <v>107.53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29.500094072857145</v>
      </c>
      <c r="E25" s="61">
        <f>BR8</f>
        <v>22.136201835102042</v>
      </c>
      <c r="F25" s="61">
        <f>BR9</f>
        <v>28.157188559013605</v>
      </c>
      <c r="G25" s="61">
        <f>BR10</f>
        <v>3.3371851190476187</v>
      </c>
      <c r="H25" s="61">
        <f>BR11</f>
        <v>13.480402799387758</v>
      </c>
      <c r="I25" s="61">
        <f>BR12</f>
        <v>0</v>
      </c>
      <c r="J25" s="63"/>
      <c r="K25" s="76">
        <f>'Conduite Trp'!C7</f>
        <v>187.7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1.999905927142855</v>
      </c>
      <c r="E27" s="93">
        <f t="shared" si="23"/>
        <v>0.61379816489795758</v>
      </c>
      <c r="F27" s="93">
        <f t="shared" si="23"/>
        <v>8.8928114409863923</v>
      </c>
      <c r="G27" s="93">
        <f t="shared" si="23"/>
        <v>-1.1471851190476188</v>
      </c>
      <c r="H27" s="93">
        <f t="shared" si="23"/>
        <v>12.044597200612241</v>
      </c>
      <c r="I27" s="93">
        <f t="shared" si="23"/>
        <v>0</v>
      </c>
      <c r="J27" s="63"/>
      <c r="K27" s="93">
        <f>K24-K25</f>
        <v>-80.169999999999987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27.5</v>
      </c>
      <c r="AF27" s="75">
        <f t="shared" ref="AF27:AJ27" si="24">SUM(AF7:AF26)</f>
        <v>22.75</v>
      </c>
      <c r="AG27" s="75">
        <f t="shared" si="24"/>
        <v>25.95</v>
      </c>
      <c r="AH27" s="75">
        <f t="shared" si="24"/>
        <v>1</v>
      </c>
      <c r="AI27" s="75">
        <f t="shared" si="24"/>
        <v>16.75</v>
      </c>
      <c r="AJ27" s="75">
        <f t="shared" si="24"/>
        <v>0</v>
      </c>
      <c r="AK27"/>
      <c r="AL27" s="75">
        <f>SUM(AL7:AL26)</f>
        <v>20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</v>
      </c>
      <c r="AZ27" s="61">
        <f t="shared" si="25"/>
        <v>1.7850000000000004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3.8850000000000007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0.9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2.25</v>
      </c>
      <c r="AF29" s="61">
        <f t="shared" ref="AF29:AF48" si="29">$R29*W29</f>
        <v>0</v>
      </c>
      <c r="AG29" s="61">
        <f t="shared" ref="AG29:AG48" si="30">$R29*X29</f>
        <v>1.125</v>
      </c>
      <c r="AH29" s="61">
        <f t="shared" ref="AH29:AH48" si="31">$R29*Y29</f>
        <v>0.315</v>
      </c>
      <c r="AI29" s="61">
        <f t="shared" ref="AI29:AI48" si="32">$R29*Z29</f>
        <v>0.9</v>
      </c>
      <c r="AJ29" s="61">
        <f t="shared" ref="AJ29:AJ48" si="33">$R29*AA29</f>
        <v>0</v>
      </c>
      <c r="AK29"/>
      <c r="AL29" s="61">
        <f t="shared" ref="AL29:AL48" si="34">R29*AC29</f>
        <v>3.33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2.4544895833333324</v>
      </c>
      <c r="BL29" s="61">
        <f t="shared" si="35"/>
        <v>2.4544895833333324</v>
      </c>
      <c r="BM29" s="61">
        <f t="shared" si="35"/>
        <v>2.4649999999999999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7.3739791666666648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2.8093333333333339</v>
      </c>
      <c r="AW31" s="61">
        <f t="shared" si="37"/>
        <v>2.17</v>
      </c>
      <c r="AX31" s="61">
        <f t="shared" si="37"/>
        <v>2.17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7.1493333333333338</v>
      </c>
    </row>
    <row r="32" spans="2:72" x14ac:dyDescent="0.25">
      <c r="D32" s="68" t="s">
        <v>267</v>
      </c>
      <c r="E32" s="68" t="s">
        <v>18</v>
      </c>
      <c r="F32" s="292" t="s">
        <v>276</v>
      </c>
      <c r="G32" s="292"/>
      <c r="H32" s="82"/>
      <c r="I32" s="68" t="s">
        <v>280</v>
      </c>
      <c r="J32" s="82" t="s">
        <v>280</v>
      </c>
      <c r="K32" s="292" t="s">
        <v>278</v>
      </c>
      <c r="L32" s="292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299</v>
      </c>
      <c r="R33" s="39">
        <v>0.6</v>
      </c>
      <c r="S33" s="285" t="str">
        <f>VLOOKUP($Q33,[1]MEP!$A$5:$D$300,3)</f>
        <v>PP excellente  2 COUPES</v>
      </c>
      <c r="T33" s="76" t="str">
        <f>VLOOKUP($Q33,[1]MEP!$A$5:$D$300,4)</f>
        <v>zone 2</v>
      </c>
      <c r="U33" s="76" t="str">
        <f>VLOOKUP($Q33,[1]MEP!$A$4:$K$300,2)</f>
        <v>P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8.5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5.0999999999999996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4</v>
      </c>
      <c r="AF49" s="75">
        <f t="shared" ref="AF49" si="50">SUM(AF29:AF48)</f>
        <v>0</v>
      </c>
      <c r="AG49" s="75">
        <f t="shared" ref="AG49" si="51">SUM(AG29:AG48)</f>
        <v>11.100000000000001</v>
      </c>
      <c r="AH49" s="75">
        <f t="shared" ref="AH49" si="52">SUM(AH29:AH48)</f>
        <v>1.19</v>
      </c>
      <c r="AI49" s="75">
        <f t="shared" ref="AI49" si="53">SUM(AI29:AI48)</f>
        <v>8.7750000000000004</v>
      </c>
      <c r="AJ49" s="75">
        <f t="shared" ref="AJ49" si="54">SUM(AJ29:AJ48)</f>
        <v>0</v>
      </c>
      <c r="AK49"/>
      <c r="AL49" s="75">
        <f>SUM(AL29:AL48)</f>
        <v>87.53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27.5</v>
      </c>
      <c r="E72" s="61">
        <f t="shared" ref="E72:H72" si="69">AF27</f>
        <v>22.75</v>
      </c>
      <c r="F72" s="61">
        <f t="shared" si="69"/>
        <v>25.95</v>
      </c>
      <c r="G72" s="61">
        <f t="shared" si="69"/>
        <v>1</v>
      </c>
      <c r="H72" s="61">
        <f t="shared" si="69"/>
        <v>16.75</v>
      </c>
      <c r="I72" s="61">
        <f t="shared" ref="I72" si="70">AJ75+AJ97+AJ119</f>
        <v>0</v>
      </c>
      <c r="J72" s="63"/>
      <c r="K72" s="61">
        <f>+K24</f>
        <v>107.53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25.615094072857143</v>
      </c>
      <c r="E73" s="61">
        <f>BR20</f>
        <v>22.136201835102042</v>
      </c>
      <c r="F73" s="61">
        <f>BR21</f>
        <v>20.78320939234694</v>
      </c>
      <c r="G73" s="61">
        <f>BR22</f>
        <v>2.4878517857142857</v>
      </c>
      <c r="H73" s="61">
        <f>BR23</f>
        <v>6.3310694660544229</v>
      </c>
      <c r="I73" s="61">
        <f>BR60</f>
        <v>0</v>
      </c>
      <c r="J73" s="63"/>
      <c r="K73" s="76">
        <f>+K25</f>
        <v>187.7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1.8849059271428565</v>
      </c>
      <c r="E75" s="93">
        <f t="shared" ref="E75:I75" si="71">E72-E73</f>
        <v>0.61379816489795758</v>
      </c>
      <c r="F75" s="93">
        <f t="shared" si="71"/>
        <v>5.1667906076530592</v>
      </c>
      <c r="G75" s="93">
        <f t="shared" si="71"/>
        <v>-1.4878517857142857</v>
      </c>
      <c r="H75" s="93">
        <f t="shared" si="71"/>
        <v>10.418930533945577</v>
      </c>
      <c r="I75" s="93">
        <f t="shared" si="71"/>
        <v>0</v>
      </c>
      <c r="J75" s="63"/>
      <c r="K75" s="93">
        <f>+K27</f>
        <v>-80.169999999999987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4</v>
      </c>
      <c r="E82" s="61">
        <f t="shared" ref="E82:H82" si="72">AF49</f>
        <v>0</v>
      </c>
      <c r="F82" s="61">
        <f t="shared" si="72"/>
        <v>11.100000000000001</v>
      </c>
      <c r="G82" s="61">
        <f t="shared" si="72"/>
        <v>1.19</v>
      </c>
      <c r="H82" s="61">
        <f t="shared" si="72"/>
        <v>8.7750000000000004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3.8850000000000007</v>
      </c>
      <c r="E83" s="61">
        <f>BR28</f>
        <v>0</v>
      </c>
      <c r="F83" s="61">
        <f>BR29</f>
        <v>7.3739791666666648</v>
      </c>
      <c r="G83" s="61">
        <f>BR30</f>
        <v>0.8493333333333335</v>
      </c>
      <c r="H83" s="61">
        <f>BR31</f>
        <v>7.1493333333333338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0.11499999999999932</v>
      </c>
      <c r="E85" s="93">
        <f t="shared" ref="E85:H85" si="73">E82-E83</f>
        <v>0</v>
      </c>
      <c r="F85" s="93">
        <f t="shared" si="73"/>
        <v>3.7260208333333367</v>
      </c>
      <c r="G85" s="93">
        <f t="shared" si="73"/>
        <v>0.34066666666666645</v>
      </c>
      <c r="H85" s="93">
        <f t="shared" si="73"/>
        <v>1.6256666666666666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opLeftCell="A2" workbookViewId="0">
      <selection activeCell="B22" sqref="B22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0</v>
      </c>
      <c r="L2" s="8">
        <f t="shared" ref="L2:L37" si="0">IF(J2=$Y$5,K2*$AA$5,IF(J2=$Y$6,K2*$AA$6,IF(J2=$Y$7,K2*$AA$7,"")))</f>
        <v>0</v>
      </c>
      <c r="M2" s="10">
        <f>IF(I2=$Y$10,SQRT(L2*10000),SQRT(Parcellaire!L2*10000)/$AC$11)</f>
        <v>0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0</v>
      </c>
      <c r="U2" s="10">
        <f>IF(C2=2,Q2*M2,0)</f>
        <v>0</v>
      </c>
      <c r="V2" s="27">
        <f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0</v>
      </c>
      <c r="L3" s="8">
        <f t="shared" ref="L3:L20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0</v>
      </c>
      <c r="U3" s="10">
        <f t="shared" ref="U3:U37" si="7">IF(C3=2,Q3*M3,0)</f>
        <v>0</v>
      </c>
      <c r="V3" s="27">
        <f t="shared" ref="V3:V37" si="8">O3*M3</f>
        <v>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2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0</v>
      </c>
      <c r="L7" s="8">
        <f t="shared" si="2"/>
        <v>0</v>
      </c>
      <c r="M7" s="10">
        <f>IF(I7=$Y$10,SQRT(L7*10000),SQRT(Parcellaire!L7*10000)/$AC$11)</f>
        <v>0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0</v>
      </c>
      <c r="U7" s="10">
        <f t="shared" si="7"/>
        <v>0</v>
      </c>
      <c r="V7" s="27">
        <f t="shared" si="8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2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3556.7351039745927</v>
      </c>
      <c r="AB17" t="s">
        <v>42</v>
      </c>
    </row>
    <row r="18" spans="1:28" ht="15" customHeight="1" x14ac:dyDescent="0.25">
      <c r="A18" s="8">
        <v>16</v>
      </c>
      <c r="B18" s="9">
        <v>2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2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3556.7351039745927</v>
      </c>
      <c r="AB19" t="s">
        <v>44</v>
      </c>
    </row>
    <row r="20" spans="1:28" ht="15" customHeight="1" x14ac:dyDescent="0.25">
      <c r="A20" s="8">
        <v>18</v>
      </c>
      <c r="B20" s="9">
        <v>2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13.5</v>
      </c>
      <c r="H64" s="135"/>
      <c r="I64" s="135">
        <f>SUMIF(Parcellaire!$B$2:$B$63,1,Parcellaire!I2:I63)</f>
        <v>21</v>
      </c>
      <c r="J64" s="135">
        <f>SUMIF(Parcellaire!$B$2:$B$63,1,Parcellaire!J2:J63)</f>
        <v>1</v>
      </c>
      <c r="K64" s="135">
        <f>SUMIF(Parcellaire!$B$2:$B$63,1,Parcellaire!K2:K63)</f>
        <v>14.58</v>
      </c>
      <c r="L64" s="135">
        <f>SUMIF(Parcellaire!$B$2:$B$63,1,Parcellaire!L2:L63)</f>
        <v>15.02</v>
      </c>
      <c r="M64" s="135">
        <f>SUMIF(Parcellaire!$B$2:$B$63,1,Parcellaire!M2:M63)</f>
        <v>693.50111538154545</v>
      </c>
      <c r="N64" s="135">
        <f>SUMIF(Parcellaire!$B$2:$B$63,1,Parcellaire!N2:N63)</f>
        <v>48</v>
      </c>
      <c r="O64" s="135">
        <f>SUMIF(Parcellaire!$B$2:$B$63,1,Parcellaire!O2:O63)</f>
        <v>42</v>
      </c>
      <c r="P64" s="135">
        <f>SUMIF(Parcellaire!$B$2:$B$63,1,Parcellaire!P2:P63)</f>
        <v>0</v>
      </c>
      <c r="Q64" s="135">
        <f>SUMIF(Parcellaire!$B$2:$B$63,1,Parcellaire!Q2:Q63)</f>
        <v>11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3556.7351039745927</v>
      </c>
      <c r="U64" s="135">
        <f>SUMIF(Parcellaire!$B$2:$B$63,1,Parcellaire!U2:U63)</f>
        <v>1208.5431766293598</v>
      </c>
      <c r="V64" s="135">
        <f>SUMIF(Parcellaire!$B$2:$B$63,1,Parcellaire!V2:V63)</f>
        <v>4161.0066922892729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2" t="s">
        <v>2</v>
      </c>
      <c r="C2" s="292"/>
      <c r="D2" s="292" t="s">
        <v>0</v>
      </c>
      <c r="E2" s="292"/>
      <c r="F2" s="292" t="s">
        <v>1</v>
      </c>
      <c r="G2" s="292"/>
      <c r="H2" s="292" t="s">
        <v>3</v>
      </c>
      <c r="I2" s="292"/>
      <c r="J2" s="292" t="s">
        <v>4</v>
      </c>
      <c r="K2" s="292"/>
      <c r="L2" s="292" t="s">
        <v>5</v>
      </c>
      <c r="M2" s="292"/>
      <c r="N2" s="292" t="s">
        <v>6</v>
      </c>
      <c r="O2" s="292"/>
      <c r="P2" s="292" t="s">
        <v>7</v>
      </c>
      <c r="Q2" s="292"/>
      <c r="R2" s="292" t="s">
        <v>8</v>
      </c>
      <c r="S2" s="292"/>
      <c r="T2" s="292" t="s">
        <v>9</v>
      </c>
      <c r="U2" s="292"/>
      <c r="V2" s="292" t="s">
        <v>10</v>
      </c>
      <c r="W2" s="292"/>
      <c r="X2" s="292" t="s">
        <v>11</v>
      </c>
      <c r="Y2" s="292"/>
      <c r="AD2" s="292" t="s">
        <v>2</v>
      </c>
      <c r="AE2" s="292"/>
      <c r="AF2" s="292" t="s">
        <v>0</v>
      </c>
      <c r="AG2" s="292"/>
      <c r="AH2" s="292" t="s">
        <v>1</v>
      </c>
      <c r="AI2" s="292"/>
      <c r="AJ2" s="292" t="s">
        <v>3</v>
      </c>
      <c r="AK2" s="292"/>
      <c r="AL2" s="292" t="s">
        <v>4</v>
      </c>
      <c r="AM2" s="292"/>
      <c r="AN2" s="292" t="s">
        <v>5</v>
      </c>
      <c r="AO2" s="292"/>
      <c r="AP2" s="292" t="s">
        <v>6</v>
      </c>
      <c r="AQ2" s="292"/>
      <c r="AR2" s="292" t="s">
        <v>7</v>
      </c>
      <c r="AS2" s="292"/>
      <c r="AT2" s="292" t="s">
        <v>8</v>
      </c>
      <c r="AU2" s="292"/>
      <c r="AV2" s="292" t="s">
        <v>9</v>
      </c>
      <c r="AW2" s="292"/>
      <c r="AX2" s="292" t="s">
        <v>10</v>
      </c>
      <c r="AY2" s="292"/>
      <c r="AZ2" s="292" t="s">
        <v>11</v>
      </c>
      <c r="BA2" s="292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2" t="s">
        <v>2</v>
      </c>
      <c r="C35" s="292"/>
      <c r="D35" s="292" t="s">
        <v>0</v>
      </c>
      <c r="E35" s="292"/>
      <c r="F35" s="292" t="s">
        <v>1</v>
      </c>
      <c r="G35" s="292"/>
      <c r="H35" s="292" t="s">
        <v>3</v>
      </c>
      <c r="I35" s="292"/>
      <c r="J35" s="292" t="s">
        <v>4</v>
      </c>
      <c r="K35" s="292"/>
      <c r="L35" s="292" t="s">
        <v>5</v>
      </c>
      <c r="M35" s="292"/>
      <c r="N35" s="292" t="s">
        <v>6</v>
      </c>
      <c r="O35" s="292"/>
      <c r="P35" s="292" t="s">
        <v>7</v>
      </c>
      <c r="Q35" s="292"/>
      <c r="R35" s="292" t="s">
        <v>8</v>
      </c>
      <c r="S35" s="292"/>
      <c r="T35" s="292" t="s">
        <v>9</v>
      </c>
      <c r="U35" s="292"/>
      <c r="V35" s="292" t="s">
        <v>10</v>
      </c>
      <c r="W35" s="292"/>
      <c r="X35" s="292" t="s">
        <v>11</v>
      </c>
      <c r="Y35" s="292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5" zoomScale="80" zoomScaleNormal="80" workbookViewId="0">
      <selection activeCell="K89" sqref="K8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1468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19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18.100000000000001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3.8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1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/>
      <c r="P58" t="s">
        <v>583</v>
      </c>
    </row>
    <row r="59" spans="10:132" x14ac:dyDescent="0.25">
      <c r="J59" s="14" t="s">
        <v>1467</v>
      </c>
      <c r="K59" s="1">
        <v>1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>
        <v>3</v>
      </c>
      <c r="L61" s="30" t="str">
        <f>IF(COUNTIF(CdTrp2!B76:Y85,5)&gt;0, "OUI", "NON")</f>
        <v>OUI</v>
      </c>
      <c r="P61" t="s">
        <v>590</v>
      </c>
    </row>
    <row r="62" spans="10:132" x14ac:dyDescent="0.25">
      <c r="J62" s="14" t="s">
        <v>591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60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60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612</v>
      </c>
      <c r="K80" s="80">
        <v>20</v>
      </c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1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3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/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/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4</v>
      </c>
      <c r="T164" s="170">
        <f>VLOOKUP($R164,[1]MEP!$A$4:$M$300,13)</f>
        <v>2</v>
      </c>
      <c r="U164" s="170">
        <f>IF($T164&gt;0,$S164,0)</f>
        <v>4</v>
      </c>
      <c r="V164" s="170">
        <f>IF($T164&gt;1,$S164,0)</f>
        <v>4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4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4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0</v>
      </c>
      <c r="T165" s="170">
        <f>VLOOKUP(R165,[1]MEP!$A$4:$M$300,13)</f>
        <v>1</v>
      </c>
      <c r="U165" s="170">
        <f t="shared" ref="U165:U207" si="10">IF($T165&gt;0,$S165,0)</f>
        <v>0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0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0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323</v>
      </c>
      <c r="S166" s="170">
        <f>'Alim -Surf'!R9</f>
        <v>8.5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8.5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8.5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260</v>
      </c>
      <c r="S167" s="170">
        <f>'Alim -Surf'!R10</f>
        <v>1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1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1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0.9</v>
      </c>
      <c r="T186" s="170">
        <f>VLOOKUP(R186,[1]MEP!$A$4:$M$300,13)</f>
        <v>1</v>
      </c>
      <c r="U186" s="170">
        <f t="shared" si="10"/>
        <v>0.9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0.9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0.9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299</v>
      </c>
      <c r="S190" s="170">
        <f>'Alim -Surf'!R33</f>
        <v>0.6</v>
      </c>
      <c r="T190" s="170">
        <f>VLOOKUP(R190,[1]MEP!$A$4:$M$300,13)</f>
        <v>2</v>
      </c>
      <c r="U190" s="170">
        <f t="shared" si="10"/>
        <v>0.6</v>
      </c>
      <c r="V190" s="170">
        <f t="shared" si="11"/>
        <v>0.6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0.6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0.6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19</v>
      </c>
      <c r="V228" s="62">
        <f t="shared" ref="V228:W228" si="22">SUM(V164:V227)</f>
        <v>18.100000000000001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9.5</v>
      </c>
      <c r="AI228" s="62">
        <f t="shared" si="24"/>
        <v>0.9</v>
      </c>
      <c r="AJ228" s="62">
        <f t="shared" si="24"/>
        <v>18.100000000000001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20" zoomScale="90" zoomScaleNormal="90" workbookViewId="0">
      <selection activeCell="AF33" sqref="AF3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2</v>
      </c>
      <c r="O2" s="174">
        <f t="shared" si="0"/>
        <v>2</v>
      </c>
      <c r="P2" s="174">
        <f t="shared" si="0"/>
        <v>2</v>
      </c>
      <c r="Q2" s="174">
        <f t="shared" si="0"/>
        <v>2</v>
      </c>
      <c r="R2" s="174">
        <f t="shared" si="0"/>
        <v>2</v>
      </c>
      <c r="S2" s="174">
        <f t="shared" si="0"/>
        <v>2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2</v>
      </c>
      <c r="O3" s="174">
        <f t="shared" si="1"/>
        <v>2</v>
      </c>
      <c r="P3" s="174">
        <f t="shared" si="1"/>
        <v>2</v>
      </c>
      <c r="Q3" s="174">
        <f t="shared" si="1"/>
        <v>2</v>
      </c>
      <c r="R3" s="174">
        <f t="shared" si="1"/>
        <v>2</v>
      </c>
      <c r="S3" s="174">
        <f t="shared" si="1"/>
        <v>2</v>
      </c>
      <c r="T3" s="174">
        <f t="shared" si="1"/>
        <v>2</v>
      </c>
      <c r="U3" s="174">
        <f t="shared" si="1"/>
        <v>2</v>
      </c>
      <c r="V3" s="174">
        <f t="shared" si="1"/>
        <v>2</v>
      </c>
      <c r="W3" s="174">
        <f t="shared" si="1"/>
        <v>2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2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/>
      </c>
      <c r="BE3" s="30" t="str">
        <f>IF(AW3=2,"",VLOOKUP(BD3,[1]MEP!$AC$5:$AD$10,2))</f>
        <v/>
      </c>
      <c r="BF3" s="30" t="str">
        <f>IF(BE3="LP","LP",IF(AND(BE3="P",AX3="proche"),"PF",IF(AND(BE3="P",AX3="éloigné"),"PE","AU")))</f>
        <v>AU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0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0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0</v>
      </c>
      <c r="W4" s="174">
        <f t="shared" si="2"/>
        <v>0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3557</v>
      </c>
      <c r="AQ4">
        <f>SUM(BJ31:BL31)</f>
        <v>13.5</v>
      </c>
      <c r="AV4" s="30">
        <f>Parcellaire!A3</f>
        <v>2</v>
      </c>
      <c r="AW4" s="30">
        <f>Parcellaire!B3</f>
        <v>2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0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0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0</v>
      </c>
      <c r="O7" s="174">
        <f t="shared" si="12"/>
        <v>0</v>
      </c>
      <c r="P7" s="174">
        <f t="shared" si="12"/>
        <v>0</v>
      </c>
      <c r="Q7" s="174">
        <f t="shared" si="12"/>
        <v>0</v>
      </c>
      <c r="R7" s="174">
        <f t="shared" si="12"/>
        <v>0</v>
      </c>
      <c r="S7" s="174">
        <f t="shared" si="12"/>
        <v>0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4</v>
      </c>
      <c r="O8" s="174">
        <f>(O3+O4)*[1]Protect!$B$12</f>
        <v>4</v>
      </c>
      <c r="P8" s="174">
        <f>(P3+P4)*[1]Protect!$B$12</f>
        <v>4</v>
      </c>
      <c r="Q8" s="174">
        <f>(Q3+Q4)*[1]Protect!$B$12</f>
        <v>4</v>
      </c>
      <c r="R8" s="174">
        <f>(R3+R4)*[1]Protect!$B$12</f>
        <v>4</v>
      </c>
      <c r="S8" s="174">
        <f>(S3+S4)*[1]Protect!$B$12</f>
        <v>4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2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3"/>
        <v>AU</v>
      </c>
      <c r="BG8" s="170">
        <f t="shared" si="4"/>
        <v>0</v>
      </c>
      <c r="BH8" s="170">
        <f t="shared" si="5"/>
        <v>0</v>
      </c>
      <c r="BI8" s="170">
        <f t="shared" si="6"/>
        <v>0</v>
      </c>
      <c r="BJ8" s="170">
        <f t="shared" si="7"/>
        <v>0</v>
      </c>
      <c r="BK8" s="170">
        <f t="shared" si="8"/>
        <v>0</v>
      </c>
      <c r="BL8" s="170">
        <f t="shared" si="9"/>
        <v>0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2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4</v>
      </c>
      <c r="O11" s="174">
        <f t="shared" si="13"/>
        <v>4</v>
      </c>
      <c r="P11" s="174">
        <f t="shared" si="13"/>
        <v>4</v>
      </c>
      <c r="Q11" s="174">
        <f t="shared" si="13"/>
        <v>4</v>
      </c>
      <c r="R11" s="174">
        <f t="shared" si="13"/>
        <v>4</v>
      </c>
      <c r="S11" s="174">
        <f t="shared" si="13"/>
        <v>4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0</v>
      </c>
      <c r="O12" s="174">
        <f>O7*[1]Protect!$B$15</f>
        <v>0</v>
      </c>
      <c r="P12" s="174">
        <f>P7*[1]Protect!$B$15</f>
        <v>0</v>
      </c>
      <c r="Q12" s="174">
        <f>Q7*[1]Protect!$B$15</f>
        <v>0</v>
      </c>
      <c r="R12" s="174">
        <f>R7*[1]Protect!$B$15</f>
        <v>0</v>
      </c>
      <c r="S12" s="174">
        <f>S7*[1]Protect!$B$15</f>
        <v>0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2</v>
      </c>
      <c r="N17" s="170">
        <f t="shared" si="17"/>
        <v>2</v>
      </c>
      <c r="O17" s="170">
        <f t="shared" si="17"/>
        <v>2</v>
      </c>
      <c r="P17" s="170">
        <f t="shared" si="17"/>
        <v>2</v>
      </c>
      <c r="Q17" s="170">
        <f t="shared" si="17"/>
        <v>2</v>
      </c>
      <c r="R17" s="170">
        <f t="shared" si="17"/>
        <v>2</v>
      </c>
      <c r="S17" s="170">
        <f t="shared" si="17"/>
        <v>2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2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3"/>
        <v>AU</v>
      </c>
      <c r="BG19" s="170">
        <f t="shared" si="4"/>
        <v>0</v>
      </c>
      <c r="BH19" s="170">
        <f t="shared" si="5"/>
        <v>0</v>
      </c>
      <c r="BI19" s="170">
        <f t="shared" si="6"/>
        <v>0</v>
      </c>
      <c r="BJ19" s="170">
        <f t="shared" si="7"/>
        <v>0</v>
      </c>
      <c r="BK19" s="170">
        <f t="shared" si="8"/>
        <v>0</v>
      </c>
      <c r="BL19" s="170">
        <f t="shared" si="9"/>
        <v>0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3557</v>
      </c>
      <c r="AE20" s="64">
        <v>0</v>
      </c>
      <c r="AF20" s="64">
        <f>SUM(AD20:AE20)</f>
        <v>3557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2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3"/>
        <v>AU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3557</v>
      </c>
      <c r="AV21" s="30">
        <f>Parcellaire!A20</f>
        <v>18</v>
      </c>
      <c r="AW21" s="30">
        <f>Parcellaire!B20</f>
        <v>2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3"/>
        <v>AU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3557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13.5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0</v>
      </c>
      <c r="BJ31" s="62">
        <f t="shared" si="26"/>
        <v>0</v>
      </c>
      <c r="BK31" s="62">
        <f t="shared" si="26"/>
        <v>13.5</v>
      </c>
      <c r="BL31" s="62">
        <f>SUM(BL3:BL30)</f>
        <v>0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/>
      <c r="AF33" s="291" t="s">
        <v>1471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0</v>
      </c>
      <c r="N34" s="174">
        <f t="shared" si="28"/>
        <v>0</v>
      </c>
      <c r="O34" s="174">
        <f t="shared" si="28"/>
        <v>0</v>
      </c>
      <c r="P34" s="174">
        <f t="shared" si="28"/>
        <v>0</v>
      </c>
      <c r="Q34" s="174">
        <f t="shared" si="28"/>
        <v>0</v>
      </c>
      <c r="R34" s="174">
        <f t="shared" si="28"/>
        <v>0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1</v>
      </c>
      <c r="BH48" s="179">
        <f>IF(CdTrp1!N76=1,1,IF(CdTrp1!N76=2,2,IF(CdTrp1!N76=3,2,0)))</f>
        <v>1</v>
      </c>
      <c r="BI48" s="179">
        <f>IF(CdTrp1!O76=1,1,IF(CdTrp1!O76=2,2,IF(CdTrp1!O76=3,2,0)))</f>
        <v>1</v>
      </c>
      <c r="BJ48" s="179">
        <f>IF(CdTrp1!P76=1,1,IF(CdTrp1!P76=2,2,IF(CdTrp1!P76=3,2,0)))</f>
        <v>1</v>
      </c>
      <c r="BK48" s="179">
        <f>IF(CdTrp1!Q76=1,1,IF(CdTrp1!Q76=2,2,IF(CdTrp1!Q76=3,2,0)))</f>
        <v>1</v>
      </c>
      <c r="BL48" s="179">
        <f>IF(CdTrp1!R76=1,1,IF(CdTrp1!R76=2,2,IF(CdTrp1!R76=3,2,0)))</f>
        <v>1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1</v>
      </c>
      <c r="BH51" s="179">
        <f>IF(CdTrp1!N79=1,1,IF(CdTrp1!N79=2,2,IF(CdTrp1!N79=3,2,0)))</f>
        <v>1</v>
      </c>
      <c r="BI51" s="179">
        <f>IF(CdTrp1!O79=1,1,IF(CdTrp1!O79=2,2,IF(CdTrp1!O79=3,2,0)))</f>
        <v>1</v>
      </c>
      <c r="BJ51" s="179">
        <f>IF(CdTrp1!P79=1,1,IF(CdTrp1!P79=2,2,IF(CdTrp1!P79=3,2,0)))</f>
        <v>1</v>
      </c>
      <c r="BK51" s="179">
        <f>IF(CdTrp1!Q79=1,1,IF(CdTrp1!Q79=2,2,IF(CdTrp1!Q79=3,2,0)))</f>
        <v>1</v>
      </c>
      <c r="BL51" s="179">
        <f>IF(CdTrp1!R79=1,1,IF(CdTrp1!R79=2,2,IF(CdTrp1!R79=3,2,0)))</f>
        <v>1</v>
      </c>
      <c r="BM51" s="179">
        <f>IF(CdTrp1!S79=1,1,IF(CdTrp1!S79=2,2,IF(CdTrp1!S79=3,2,0)))</f>
        <v>1</v>
      </c>
      <c r="BN51" s="179">
        <f>IF(CdTrp1!T79=1,1,IF(CdTrp1!T79=2,2,IF(CdTrp1!T79=3,2,0)))</f>
        <v>1</v>
      </c>
      <c r="BO51" s="179">
        <f>IF(CdTrp1!U79=1,1,IF(CdTrp1!U79=2,2,IF(CdTrp1!U79=3,2,0)))</f>
        <v>1</v>
      </c>
      <c r="BP51" s="179">
        <f>IF(CdTrp1!V79=1,1,IF(CdTrp1!V79=2,2,IF(CdTrp1!V79=3,2,0)))</f>
        <v>1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0.5</v>
      </c>
      <c r="O68" s="170">
        <f>IF($AA68=0,99,IF(O81&gt;3,CdTrp1!N76,CdTrp1!N52))</f>
        <v>0.5</v>
      </c>
      <c r="P68" s="170">
        <f>IF($AA68=0,99,IF(P81&gt;3,CdTrp1!O76,CdTrp1!O52))</f>
        <v>0.5</v>
      </c>
      <c r="Q68" s="170">
        <f>IF($AA68=0,99,IF(Q81&gt;3,CdTrp1!P76,CdTrp1!P52))</f>
        <v>0.5</v>
      </c>
      <c r="R68" s="170">
        <f>IF($AA68=0,99,IF(R81&gt;3,CdTrp1!Q76,CdTrp1!Q52))</f>
        <v>0.5</v>
      </c>
      <c r="S68" s="170">
        <f>IF($AA68=0,99,IF(S81&gt;3,CdTrp1!R76,CdTrp1!R52))</f>
        <v>0.5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0.5</v>
      </c>
      <c r="N71" s="170">
        <f>IF($AA71=0,99,IF(N84&gt;3,CdTrp1!M79,CdTrp1!M55))</f>
        <v>0.5</v>
      </c>
      <c r="O71" s="170">
        <f>IF($AA71=0,99,IF(O84&gt;3,CdTrp1!N79,CdTrp1!N55))</f>
        <v>0.5</v>
      </c>
      <c r="P71" s="170">
        <f>IF($AA71=0,99,IF(P84&gt;3,CdTrp1!O79,CdTrp1!O55))</f>
        <v>0.5</v>
      </c>
      <c r="Q71" s="170">
        <f>IF($AA71=0,99,IF(Q84&gt;3,CdTrp1!P79,CdTrp1!P55))</f>
        <v>0.5</v>
      </c>
      <c r="R71" s="170">
        <f>IF($AA71=0,99,IF(R84&gt;3,CdTrp1!Q79,CdTrp1!Q55))</f>
        <v>0.5</v>
      </c>
      <c r="S71" s="170">
        <f>IF($AA71=0,99,IF(S84&gt;3,CdTrp1!R79,CdTrp1!R55))</f>
        <v>0.5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1</v>
      </c>
      <c r="O81" s="170">
        <f>CdTrp1!N76</f>
        <v>1</v>
      </c>
      <c r="P81" s="170">
        <f>CdTrp1!O76</f>
        <v>1</v>
      </c>
      <c r="Q81" s="170">
        <f>CdTrp1!P76</f>
        <v>1</v>
      </c>
      <c r="R81" s="170">
        <f>CdTrp1!Q76</f>
        <v>1</v>
      </c>
      <c r="S81" s="170">
        <f>CdTrp1!R76</f>
        <v>1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1</v>
      </c>
      <c r="O84" s="170">
        <f>CdTrp1!N79</f>
        <v>1</v>
      </c>
      <c r="P84" s="170">
        <f>CdTrp1!O79</f>
        <v>1</v>
      </c>
      <c r="Q84" s="170">
        <f>CdTrp1!P79</f>
        <v>1</v>
      </c>
      <c r="R84" s="170">
        <f>CdTrp1!Q79</f>
        <v>1</v>
      </c>
      <c r="S84" s="170">
        <f>CdTrp1!R79</f>
        <v>1</v>
      </c>
      <c r="T84" s="170">
        <f>CdTrp1!S79</f>
        <v>1</v>
      </c>
      <c r="U84" s="170">
        <f>CdTrp1!T79</f>
        <v>1</v>
      </c>
      <c r="V84" s="170">
        <f>CdTrp1!U79</f>
        <v>1</v>
      </c>
      <c r="W84" s="170">
        <f>CdTrp1!V79</f>
        <v>1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1</v>
      </c>
      <c r="O180" s="170">
        <f>IF(Troupeau!$B$3="OL",Protection!O18,0)</f>
        <v>1</v>
      </c>
      <c r="P180" s="170">
        <f>IF(Troupeau!$B$3="OL",Protection!P18,0)</f>
        <v>1</v>
      </c>
      <c r="Q180" s="170">
        <f>IF(Troupeau!$B$3="OL",Protection!Q18,0)</f>
        <v>1</v>
      </c>
      <c r="R180" s="170">
        <f>IF(Troupeau!$B$3="OL",Protection!R18,0)</f>
        <v>1</v>
      </c>
      <c r="S180" s="170">
        <f>IF(Troupeau!$B$3="OL",Protection!S18,0)</f>
        <v>1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0</v>
      </c>
      <c r="O181" s="170">
        <f>IF(Troupeau!$B$3="OL",Protection!O19+O21,0)</f>
        <v>0</v>
      </c>
      <c r="P181" s="170">
        <f>IF(Troupeau!$B$3="OL",Protection!P19+P21,0)</f>
        <v>0</v>
      </c>
      <c r="Q181" s="170">
        <f>IF(Troupeau!$B$3="OL",Protection!Q19+Q21,0)</f>
        <v>0</v>
      </c>
      <c r="R181" s="170">
        <f>IF(Troupeau!$B$3="OL",Protection!R19+R21,0)</f>
        <v>0</v>
      </c>
      <c r="S181" s="170">
        <f>IF(Troupeau!$B$3="OL",Protection!S19+S21,0)</f>
        <v>0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1</v>
      </c>
      <c r="O195" s="170">
        <f t="shared" si="49"/>
        <v>1</v>
      </c>
      <c r="P195" s="170">
        <f t="shared" si="49"/>
        <v>1</v>
      </c>
      <c r="Q195" s="170">
        <f t="shared" si="49"/>
        <v>1</v>
      </c>
      <c r="R195" s="170">
        <f t="shared" si="49"/>
        <v>1</v>
      </c>
      <c r="S195" s="170">
        <f t="shared" si="49"/>
        <v>1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0</v>
      </c>
      <c r="O196" s="170">
        <f t="shared" si="49"/>
        <v>0</v>
      </c>
      <c r="P196" s="170">
        <f t="shared" si="49"/>
        <v>0</v>
      </c>
      <c r="Q196" s="170">
        <f t="shared" si="49"/>
        <v>0</v>
      </c>
      <c r="R196" s="170">
        <f t="shared" si="49"/>
        <v>0</v>
      </c>
      <c r="S196" s="170">
        <f t="shared" si="49"/>
        <v>0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4</v>
      </c>
      <c r="O201" s="170">
        <f>IF(Troupeau!$B$3="OL",O8+O9,0)</f>
        <v>4</v>
      </c>
      <c r="P201" s="170">
        <f>IF(Troupeau!$B$3="OL",P8+P9,0)</f>
        <v>4</v>
      </c>
      <c r="Q201" s="170">
        <f>IF(Troupeau!$B$3="OL",Q8+Q9,0)</f>
        <v>4</v>
      </c>
      <c r="R201" s="170">
        <f>IF(Troupeau!$B$3="OL",R8+R9,0)</f>
        <v>4</v>
      </c>
      <c r="S201" s="170">
        <f>IF(Troupeau!$B$3="OL",S8+S9,0)</f>
        <v>4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0</v>
      </c>
      <c r="O202" s="170">
        <f>IF(Troupeau!$B$3="OL",O10+O12,0)</f>
        <v>0</v>
      </c>
      <c r="P202" s="170">
        <f>IF(Troupeau!$B$3="OL",P10+P12,0)</f>
        <v>0</v>
      </c>
      <c r="Q202" s="170">
        <f>IF(Troupeau!$B$3="OL",Q10+Q12,0)</f>
        <v>0</v>
      </c>
      <c r="R202" s="170">
        <f>IF(Troupeau!$B$3="OL",R10+R12,0)</f>
        <v>0</v>
      </c>
      <c r="S202" s="170">
        <f>IF(Troupeau!$B$3="OL",S10+S12,0)</f>
        <v>0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4</v>
      </c>
      <c r="O212" s="170">
        <f t="shared" si="51"/>
        <v>4</v>
      </c>
      <c r="P212" s="170">
        <f t="shared" si="51"/>
        <v>4</v>
      </c>
      <c r="Q212" s="170">
        <f t="shared" si="51"/>
        <v>4</v>
      </c>
      <c r="R212" s="170">
        <f t="shared" si="51"/>
        <v>4</v>
      </c>
      <c r="S212" s="170">
        <f t="shared" si="51"/>
        <v>4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0</v>
      </c>
      <c r="O213" s="170">
        <f t="shared" si="51"/>
        <v>0</v>
      </c>
      <c r="P213" s="170">
        <f t="shared" si="51"/>
        <v>0</v>
      </c>
      <c r="Q213" s="170">
        <f t="shared" si="51"/>
        <v>0</v>
      </c>
      <c r="R213" s="170">
        <f t="shared" si="51"/>
        <v>0</v>
      </c>
      <c r="S213" s="170">
        <f t="shared" si="51"/>
        <v>0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1" activePane="bottomLeft" state="frozen"/>
      <selection activeCell="L18" sqref="L18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2" t="s">
        <v>2</v>
      </c>
      <c r="H1" s="292"/>
      <c r="I1" s="292" t="s">
        <v>0</v>
      </c>
      <c r="J1" s="292"/>
      <c r="K1" s="292" t="s">
        <v>1</v>
      </c>
      <c r="L1" s="292"/>
      <c r="M1" s="292" t="s">
        <v>3</v>
      </c>
      <c r="N1" s="292"/>
      <c r="O1" s="292" t="s">
        <v>4</v>
      </c>
      <c r="P1" s="292"/>
      <c r="Q1" s="292" t="s">
        <v>5</v>
      </c>
      <c r="R1" s="292"/>
      <c r="S1" s="292" t="s">
        <v>6</v>
      </c>
      <c r="T1" s="292"/>
      <c r="U1" s="292" t="s">
        <v>7</v>
      </c>
      <c r="V1" s="292"/>
      <c r="W1" s="292" t="s">
        <v>8</v>
      </c>
      <c r="X1" s="292"/>
      <c r="Y1" s="292" t="s">
        <v>9</v>
      </c>
      <c r="Z1" s="292"/>
      <c r="AA1" s="292" t="s">
        <v>10</v>
      </c>
      <c r="AB1" s="292"/>
      <c r="AC1" s="292" t="s">
        <v>11</v>
      </c>
      <c r="AD1" s="292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644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28</v>
      </c>
      <c r="R5" s="170">
        <f t="shared" si="0"/>
        <v>28</v>
      </c>
      <c r="S5" s="170">
        <f t="shared" si="0"/>
        <v>28</v>
      </c>
      <c r="T5" s="170">
        <f t="shared" si="0"/>
        <v>28</v>
      </c>
      <c r="U5" s="170">
        <f t="shared" si="0"/>
        <v>28</v>
      </c>
      <c r="V5" s="170">
        <f t="shared" si="0"/>
        <v>28</v>
      </c>
      <c r="W5" s="170">
        <f t="shared" si="0"/>
        <v>28</v>
      </c>
      <c r="X5" s="170">
        <f t="shared" si="0"/>
        <v>28</v>
      </c>
      <c r="Y5" s="170">
        <f t="shared" si="0"/>
        <v>28</v>
      </c>
      <c r="Z5" s="170">
        <f t="shared" si="0"/>
        <v>28</v>
      </c>
      <c r="AA5" s="170">
        <f t="shared" si="0"/>
        <v>28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992.74571428571448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29.694857142857146</v>
      </c>
      <c r="R9" s="30">
        <f t="shared" si="4"/>
        <v>29.694857142857146</v>
      </c>
      <c r="S9" s="30">
        <f t="shared" si="4"/>
        <v>29.694857142857146</v>
      </c>
      <c r="T9" s="30">
        <f t="shared" si="4"/>
        <v>29.694857142857146</v>
      </c>
      <c r="U9" s="30">
        <f t="shared" si="4"/>
        <v>29.694857142857146</v>
      </c>
      <c r="V9" s="30">
        <f t="shared" si="4"/>
        <v>29.694857142857146</v>
      </c>
      <c r="W9" s="30">
        <f t="shared" si="4"/>
        <v>29.694857142857146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2102.2457142857152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128.48914285714287</v>
      </c>
      <c r="K13" s="30">
        <f t="shared" si="8"/>
        <v>117.92957142857142</v>
      </c>
      <c r="L13" s="30">
        <f t="shared" si="8"/>
        <v>117.87</v>
      </c>
      <c r="M13" s="30">
        <f t="shared" si="8"/>
        <v>117.81042857142857</v>
      </c>
      <c r="N13" s="30">
        <f t="shared" si="8"/>
        <v>117.77071428571429</v>
      </c>
      <c r="O13" s="30">
        <f t="shared" si="8"/>
        <v>79.230999999999995</v>
      </c>
      <c r="P13" s="30">
        <f t="shared" si="8"/>
        <v>79.191285714285712</v>
      </c>
      <c r="Q13" s="30">
        <f t="shared" si="8"/>
        <v>57.694857142857146</v>
      </c>
      <c r="R13" s="30">
        <f t="shared" si="8"/>
        <v>57.694857142857146</v>
      </c>
      <c r="S13" s="30">
        <f t="shared" si="8"/>
        <v>57.694857142857146</v>
      </c>
      <c r="T13" s="30">
        <f t="shared" si="8"/>
        <v>57.694857142857146</v>
      </c>
      <c r="U13" s="30">
        <f t="shared" si="8"/>
        <v>57.694857142857146</v>
      </c>
      <c r="V13" s="30">
        <f t="shared" si="8"/>
        <v>57.694857142857146</v>
      </c>
      <c r="W13" s="30">
        <f t="shared" si="8"/>
        <v>57.694857142857146</v>
      </c>
      <c r="X13" s="30">
        <f t="shared" si="8"/>
        <v>57.198428571428572</v>
      </c>
      <c r="Y13" s="30">
        <f t="shared" si="8"/>
        <v>67.698428571428565</v>
      </c>
      <c r="Z13" s="30">
        <f t="shared" si="8"/>
        <v>67.698428571428565</v>
      </c>
      <c r="AA13" s="30">
        <f t="shared" si="8"/>
        <v>67.698428571428565</v>
      </c>
      <c r="AB13" s="30">
        <f t="shared" si="8"/>
        <v>85.198428571428565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0</v>
      </c>
      <c r="F16" s="170">
        <f>IF(B16&gt;0,D16*E16/B16,0)</f>
        <v>0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2</v>
      </c>
      <c r="BH37" s="170">
        <f>IF(CdTrp1!N52=1,3,IF(CdTrp1!N52=0.5,2,IF(CdTrp1!N52=0,1,0)))</f>
        <v>2</v>
      </c>
      <c r="BI37" s="170">
        <f>IF(CdTrp1!O52=1,3,IF(CdTrp1!O52=0.5,2,IF(CdTrp1!O52=0,1,0)))</f>
        <v>2</v>
      </c>
      <c r="BJ37" s="170">
        <f>IF(CdTrp1!P52=1,3,IF(CdTrp1!P52=0.5,2,IF(CdTrp1!P52=0,1,0)))</f>
        <v>2</v>
      </c>
      <c r="BK37" s="170">
        <f>IF(CdTrp1!Q52=1,3,IF(CdTrp1!Q52=0.5,2,IF(CdTrp1!Q52=0,1,0)))</f>
        <v>2</v>
      </c>
      <c r="BL37" s="170">
        <f>IF(CdTrp1!R52=1,3,IF(CdTrp1!R52=0.5,2,IF(CdTrp1!R52=0,1,0)))</f>
        <v>2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2</v>
      </c>
      <c r="BG40" s="170">
        <f>IF(CdTrp1!M55=1,3,IF(CdTrp1!M55=0.5,2,IF(CdTrp1!M55=0,1,0)))</f>
        <v>2</v>
      </c>
      <c r="BH40" s="170">
        <f>IF(CdTrp1!N55=1,3,IF(CdTrp1!N55=0.5,2,IF(CdTrp1!N55=0,1,0)))</f>
        <v>2</v>
      </c>
      <c r="BI40" s="170">
        <f>IF(CdTrp1!O55=1,3,IF(CdTrp1!O55=0.5,2,IF(CdTrp1!O55=0,1,0)))</f>
        <v>2</v>
      </c>
      <c r="BJ40" s="170">
        <f>IF(CdTrp1!P55=1,3,IF(CdTrp1!P55=0.5,2,IF(CdTrp1!P55=0,1,0)))</f>
        <v>2</v>
      </c>
      <c r="BK40" s="170">
        <f>IF(CdTrp1!Q55=1,3,IF(CdTrp1!Q55=0.5,2,IF(CdTrp1!Q55=0,1,0)))</f>
        <v>2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1</v>
      </c>
      <c r="BH48" s="170">
        <f>IF(CdTrp1!N76=1,1,IF(CdTrp1!N76=2,2,IF(CdTrp1!N76=3,2,0)))</f>
        <v>1</v>
      </c>
      <c r="BI48" s="170">
        <f>IF(CdTrp1!O76=1,1,IF(CdTrp1!O76=2,2,IF(CdTrp1!O76=3,2,0)))</f>
        <v>1</v>
      </c>
      <c r="BJ48" s="170">
        <f>IF(CdTrp1!P76=1,1,IF(CdTrp1!P76=2,2,IF(CdTrp1!P76=3,2,0)))</f>
        <v>1</v>
      </c>
      <c r="BK48" s="170">
        <f>IF(CdTrp1!Q76=1,1,IF(CdTrp1!Q76=2,2,IF(CdTrp1!Q76=3,2,0)))</f>
        <v>1</v>
      </c>
      <c r="BL48" s="170">
        <f>IF(CdTrp1!R76=1,1,IF(CdTrp1!R76=2,2,IF(CdTrp1!R76=3,2,0)))</f>
        <v>1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1</v>
      </c>
      <c r="BH51" s="170">
        <f>IF(CdTrp1!N79=1,1,IF(CdTrp1!N79=2,2,IF(CdTrp1!N79=3,2,0)))</f>
        <v>1</v>
      </c>
      <c r="BI51" s="170">
        <f>IF(CdTrp1!O79=1,1,IF(CdTrp1!O79=2,2,IF(CdTrp1!O79=3,2,0)))</f>
        <v>1</v>
      </c>
      <c r="BJ51" s="170">
        <f>IF(CdTrp1!P79=1,1,IF(CdTrp1!P79=2,2,IF(CdTrp1!P79=3,2,0)))</f>
        <v>1</v>
      </c>
      <c r="BK51" s="170">
        <f>IF(CdTrp1!Q79=1,1,IF(CdTrp1!Q79=2,2,IF(CdTrp1!Q79=3,2,0)))</f>
        <v>1</v>
      </c>
      <c r="BL51" s="170">
        <f>IF(CdTrp1!R79=1,1,IF(CdTrp1!R79=2,2,IF(CdTrp1!R79=3,2,0)))</f>
        <v>1</v>
      </c>
      <c r="BM51" s="170">
        <f>IF(CdTrp1!S79=1,1,IF(CdTrp1!S79=2,2,IF(CdTrp1!S79=3,2,0)))</f>
        <v>1</v>
      </c>
      <c r="BN51" s="170">
        <f>IF(CdTrp1!T79=1,1,IF(CdTrp1!T79=2,2,IF(CdTrp1!T79=3,2,0)))</f>
        <v>1</v>
      </c>
      <c r="BO51" s="170">
        <f>IF(CdTrp1!U79=1,1,IF(CdTrp1!U79=2,2,IF(CdTrp1!U79=3,2,0)))</f>
        <v>1</v>
      </c>
      <c r="BP51" s="170">
        <f>IF(CdTrp1!V79=1,1,IF(CdTrp1!V79=2,2,IF(CdTrp1!V79=3,2,0)))</f>
        <v>1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15.200000000000001</v>
      </c>
      <c r="C55" s="185">
        <f>IF(B55&gt;[1]Trav!E121,[1]Trav!C121,[1]Trav!B121)</f>
        <v>7.2</v>
      </c>
      <c r="D55"/>
      <c r="E55" s="169"/>
      <c r="F55" s="170">
        <f t="shared" si="32"/>
        <v>109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18.100000000000001</v>
      </c>
      <c r="C56" s="185">
        <f>IF(B56&gt;[1]Trav!E121,[1]Trav!C121,[1]Trav!B121)</f>
        <v>7.2</v>
      </c>
      <c r="D56"/>
      <c r="E56" s="169"/>
      <c r="F56" s="170">
        <f t="shared" si="32"/>
        <v>130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3.7999999999999989</v>
      </c>
      <c r="C58" s="185">
        <f>IF(B58&gt;[1]Trav!E122,[1]Trav!C122,[1]Trav!B122)</f>
        <v>4.4000000000000004</v>
      </c>
      <c r="E58" s="169"/>
      <c r="F58" s="170">
        <f t="shared" si="32"/>
        <v>17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221</v>
      </c>
      <c r="BH60" s="170">
        <f>IF(BH15=0,0,IF(BH37=3,0,VALUE(CONCATENATE(Travail!BH26,Travail!BH37,Travail!BH48))))</f>
        <v>221</v>
      </c>
      <c r="BI60" s="170">
        <f>IF(BI15=0,0,IF(BI37=3,0,VALUE(CONCATENATE(Travail!BI26,Travail!BI37,Travail!BI48))))</f>
        <v>221</v>
      </c>
      <c r="BJ60" s="170">
        <f>IF(BJ15=0,0,IF(BJ37=3,0,VALUE(CONCATENATE(Travail!BJ26,Travail!BJ37,Travail!BJ48))))</f>
        <v>221</v>
      </c>
      <c r="BK60" s="170">
        <f>IF(BK15=0,0,IF(BK37=3,0,VALUE(CONCATENATE(Travail!BK26,Travail!BK37,Travail!BK48))))</f>
        <v>221</v>
      </c>
      <c r="BL60" s="170">
        <f>IF(BL15=0,0,IF(BL37=3,0,VALUE(CONCATENATE(Travail!BL26,Travail!BL37,Travail!BL48))))</f>
        <v>221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221</v>
      </c>
      <c r="BH63" s="170">
        <f>IF(BH18=0,0,IF(BH40=3,0,VALUE(CONCATENATE(Travail!BH29,Travail!BH40,Travail!BH51))))</f>
        <v>221</v>
      </c>
      <c r="BI63" s="170">
        <f>IF(BI18=0,0,IF(BI40=3,0,VALUE(CONCATENATE(Travail!BI29,Travail!BI40,Travail!BI51))))</f>
        <v>221</v>
      </c>
      <c r="BJ63" s="170">
        <f>IF(BJ18=0,0,IF(BJ40=3,0,VALUE(CONCATENATE(Travail!BJ29,Travail!BJ40,Travail!BJ51))))</f>
        <v>221</v>
      </c>
      <c r="BK63" s="170">
        <f>IF(BK18=0,0,IF(BK40=3,0,VALUE(CONCATENATE(Travail!BK29,Travail!BK40,Travail!BK51))))</f>
        <v>221</v>
      </c>
      <c r="BL63" s="170">
        <f>IF(BL18=0,0,IF(BL40=3,0,VALUE(CONCATENATE(Travail!BL29,Travail!BL40,Travail!BL51))))</f>
        <v>221</v>
      </c>
      <c r="BM63" s="170">
        <f>IF(BM18=0,0,IF(BM40=3,0,VALUE(CONCATENATE(Travail!BM29,Travail!BM40,Travail!BM51))))</f>
        <v>221</v>
      </c>
      <c r="BN63" s="170">
        <f>IF(BN18=0,0,IF(BN40=3,0,VALUE(CONCATENATE(Travail!BN29,Travail!BN40,Travail!BN51))))</f>
        <v>221</v>
      </c>
      <c r="BO63" s="170">
        <f>IF(BO18=0,0,IF(BO40=3,0,VALUE(CONCATENATE(Travail!BO29,Travail!BO40,Travail!BO51))))</f>
        <v>221</v>
      </c>
      <c r="BP63" s="170">
        <f>IF(BP18=0,0,IF(BP40=3,0,VALUE(CONCATENATE(Travail!BP29,Travail!BP40,Travail!BP51))))</f>
        <v>221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22</v>
      </c>
      <c r="BH71" s="170">
        <f t="shared" si="36"/>
        <v>22</v>
      </c>
      <c r="BI71" s="170">
        <f t="shared" si="36"/>
        <v>22</v>
      </c>
      <c r="BJ71" s="170">
        <f t="shared" si="36"/>
        <v>22</v>
      </c>
      <c r="BK71" s="170">
        <f t="shared" si="36"/>
        <v>22</v>
      </c>
      <c r="BL71" s="170">
        <f t="shared" si="36"/>
        <v>22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" si="39">ROUND(SUM(G72:AD72),0)</f>
        <v>230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80"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5</v>
      </c>
      <c r="J73" s="170">
        <f>IF(AND(Troupeau!$C$3="BV",Scénario!$K$87&gt;2),Protection!F25*([1]Protect!$B$22+[1]Protect!$B$23),0)</f>
        <v>10</v>
      </c>
      <c r="K73" s="170">
        <f>IF(AND(Troupeau!$C$3="BV",Scénario!$K$87&gt;2),Protection!G25*([1]Protect!$B$22+[1]Protect!$B$23),0)</f>
        <v>10</v>
      </c>
      <c r="L73" s="170">
        <f>IF(AND(Troupeau!$C$3="BV",Scénario!$K$87&gt;2),Protection!H25*([1]Protect!$B$22+[1]Protect!$B$23),0)</f>
        <v>10</v>
      </c>
      <c r="M73" s="170">
        <f>IF(AND(Troupeau!$C$3="BV",Scénario!$K$87&gt;2),Protection!I25*([1]Protect!$B$22+[1]Protect!$B$23),0)</f>
        <v>10</v>
      </c>
      <c r="N73" s="170">
        <f>IF(AND(Troupeau!$C$3="BV",Scénario!$K$87&gt;2),Protection!J25*([1]Protect!$B$22+[1]Protect!$B$23),0)</f>
        <v>10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10</v>
      </c>
      <c r="Z73" s="170">
        <f>IF(AND(Troupeau!$C$3="BV",Scénario!$K$87&gt;2),Protection!V25*([1]Protect!$B$22+[1]Protect!$B$23),0)</f>
        <v>10</v>
      </c>
      <c r="AA73" s="170">
        <f>IF(AND(Troupeau!$C$3="BV",Scénario!$K$87&gt;2),Protection!W25*([1]Protect!$B$22+[1]Protect!$B$23),0)</f>
        <v>10</v>
      </c>
      <c r="AB73" s="170">
        <f>IF(AND(Troupeau!$C$3="BV",Scénario!$K$87&gt;2),Protection!X25*([1]Protect!$B$22+[1]Protect!$B$23),0)</f>
        <v>10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22</v>
      </c>
      <c r="BG74" s="170">
        <f t="shared" si="36"/>
        <v>22</v>
      </c>
      <c r="BH74" s="170">
        <f t="shared" si="36"/>
        <v>22</v>
      </c>
      <c r="BI74" s="170">
        <f t="shared" si="36"/>
        <v>22</v>
      </c>
      <c r="BJ74" s="170">
        <f t="shared" si="36"/>
        <v>22</v>
      </c>
      <c r="BK74" s="170">
        <f t="shared" si="36"/>
        <v>22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409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23.5</v>
      </c>
      <c r="Z77" s="46">
        <f t="shared" si="43"/>
        <v>23.5</v>
      </c>
      <c r="AA77" s="46">
        <f t="shared" si="43"/>
        <v>23.5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3.5569999999999999</v>
      </c>
      <c r="C83" s="185">
        <f>[1]Protect!$B$24+[1]Protect!$B$26</f>
        <v>0.33</v>
      </c>
      <c r="D83" s="169"/>
      <c r="E83" s="169"/>
      <c r="F83" s="170">
        <f>ROUND(B83*C83,1)</f>
        <v>1.2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2</v>
      </c>
      <c r="BH83" s="170">
        <f t="shared" si="50"/>
        <v>2</v>
      </c>
      <c r="BI83" s="170">
        <f t="shared" si="50"/>
        <v>2</v>
      </c>
      <c r="BJ83" s="170">
        <f t="shared" si="50"/>
        <v>2</v>
      </c>
      <c r="BK83" s="170">
        <f t="shared" si="50"/>
        <v>2</v>
      </c>
      <c r="BL83" s="170">
        <f t="shared" si="50"/>
        <v>2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2.8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21</v>
      </c>
      <c r="BG86" s="185">
        <f>IF(BG85=0,0,HLOOKUP(BG85,[1]Trav!$C$39:$G$59,$AU$105))</f>
        <v>21</v>
      </c>
      <c r="BH86" s="185">
        <f>IF(BH85=0,0,HLOOKUP(BH85,[1]Trav!$C$39:$G$59,$AU$105))</f>
        <v>21</v>
      </c>
      <c r="BI86" s="185">
        <f>IF(BI85=0,0,HLOOKUP(BI85,[1]Trav!$C$39:$G$59,$AU$105))</f>
        <v>21</v>
      </c>
      <c r="BJ86" s="185">
        <f>IF(BJ85=0,0,HLOOKUP(BJ85,[1]Trav!$C$39:$G$59,$AU$105))</f>
        <v>21</v>
      </c>
      <c r="BK86" s="185">
        <f>IF(BK85=0,0,HLOOKUP(BK85,[1]Trav!$C$39:$G$59,$AU$105))</f>
        <v>21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1.75</v>
      </c>
      <c r="BH87" s="185">
        <f>IF(BH85=0,0,HLOOKUP(BH85,[1]Trav!$C$62:$G$82,$AU$105))</f>
        <v>1.75</v>
      </c>
      <c r="BI87" s="185">
        <f>IF(BI85=0,0,HLOOKUP(BI85,[1]Trav!$C$62:$G$82,$AU$105))</f>
        <v>1.75</v>
      </c>
      <c r="BJ87" s="185">
        <f>IF(BJ85=0,0,HLOOKUP(BJ85,[1]Trav!$C$62:$G$82,$AU$105))</f>
        <v>1.75</v>
      </c>
      <c r="BK87" s="185">
        <f>IF(BK85=0,0,HLOOKUP(BK85,[1]Trav!$C$62:$G$82,$AU$105))</f>
        <v>1.75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242.82448979591837</v>
      </c>
      <c r="BH90" s="170">
        <f t="shared" si="60"/>
        <v>242.82448979591837</v>
      </c>
      <c r="BI90" s="170">
        <f t="shared" si="60"/>
        <v>242.82448979591837</v>
      </c>
      <c r="BJ90" s="170">
        <f t="shared" si="60"/>
        <v>242.82448979591837</v>
      </c>
      <c r="BK90" s="170">
        <f t="shared" si="60"/>
        <v>242.82448979591837</v>
      </c>
      <c r="BL90" s="170">
        <f t="shared" si="60"/>
        <v>242.82448979591837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1636.7457142857145</v>
      </c>
      <c r="C91" s="5"/>
      <c r="D91" s="198">
        <f>B91/Troupeau!$B$17</f>
        <v>5.8875745118191167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55.6</v>
      </c>
      <c r="BH93" s="170">
        <f t="shared" si="60"/>
        <v>55.6</v>
      </c>
      <c r="BI93" s="170">
        <f t="shared" si="60"/>
        <v>55.6</v>
      </c>
      <c r="BJ93" s="170">
        <f t="shared" si="60"/>
        <v>55.6</v>
      </c>
      <c r="BK93" s="170">
        <f t="shared" si="60"/>
        <v>55.6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2042.0457142857144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0</v>
      </c>
      <c r="C95" s="5"/>
      <c r="D95" s="198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120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298.42448979591836</v>
      </c>
      <c r="BH99" s="62">
        <f t="shared" si="68"/>
        <v>298.42448979591836</v>
      </c>
      <c r="BI99" s="62">
        <f t="shared" si="68"/>
        <v>298.42448979591836</v>
      </c>
      <c r="BJ99" s="62">
        <f t="shared" si="68"/>
        <v>298.42448979591836</v>
      </c>
      <c r="BK99" s="62">
        <f t="shared" si="68"/>
        <v>298.42448979591836</v>
      </c>
      <c r="BL99" s="62">
        <f t="shared" si="68"/>
        <v>298.42448979591836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5.9684897959183676</v>
      </c>
      <c r="BH100" s="170">
        <f t="shared" si="71"/>
        <v>5.9684897959183676</v>
      </c>
      <c r="BI100" s="170">
        <f t="shared" si="71"/>
        <v>5.9684897959183676</v>
      </c>
      <c r="BJ100" s="170">
        <f t="shared" si="71"/>
        <v>5.9684897959183676</v>
      </c>
      <c r="BK100" s="170">
        <f t="shared" si="71"/>
        <v>5.9684897959183676</v>
      </c>
      <c r="BL100" s="170">
        <f t="shared" si="71"/>
        <v>5.9684897959183676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4.9684897959183676</v>
      </c>
      <c r="BH101" s="170">
        <f t="shared" si="74"/>
        <v>4.9684897959183676</v>
      </c>
      <c r="BI101" s="170">
        <f t="shared" si="74"/>
        <v>4.9684897959183676</v>
      </c>
      <c r="BJ101" s="170">
        <f t="shared" si="74"/>
        <v>4.9684897959183676</v>
      </c>
      <c r="BK101" s="170">
        <f t="shared" si="74"/>
        <v>4.9684897959183676</v>
      </c>
      <c r="BL101" s="170">
        <f t="shared" si="74"/>
        <v>4.9684897959183676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29.694857142857146</v>
      </c>
      <c r="BG102" s="62">
        <f t="shared" si="77"/>
        <v>29.694857142857146</v>
      </c>
      <c r="BH102" s="62">
        <f t="shared" si="77"/>
        <v>29.694857142857146</v>
      </c>
      <c r="BI102" s="62">
        <f t="shared" si="77"/>
        <v>29.694857142857146</v>
      </c>
      <c r="BJ102" s="62">
        <f t="shared" si="77"/>
        <v>29.694857142857146</v>
      </c>
      <c r="BK102" s="62">
        <f t="shared" si="77"/>
        <v>29.694857142857146</v>
      </c>
      <c r="BL102" s="62">
        <f t="shared" si="77"/>
        <v>29.694857142857146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14</v>
      </c>
      <c r="BH106" s="185">
        <f>IF(BH60&gt;0,HLOOKUP(BH60,[1]Trav!$C$11:$O$31,$AU$105),0)</f>
        <v>14</v>
      </c>
      <c r="BI106" s="185">
        <f>IF(BI60&gt;0,HLOOKUP(BI60,[1]Trav!$C$11:$O$31,$AU$105),0)</f>
        <v>14</v>
      </c>
      <c r="BJ106" s="185">
        <f>IF(BJ60&gt;0,HLOOKUP(BJ60,[1]Trav!$C$11:$O$31,$AU$105),0)</f>
        <v>14</v>
      </c>
      <c r="BK106" s="185">
        <f>IF(BK60&gt;0,HLOOKUP(BK60,[1]Trav!$C$11:$O$31,$AU$105),0)</f>
        <v>14</v>
      </c>
      <c r="BL106" s="185">
        <f>IF(BL60&gt;0,HLOOKUP(BL60,[1]Trav!$C$11:$O$31,$AU$105),0)</f>
        <v>14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325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230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14</v>
      </c>
      <c r="BG109" s="185">
        <f>IF(BG63&gt;0,HLOOKUP(BG63,[1]Trav!$C$11:$O$31,$AU$105),0)</f>
        <v>14</v>
      </c>
      <c r="BH109" s="185">
        <f>IF(BH63&gt;0,HLOOKUP(BH63,[1]Trav!$C$11:$O$31,$AU$105),0)</f>
        <v>14</v>
      </c>
      <c r="BI109" s="185">
        <f>IF(BI63&gt;0,HLOOKUP(BI63,[1]Trav!$C$11:$O$31,$AU$105),0)</f>
        <v>14</v>
      </c>
      <c r="BJ109" s="185">
        <f>IF(BJ63&gt;0,HLOOKUP(BJ63,[1]Trav!$C$11:$O$31,$AU$105),0)</f>
        <v>14</v>
      </c>
      <c r="BK109" s="185">
        <f>IF(BK63&gt;0,HLOOKUP(BK63,[1]Trav!$C$11:$O$31,$AU$105),0)</f>
        <v>14</v>
      </c>
      <c r="BL109" s="185">
        <f>IF(BL63&gt;0,HLOOKUP(BL63,[1]Trav!$C$11:$O$31,$AU$105),0)</f>
        <v>14</v>
      </c>
      <c r="BM109" s="185">
        <f>IF(BM63&gt;0,HLOOKUP(BM63,[1]Trav!$C$11:$O$31,$AU$105),0)</f>
        <v>14</v>
      </c>
      <c r="BN109" s="185">
        <f>IF(BN63&gt;0,HLOOKUP(BN63,[1]Trav!$C$11:$O$31,$AU$105),0)</f>
        <v>14</v>
      </c>
      <c r="BO109" s="185">
        <f>IF(BO63&gt;0,HLOOKUP(BO63,[1]Trav!$C$11:$O$31,$AU$105),0)</f>
        <v>14</v>
      </c>
      <c r="BP109" s="185">
        <f>IF(BP63&gt;0,HLOOKUP(BP63,[1]Trav!$C$11:$O$31,$AU$105),0)</f>
        <v>14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230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4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28</v>
      </c>
      <c r="BG117" s="170">
        <f t="shared" si="83"/>
        <v>28</v>
      </c>
      <c r="BH117" s="170">
        <f t="shared" si="83"/>
        <v>28</v>
      </c>
      <c r="BI117" s="170">
        <f t="shared" si="83"/>
        <v>28</v>
      </c>
      <c r="BJ117" s="170">
        <f t="shared" si="83"/>
        <v>28</v>
      </c>
      <c r="BK117" s="170">
        <f t="shared" si="83"/>
        <v>28</v>
      </c>
      <c r="BL117" s="170">
        <f t="shared" si="83"/>
        <v>28</v>
      </c>
      <c r="BM117" s="170">
        <f t="shared" si="83"/>
        <v>28</v>
      </c>
      <c r="BN117" s="170">
        <f t="shared" si="83"/>
        <v>28</v>
      </c>
      <c r="BO117" s="170">
        <f t="shared" si="83"/>
        <v>28</v>
      </c>
      <c r="BP117" s="170">
        <f t="shared" si="83"/>
        <v>28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4284.2457142857147</v>
      </c>
      <c r="D118" s="198">
        <f>B118/Troupeau!$B$17</f>
        <v>15.410955806783146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4899.5457142857149</v>
      </c>
    </row>
    <row r="123" spans="1:132" x14ac:dyDescent="0.25">
      <c r="A123" s="2" t="s">
        <v>892</v>
      </c>
      <c r="B123" s="30">
        <f>B108</f>
        <v>325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230</v>
      </c>
    </row>
    <row r="126" spans="1:132" x14ac:dyDescent="0.25">
      <c r="A126" s="2" t="s">
        <v>908</v>
      </c>
      <c r="B126" s="30">
        <f>B114+B115+B116</f>
        <v>22</v>
      </c>
    </row>
    <row r="128" spans="1:132" x14ac:dyDescent="0.25">
      <c r="A128" s="2" t="s">
        <v>909</v>
      </c>
      <c r="B128" s="197">
        <f>SUM(B122:B126)</f>
        <v>6076.5457142857149</v>
      </c>
    </row>
    <row r="129" spans="1:2" x14ac:dyDescent="0.25">
      <c r="A129" s="2" t="s">
        <v>910</v>
      </c>
      <c r="B129" s="30">
        <f>IF(Scénario!K129=1,Travail!F77+Travail!F86,F86)</f>
        <v>409</v>
      </c>
    </row>
    <row r="130" spans="1:2" x14ac:dyDescent="0.25">
      <c r="A130" s="2" t="s">
        <v>911</v>
      </c>
      <c r="B130" s="197">
        <f>ROUND((B128-B129)/(Scénario!K4+Scénario!K6),0)</f>
        <v>2834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abSelected="1" topLeftCell="G23" zoomScale="90" zoomScaleNormal="90" workbookViewId="0">
      <selection activeCell="B43" sqref="B43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0.87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76.099999999999994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76.099999999999994</v>
      </c>
      <c r="AA39" s="14" t="s">
        <v>1015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1442</v>
      </c>
      <c r="AJ40" s="278">
        <f>IF(AJ36&lt;=AJ38,100,IF(AJ36&lt;=AJ39,90,0))</f>
        <v>100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76.099999999999994</v>
      </c>
      <c r="C42" s="211">
        <f>[1]Eco!$B$24</f>
        <v>97</v>
      </c>
      <c r="J42" s="170">
        <f>B42*C42</f>
        <v>7381.7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76.099999999999994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5098.7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1026</v>
      </c>
      <c r="V45" s="170">
        <f>S55</f>
        <v>47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2893.6000000000004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76.099999999999994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141865.4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1</v>
      </c>
      <c r="BH48" s="217">
        <f>IF(CdTrp1!N76=1,1,IF(CdTrp1!N76=2,2,IF(CdTrp1!N76=3,2,0)))</f>
        <v>1</v>
      </c>
      <c r="BI48" s="217">
        <f>IF(CdTrp1!O76=1,1,IF(CdTrp1!O76=2,2,IF(CdTrp1!O76=3,2,0)))</f>
        <v>1</v>
      </c>
      <c r="BJ48" s="217">
        <f>IF(CdTrp1!P76=1,1,IF(CdTrp1!P76=2,2,IF(CdTrp1!P76=3,2,0)))</f>
        <v>1</v>
      </c>
      <c r="BK48" s="217">
        <f>IF(CdTrp1!Q76=1,1,IF(CdTrp1!Q76=2,2,IF(CdTrp1!Q76=3,2,0)))</f>
        <v>1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0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100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47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1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1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1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69.333333333333343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80.169999999999987</v>
      </c>
      <c r="C118" s="185">
        <f>IF(Scénario!$K$12="BV",[1]Eco!$B$78,IF(Scénario!$K$12="BL",[1]Eco!$B$77,[1]Eco!$B$76))</f>
        <v>223</v>
      </c>
      <c r="J118" s="170">
        <f>B118*C118</f>
        <v>17877.909999999996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46.783000000000001</v>
      </c>
      <c r="C119" s="185">
        <f>[1]Eco!$B$79</f>
        <v>80</v>
      </c>
      <c r="J119" s="170">
        <f>B119*C119</f>
        <v>3742.6400000000003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9.5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427.5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0.9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54.458999999999996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18.100000000000001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1226.2750000000001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320.13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57767.714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19</v>
      </c>
      <c r="X153" t="s">
        <v>51</v>
      </c>
      <c r="Y153" s="170">
        <f>W153-Scénario!K28</f>
        <v>-9.5</v>
      </c>
      <c r="Z153" s="170">
        <f>Y153-Y156</f>
        <v>-7.6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18.100000000000001</v>
      </c>
      <c r="X154" t="s">
        <v>51</v>
      </c>
      <c r="Y154" s="170">
        <f>W154-Scénario!K29</f>
        <v>-0.39999999999999858</v>
      </c>
      <c r="Z154" s="170">
        <f>Y154</f>
        <v>-0.39999999999999858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-1.9</v>
      </c>
      <c r="Z156" s="170">
        <f t="shared" si="68"/>
        <v>-1.9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-7.6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-275.12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-0.39999999999999858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-11.999999999999957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-1.9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-295.26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4</v>
      </c>
      <c r="T164" s="170">
        <f>VLOOKUP($R164,[1]MEP!$A$4:$M$300,13)</f>
        <v>2</v>
      </c>
      <c r="U164" s="170">
        <f>IF($T164&gt;0,$S164,0)</f>
        <v>4</v>
      </c>
      <c r="V164" s="170">
        <f>IF($T164&gt;1,$S164,0)</f>
        <v>4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4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4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0</v>
      </c>
      <c r="T165" s="170">
        <f>VLOOKUP(R165,[1]MEP!$A$4:$M$300,13)</f>
        <v>1</v>
      </c>
      <c r="U165" s="170">
        <f t="shared" ref="U165:U207" si="72">IF($T165&gt;0,$S165,0)</f>
        <v>0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0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0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323</v>
      </c>
      <c r="S166" s="170">
        <f>'Alim -Surf'!R9</f>
        <v>8.5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8.5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8.5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336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3571.6800000000003</v>
      </c>
      <c r="K167" s="170"/>
      <c r="L167" s="170"/>
      <c r="M167" s="170"/>
      <c r="N167" s="170"/>
      <c r="Q167">
        <v>4</v>
      </c>
      <c r="R167" s="170">
        <f>'Alim -Surf'!Q10</f>
        <v>260</v>
      </c>
      <c r="S167" s="170">
        <f>'Alim -Surf'!R10</f>
        <v>1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1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1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53707.399999999994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30390.285999999993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15195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526.25506677875444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18864.030933221238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9432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0.9</v>
      </c>
      <c r="T186" s="170">
        <f>VLOOKUP(R186,[1]MEP!$A$4:$M$300,13)</f>
        <v>1</v>
      </c>
      <c r="U186" s="170">
        <f t="shared" si="72"/>
        <v>0.9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0.9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0.9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299</v>
      </c>
      <c r="S190" s="170">
        <f>'Alim -Surf'!R33</f>
        <v>0.6</v>
      </c>
      <c r="T190" s="170">
        <f>VLOOKUP(R190,[1]MEP!$A$4:$M$300,13)</f>
        <v>2</v>
      </c>
      <c r="U190" s="170">
        <f t="shared" si="72"/>
        <v>0.6</v>
      </c>
      <c r="V190" s="170">
        <f t="shared" si="73"/>
        <v>0.6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0.6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0.6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19</v>
      </c>
      <c r="V228" s="62">
        <f t="shared" ref="V228:W228" si="84">SUM(V164:V227)</f>
        <v>18.100000000000001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9.5</v>
      </c>
      <c r="AI228" s="62">
        <f t="shared" si="86"/>
        <v>0.9</v>
      </c>
      <c r="AJ228" s="62">
        <f t="shared" si="86"/>
        <v>18.100000000000001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3557</v>
      </c>
      <c r="U234" t="s">
        <v>1140</v>
      </c>
      <c r="V234" s="170"/>
      <c r="W234" s="170">
        <f>[1]Protect!$B$4</f>
        <v>6</v>
      </c>
      <c r="X234" s="170">
        <f>T234*W234</f>
        <v>21342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21342</v>
      </c>
      <c r="Z237" s="30">
        <f>IF(Scénario!K84=1,MIN(0.8*'Calcul éco'!X237,[1]Protect!$B$68),IF(Scénario!K84=2,MIN(0.8*'Calcul éco'!X237,[1]Protect!$B$67),0))</f>
        <v>17073.600000000002</v>
      </c>
      <c r="AA237" s="30">
        <f>X237-Z237</f>
        <v>4268.3999999999978</v>
      </c>
      <c r="AB237" s="30">
        <f>(Scénario!K127/100)*AA237</f>
        <v>0</v>
      </c>
      <c r="AC237" s="30">
        <f>AA237-AB237</f>
        <v>4268.3999999999978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526.25506677875444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1155</v>
      </c>
      <c r="T247" s="30">
        <f>Travail!F16/8</f>
        <v>0</v>
      </c>
      <c r="W247" s="170">
        <f>[1]Eco!$B$111</f>
        <v>28.3</v>
      </c>
      <c r="X247" s="170">
        <f>T247*W247</f>
        <v>0</v>
      </c>
    </row>
    <row r="248" spans="17:31" x14ac:dyDescent="0.25">
      <c r="W248" s="14" t="s">
        <v>1156</v>
      </c>
      <c r="X248" s="170">
        <f>SUM(X245:X247)</f>
        <v>3617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3617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1</v>
      </c>
      <c r="U256" s="170">
        <f>IF(T256=0,0,[1]Protect!$B76)</f>
        <v>7500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0</v>
      </c>
      <c r="U257" s="170">
        <f>IF(T257=0,0,[1]Protect!$B77)</f>
        <v>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0</v>
      </c>
      <c r="U258" s="170">
        <f>IF(T258=0,0,[1]Protect!$B78)</f>
        <v>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2893.6000000000004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2893.6000000000004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53.354999999999997</v>
      </c>
      <c r="U272" s="170"/>
      <c r="V272" s="170"/>
      <c r="W272" s="170">
        <f>W234</f>
        <v>6</v>
      </c>
      <c r="X272" s="170">
        <f>T272*W272</f>
        <v>320.13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Z2_OLBV_T3_s3</v>
      </c>
      <c r="D1" s="253" t="str">
        <f>CONCATENATE(C1,"_corr")</f>
        <v>Z2_OLBV_T3_s3_corr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0</v>
      </c>
      <c r="D23" s="174">
        <f t="shared" si="0"/>
        <v>0</v>
      </c>
    </row>
    <row r="24" spans="2:5" x14ac:dyDescent="0.25">
      <c r="B24" s="14" t="s">
        <v>575</v>
      </c>
      <c r="C24" s="174">
        <f>Scénario!K55</f>
        <v>0</v>
      </c>
      <c r="D24" s="174">
        <f t="shared" si="0"/>
        <v>0</v>
      </c>
    </row>
    <row r="25" spans="2:5" x14ac:dyDescent="0.25">
      <c r="B25" s="14" t="s">
        <v>576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0</v>
      </c>
      <c r="D27" s="174">
        <f t="shared" si="0"/>
        <v>0</v>
      </c>
    </row>
    <row r="28" spans="2:5" x14ac:dyDescent="0.25">
      <c r="B28" s="14" t="s">
        <v>584</v>
      </c>
      <c r="C28" s="174">
        <f>Scénario!K59</f>
        <v>1</v>
      </c>
      <c r="D28" s="174">
        <f t="shared" si="0"/>
        <v>1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591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612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3</v>
      </c>
      <c r="D51" s="174">
        <f t="shared" si="0"/>
        <v>3</v>
      </c>
      <c r="E51" s="14"/>
    </row>
    <row r="52" spans="1:132" x14ac:dyDescent="0.25">
      <c r="B52" s="19" t="s">
        <v>605</v>
      </c>
      <c r="C52" s="174">
        <f>Scénario!K84</f>
        <v>1</v>
      </c>
      <c r="D52" s="174">
        <f t="shared" si="0"/>
        <v>1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19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18.100000000000001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3.8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2</v>
      </c>
      <c r="BH98" s="170">
        <f>IF(CdTrp1!N52=1,3,IF(CdTrp1!N52=0.5,2,IF(CdTrp1!N52=0,1,0)))</f>
        <v>2</v>
      </c>
      <c r="BI98" s="170">
        <f>IF(CdTrp1!O52=1,3,IF(CdTrp1!O52=0.5,2,IF(CdTrp1!O52=0,1,0)))</f>
        <v>2</v>
      </c>
      <c r="BJ98" s="170">
        <f>IF(CdTrp1!P52=1,3,IF(CdTrp1!P52=0.5,2,IF(CdTrp1!P52=0,1,0)))</f>
        <v>2</v>
      </c>
      <c r="BK98" s="170">
        <f>IF(CdTrp1!Q52=1,3,IF(CdTrp1!Q52=0.5,2,IF(CdTrp1!Q52=0,1,0)))</f>
        <v>2</v>
      </c>
      <c r="BL98" s="170">
        <f>IF(CdTrp1!R52=1,3,IF(CdTrp1!R52=0.5,2,IF(CdTrp1!R52=0,1,0)))</f>
        <v>2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2</v>
      </c>
      <c r="BG101" s="170">
        <f>IF(CdTrp1!M55=1,3,IF(CdTrp1!M55=0.5,2,IF(CdTrp1!M55=0,1,0)))</f>
        <v>2</v>
      </c>
      <c r="BH101" s="170">
        <f>IF(CdTrp1!N55=1,3,IF(CdTrp1!N55=0.5,2,IF(CdTrp1!N55=0,1,0)))</f>
        <v>2</v>
      </c>
      <c r="BI101" s="170">
        <f>IF(CdTrp1!O55=1,3,IF(CdTrp1!O55=0.5,2,IF(CdTrp1!O55=0,1,0)))</f>
        <v>2</v>
      </c>
      <c r="BJ101" s="170">
        <f>IF(CdTrp1!P55=1,3,IF(CdTrp1!P55=0.5,2,IF(CdTrp1!P55=0,1,0)))</f>
        <v>2</v>
      </c>
      <c r="BK101" s="170">
        <f>IF(CdTrp1!Q55=1,3,IF(CdTrp1!Q55=0.5,2,IF(CdTrp1!Q55=0,1,0)))</f>
        <v>2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1</v>
      </c>
      <c r="BH109" s="170">
        <v>2</v>
      </c>
      <c r="BI109" s="170">
        <f>IF(CdTrp1!O76=1,1,IF(CdTrp1!O76=2,2,IF(CdTrp1!O76=3,2,IF(CdTrp1!O76=4,4,0))))</f>
        <v>1</v>
      </c>
      <c r="BJ109" s="170">
        <f>IF(CdTrp1!P76=1,1,IF(CdTrp1!P76=2,2,IF(CdTrp1!P76=3,2,IF(CdTrp1!P76=4,4,0))))</f>
        <v>1</v>
      </c>
      <c r="BK109" s="170">
        <f>IF(CdTrp1!Q76=1,1,IF(CdTrp1!Q76=2,2,IF(CdTrp1!Q76=3,2,IF(CdTrp1!Q76=4,4,0))))</f>
        <v>1</v>
      </c>
      <c r="BL109" s="170">
        <f>IF(CdTrp1!R76=1,1,IF(CdTrp1!R76=2,2,IF(CdTrp1!R76=3,2,IF(CdTrp1!R76=4,4,0))))</f>
        <v>1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23</v>
      </c>
      <c r="D110" s="170">
        <f t="shared" si="25"/>
        <v>23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1</v>
      </c>
      <c r="BH112" s="170">
        <f>IF(CdTrp1!N79=1,1,IF(CdTrp1!N79=2,2,IF(CdTrp1!N79=3,2,IF(CdTrp1!N79=4,4,0))))</f>
        <v>1</v>
      </c>
      <c r="BI112" s="170">
        <f>IF(CdTrp1!O79=1,1,IF(CdTrp1!O79=2,2,IF(CdTrp1!O79=3,2,IF(CdTrp1!O79=4,4,0))))</f>
        <v>1</v>
      </c>
      <c r="BJ112" s="170">
        <f>IF(CdTrp1!P79=1,1,IF(CdTrp1!P79=2,2,IF(CdTrp1!P79=3,2,IF(CdTrp1!P79=4,4,0))))</f>
        <v>1</v>
      </c>
      <c r="BK112" s="170">
        <f>IF(CdTrp1!Q79=1,1,IF(CdTrp1!Q79=2,2,IF(CdTrp1!Q79=3,2,IF(CdTrp1!Q79=4,4,0))))</f>
        <v>1</v>
      </c>
      <c r="BL112" s="170">
        <f>IF(CdTrp1!R79=1,1,IF(CdTrp1!R79=2,2,IF(CdTrp1!R79=3,2,IF(CdTrp1!R79=4,4,0))))</f>
        <v>1</v>
      </c>
      <c r="BM112" s="170">
        <f>IF(CdTrp1!S79=1,1,IF(CdTrp1!S79=2,2,IF(CdTrp1!S79=3,2,IF(CdTrp1!S79=4,4,0))))</f>
        <v>1</v>
      </c>
      <c r="BN112" s="170">
        <f>IF(CdTrp1!T79=1,1,IF(CdTrp1!T79=2,2,IF(CdTrp1!T79=3,2,IF(CdTrp1!T79=4,4,0))))</f>
        <v>1</v>
      </c>
      <c r="BO112" s="170">
        <f>IF(CdTrp1!U79=1,1,IF(CdTrp1!U79=2,2,IF(CdTrp1!U79=3,2,IF(CdTrp1!U79=4,4,0))))</f>
        <v>1</v>
      </c>
      <c r="BP112" s="170">
        <f>IF(CdTrp1!V79=1,1,IF(CdTrp1!V79=2,2,IF(CdTrp1!V79=3,2,IF(CdTrp1!V79=4,4,0))))</f>
        <v>1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0</v>
      </c>
      <c r="D113" s="170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0</v>
      </c>
      <c r="D122" s="170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0</v>
      </c>
      <c r="D125" s="170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3</v>
      </c>
      <c r="D128" s="170">
        <f t="shared" si="25"/>
        <v>3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2</v>
      </c>
      <c r="D130" s="170">
        <f t="shared" si="25"/>
        <v>2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2</v>
      </c>
      <c r="D132" s="170">
        <f t="shared" si="25"/>
        <v>2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1</v>
      </c>
      <c r="D133" s="260">
        <f t="shared" si="25"/>
        <v>1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0.8</v>
      </c>
      <c r="D136" s="260">
        <f t="shared" si="25"/>
        <v>0.8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71.187759885408155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155.15543804912758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119.01499999999999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96.611072385408164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107.53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187.7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22.403927614591822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81.2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-80.169999999999987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80.169999999999987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72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3557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13.5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263</v>
      </c>
      <c r="D185" s="170">
        <f>C185</f>
        <v>263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1347</v>
      </c>
      <c r="C188" s="170">
        <f>'Calcul éco'!T236</f>
        <v>0</v>
      </c>
      <c r="D188" s="170">
        <f t="shared" ref="D188:D189" si="101">C188</f>
        <v>0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0</v>
      </c>
      <c r="D190" s="170">
        <f>C190</f>
        <v>0</v>
      </c>
      <c r="AH190" s="15"/>
      <c r="AJ190" s="14" t="s">
        <v>1154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1350</v>
      </c>
      <c r="C191" s="193">
        <f>ROUND(SUM(Travail!F69:F74)/8,1)</f>
        <v>28.8</v>
      </c>
      <c r="D191" s="170">
        <f>C191</f>
        <v>28.8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0</v>
      </c>
      <c r="AN191" s="170">
        <f>[1]Eco!$B$111</f>
        <v>28.3</v>
      </c>
      <c r="AO191" s="170">
        <f>AK191*AN191</f>
        <v>0</v>
      </c>
    </row>
    <row r="192" spans="1:132" x14ac:dyDescent="0.25">
      <c r="B192" s="14" t="s">
        <v>1354</v>
      </c>
      <c r="C192" s="170">
        <f>(Travail!F83+Travail!F84)/8</f>
        <v>0.5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3617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7382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3617</v>
      </c>
      <c r="AQ207" s="5"/>
    </row>
    <row r="208" spans="1:43" x14ac:dyDescent="0.25">
      <c r="B208" s="207" t="s">
        <v>1023</v>
      </c>
      <c r="C208" s="170">
        <f>ROUND('Calcul éco'!J44,0)</f>
        <v>5099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3617</v>
      </c>
      <c r="AQ208" s="240"/>
    </row>
    <row r="209" spans="1:43" x14ac:dyDescent="0.25">
      <c r="B209" s="19" t="s">
        <v>1025</v>
      </c>
      <c r="C209" s="170">
        <f>ROUND('Calcul éco'!J45,0)</f>
        <v>15957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3617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2894</v>
      </c>
      <c r="D210" s="262">
        <f>ROUND(AL207,0)</f>
        <v>3617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43955.4</v>
      </c>
      <c r="D211" s="262">
        <f>ROUND(SUM(D201:D210),0)</f>
        <v>3617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1708.2340000000002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21620.549999999996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320.13</v>
      </c>
      <c r="D220" s="262">
        <f>SUM(AN215:AN219)</f>
        <v>0</v>
      </c>
      <c r="E220" s="17" t="s">
        <v>1392</v>
      </c>
      <c r="H220" s="14" t="s">
        <v>1036</v>
      </c>
      <c r="I220" s="30">
        <f>SUM(I216:I219)</f>
        <v>100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57768</v>
      </c>
      <c r="D221" s="262">
        <f>ROUND(SUM(D216:D220),0)</f>
        <v>0</v>
      </c>
      <c r="E221" s="17" t="s">
        <v>1392</v>
      </c>
      <c r="H221" s="14" t="s">
        <v>1037</v>
      </c>
      <c r="I221" s="30">
        <f>I220*[1]Eco!$B$25</f>
        <v>47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-275.12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-11.999999999999957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-295.26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1400</v>
      </c>
      <c r="C235" s="170">
        <f>'Calcul éco'!J167</f>
        <v>3571.6800000000003</v>
      </c>
      <c r="D235" s="262">
        <f>(D191+D192)*8*[1]Eco!$B$106</f>
        <v>2449.152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53707</v>
      </c>
      <c r="D236" s="262">
        <f>ROUND(SUM(D222:D235),0)</f>
        <v>23131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30391.399999999994</v>
      </c>
      <c r="D237" s="262">
        <f>D194+D211-D221-D236</f>
        <v>-19514</v>
      </c>
    </row>
    <row r="238" spans="1:49" x14ac:dyDescent="0.25">
      <c r="B238" s="207" t="s">
        <v>1129</v>
      </c>
      <c r="C238" s="170">
        <f>ROUND(C237/Scénario!$K$4,0)</f>
        <v>15196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526.25506677875444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18865</v>
      </c>
      <c r="D241" s="266">
        <f>ROUND(D237-D239-D240,0)</f>
        <v>-30514</v>
      </c>
    </row>
    <row r="242" spans="1:15" x14ac:dyDescent="0.25">
      <c r="B242" s="207" t="s">
        <v>1133</v>
      </c>
      <c r="C242" s="170">
        <f>ROUND(C241/Scénario!K4,0)</f>
        <v>9433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21342</v>
      </c>
      <c r="D243" s="170">
        <f>C243</f>
        <v>21342</v>
      </c>
    </row>
    <row r="244" spans="1:15" x14ac:dyDescent="0.25">
      <c r="B244" s="207" t="s">
        <v>1405</v>
      </c>
      <c r="C244" s="170">
        <f>'Calcul éco'!AA237+'Calcul éco'!AA240</f>
        <v>4268.3999999999978</v>
      </c>
      <c r="D244" s="170">
        <f>C244</f>
        <v>4268.3999999999978</v>
      </c>
    </row>
    <row r="245" spans="1:15" x14ac:dyDescent="0.25">
      <c r="A245" s="2" t="s">
        <v>1406</v>
      </c>
      <c r="B245" s="14" t="s">
        <v>572</v>
      </c>
      <c r="C245" s="268">
        <f>Travail!F5</f>
        <v>644</v>
      </c>
      <c r="D245" s="170">
        <f>C245</f>
        <v>644</v>
      </c>
    </row>
    <row r="246" spans="1:15" x14ac:dyDescent="0.25">
      <c r="B246" s="14" t="s">
        <v>586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992.74571428571448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0</v>
      </c>
      <c r="D251" s="170">
        <f>C251</f>
        <v>0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72</v>
      </c>
      <c r="D252" s="170">
        <f t="shared" ref="D252:D253" si="113">C252</f>
        <v>72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48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109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130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17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230.4</v>
      </c>
      <c r="D275" s="170">
        <f>C275</f>
        <v>230.4</v>
      </c>
    </row>
    <row r="276" spans="1:4" x14ac:dyDescent="0.25">
      <c r="A276" s="23"/>
      <c r="B276" s="32" t="s">
        <v>1416</v>
      </c>
      <c r="C276" s="268">
        <f>C192*8</f>
        <v>4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102</v>
      </c>
      <c r="D277" s="170">
        <f>C277</f>
        <v>102</v>
      </c>
    </row>
    <row r="278" spans="1:4" x14ac:dyDescent="0.25">
      <c r="B278" s="32" t="s">
        <v>1418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1419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4285</v>
      </c>
      <c r="D281" s="262">
        <f>ROUND(D245+D248+D251+D254+D257+D260+D261,0)</f>
        <v>864</v>
      </c>
    </row>
    <row r="282" spans="1:4" x14ac:dyDescent="0.25">
      <c r="B282" s="14" t="s">
        <v>1423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15.41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4900</v>
      </c>
      <c r="D287" s="262">
        <f>SUM(D281:D283)</f>
        <v>1026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325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336.4</v>
      </c>
      <c r="D290" s="269">
        <f>D275+D276+D277</f>
        <v>332.4</v>
      </c>
    </row>
    <row r="291" spans="2:4" x14ac:dyDescent="0.25">
      <c r="B291" s="14" t="s">
        <v>1432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909</v>
      </c>
      <c r="C292" s="170">
        <f>ROUND(SUM(C287:C291),0)</f>
        <v>6161</v>
      </c>
      <c r="D292" s="262">
        <f>ROUND(SUM(D287:D291),0)</f>
        <v>1958</v>
      </c>
    </row>
    <row r="293" spans="2:4" x14ac:dyDescent="0.25">
      <c r="B293" s="14" t="s">
        <v>910</v>
      </c>
      <c r="C293" s="170">
        <f>ROUND(IF(Scénario!$K$129=1,SUM(C275:C280),SUM(C278:C280)),0)</f>
        <v>336</v>
      </c>
      <c r="D293" s="170">
        <f>ROUND(IF(Scénario!$K$129=1,SUM(D275:D280),SUM(D278:D280)),0)</f>
        <v>332</v>
      </c>
    </row>
    <row r="294" spans="2:4" x14ac:dyDescent="0.25">
      <c r="B294" s="14" t="s">
        <v>911</v>
      </c>
      <c r="C294" s="170">
        <f>ROUND((C292-C293)/C83,0)</f>
        <v>2913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71.18775988540817</v>
      </c>
    </row>
    <row r="299" spans="2:4" x14ac:dyDescent="0.25">
      <c r="B299" s="14" t="s">
        <v>1447</v>
      </c>
      <c r="C299" s="170">
        <f>IF(Troupeau!$B$3="OL",CdTrp1!AA221,0)</f>
        <v>0</v>
      </c>
    </row>
    <row r="300" spans="2:4" x14ac:dyDescent="0.25">
      <c r="B300" s="14" t="s">
        <v>1448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1449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0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21342</v>
      </c>
    </row>
    <row r="308" spans="2:3" x14ac:dyDescent="0.25">
      <c r="B308" s="14" t="s">
        <v>1456</v>
      </c>
      <c r="C308" s="170">
        <f>'Calcul éco'!X235</f>
        <v>0</v>
      </c>
    </row>
    <row r="309" spans="2:3" x14ac:dyDescent="0.25">
      <c r="B309" s="14" t="s">
        <v>1457</v>
      </c>
      <c r="C309" s="170">
        <f>'Calcul éco'!X236</f>
        <v>0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7" activePane="bottomLeft" state="frozen"/>
      <selection pane="bottomLeft" activeCell="L55" sqref="L55: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v>190.0612244897959</v>
      </c>
      <c r="C15" s="282">
        <v>196.86938775510205</v>
      </c>
      <c r="D15" s="282">
        <v>203.67755102040817</v>
      </c>
      <c r="E15" s="282">
        <v>196.86938775510205</v>
      </c>
      <c r="F15" s="282">
        <v>203.67755102040817</v>
      </c>
      <c r="G15" s="282">
        <v>209.91836734693877</v>
      </c>
      <c r="H15" s="282">
        <v>216.15918367346939</v>
      </c>
      <c r="I15" s="282">
        <v>222.96734693877551</v>
      </c>
      <c r="J15" s="282">
        <v>229.77551020408163</v>
      </c>
      <c r="K15" s="282">
        <v>236.58367346938775</v>
      </c>
      <c r="L15" s="282">
        <v>242.82448979591837</v>
      </c>
      <c r="M15" s="282">
        <v>242.82448979591837</v>
      </c>
      <c r="N15" s="282">
        <v>242.82448979591837</v>
      </c>
      <c r="O15" s="282">
        <v>242.82448979591837</v>
      </c>
      <c r="P15" s="282">
        <v>242.82448979591837</v>
      </c>
      <c r="Q15" s="282">
        <v>242.82448979591837</v>
      </c>
      <c r="R15" s="282">
        <v>242.82448979591837</v>
      </c>
      <c r="S15" s="282">
        <v>228.64081632653063</v>
      </c>
      <c r="T15" s="282">
        <v>228.64081632653063</v>
      </c>
      <c r="U15" s="282">
        <v>228.64081632653063</v>
      </c>
      <c r="V15" s="282">
        <v>228.64081632653063</v>
      </c>
      <c r="W15" s="282">
        <v>263.81632653061223</v>
      </c>
      <c r="X15" s="282">
        <v>190.0612244897959</v>
      </c>
      <c r="Y15" s="282">
        <v>190.0612244897959</v>
      </c>
      <c r="Z15" s="52"/>
    </row>
    <row r="16" spans="1:61" x14ac:dyDescent="0.25">
      <c r="A16" s="50" t="s">
        <v>1469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1470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v>55.6</v>
      </c>
      <c r="C18" s="282">
        <v>55.6</v>
      </c>
      <c r="D18" s="282">
        <v>55.6</v>
      </c>
      <c r="E18" s="282">
        <v>55.6</v>
      </c>
      <c r="F18" s="282">
        <v>55.6</v>
      </c>
      <c r="G18" s="282">
        <v>55.6</v>
      </c>
      <c r="H18" s="282">
        <v>55.6</v>
      </c>
      <c r="I18" s="282">
        <v>55.6</v>
      </c>
      <c r="J18" s="282">
        <v>55.6</v>
      </c>
      <c r="K18" s="282">
        <v>55.6</v>
      </c>
      <c r="L18" s="282">
        <v>55.6</v>
      </c>
      <c r="M18" s="282">
        <v>55.6</v>
      </c>
      <c r="N18" s="282">
        <v>55.6</v>
      </c>
      <c r="O18" s="282">
        <v>55.6</v>
      </c>
      <c r="P18" s="282">
        <v>55.6</v>
      </c>
      <c r="Q18" s="282">
        <v>55.6</v>
      </c>
      <c r="R18" s="282">
        <v>55.6</v>
      </c>
      <c r="S18" s="282">
        <v>55.6</v>
      </c>
      <c r="T18" s="282">
        <v>55.6</v>
      </c>
      <c r="U18" s="282">
        <v>55.6</v>
      </c>
      <c r="V18" s="282">
        <v>55.6</v>
      </c>
      <c r="W18" s="282">
        <v>0</v>
      </c>
      <c r="X18" s="282">
        <v>0</v>
      </c>
      <c r="Y18" s="282"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v>6.240816326530612</v>
      </c>
      <c r="C19" s="282">
        <v>6.240816326530612</v>
      </c>
      <c r="D19" s="282">
        <v>6.240816326530612</v>
      </c>
      <c r="E19" s="282">
        <v>6.240816326530612</v>
      </c>
      <c r="F19" s="282">
        <v>6.240816326530612</v>
      </c>
      <c r="G19" s="282">
        <v>6.240816326530612</v>
      </c>
      <c r="H19" s="282">
        <v>6.240816326530612</v>
      </c>
      <c r="I19" s="282">
        <v>6.240816326530612</v>
      </c>
      <c r="J19" s="282">
        <v>6.240816326530612</v>
      </c>
      <c r="K19" s="282">
        <v>6.240816326530612</v>
      </c>
      <c r="L19" s="282">
        <v>0</v>
      </c>
      <c r="M19" s="282">
        <v>0</v>
      </c>
      <c r="N19" s="282">
        <v>0</v>
      </c>
      <c r="O19" s="282">
        <v>0</v>
      </c>
      <c r="P19" s="282">
        <v>0</v>
      </c>
      <c r="Q19" s="282">
        <v>0</v>
      </c>
      <c r="R19" s="282">
        <v>0</v>
      </c>
      <c r="S19" s="282">
        <v>0</v>
      </c>
      <c r="T19" s="282">
        <v>0</v>
      </c>
      <c r="U19" s="282">
        <v>0</v>
      </c>
      <c r="V19" s="282">
        <v>0</v>
      </c>
      <c r="W19" s="282">
        <v>6.240816326530612</v>
      </c>
      <c r="X19" s="282">
        <v>6.240816326530612</v>
      </c>
      <c r="Y19" s="282"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0.5</v>
      </c>
      <c r="M55" s="60">
        <v>0.5</v>
      </c>
      <c r="N55" s="60">
        <v>0.5</v>
      </c>
      <c r="O55" s="60">
        <v>0.5</v>
      </c>
      <c r="P55" s="60">
        <v>0.5</v>
      </c>
      <c r="Q55" s="60">
        <v>0.5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38.762999999999998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273.17755102040815</v>
      </c>
      <c r="N63" s="61">
        <f t="shared" si="19"/>
        <v>282.28346938775508</v>
      </c>
      <c r="O63" s="61">
        <f t="shared" si="19"/>
        <v>282.28346938775508</v>
      </c>
      <c r="P63" s="61">
        <f t="shared" si="19"/>
        <v>282.28346938775508</v>
      </c>
      <c r="Q63" s="61">
        <f t="shared" si="19"/>
        <v>282.28346938775508</v>
      </c>
      <c r="R63" s="61">
        <f t="shared" si="19"/>
        <v>273.17755102040815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29.19</v>
      </c>
      <c r="M66" s="61">
        <f t="shared" si="22"/>
        <v>29.19</v>
      </c>
      <c r="N66" s="61">
        <f t="shared" si="22"/>
        <v>30.163000000000004</v>
      </c>
      <c r="O66" s="61">
        <f t="shared" si="22"/>
        <v>30.163000000000004</v>
      </c>
      <c r="P66" s="61">
        <f t="shared" si="22"/>
        <v>64.635000000000005</v>
      </c>
      <c r="Q66" s="61">
        <f t="shared" si="22"/>
        <v>64.635000000000005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302</v>
      </c>
      <c r="M73" s="64">
        <f t="shared" si="29"/>
        <v>302</v>
      </c>
      <c r="N73" s="64">
        <f t="shared" si="29"/>
        <v>312</v>
      </c>
      <c r="O73" s="64">
        <f t="shared" si="29"/>
        <v>312</v>
      </c>
      <c r="P73" s="64">
        <f t="shared" si="29"/>
        <v>347</v>
      </c>
      <c r="Q73" s="64">
        <f t="shared" si="29"/>
        <v>347</v>
      </c>
      <c r="R73" s="64">
        <f t="shared" si="29"/>
        <v>336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8614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23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273"/>
      <c r="X79" s="273"/>
      <c r="Y79" s="273"/>
      <c r="AB79" s="142">
        <v>2</v>
      </c>
      <c r="AC79">
        <f t="shared" ref="AC79:AC81" si="30">COUNTIF($B$76:$Y$85,AB79)/2</f>
        <v>0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0.2</v>
      </c>
      <c r="G123" s="273">
        <v>0.2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0.1</v>
      </c>
      <c r="C124" s="273">
        <v>0.1</v>
      </c>
      <c r="D124" s="273">
        <v>0.2</v>
      </c>
      <c r="E124" s="273">
        <v>0.2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>
        <v>0.8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>
        <v>0.5</v>
      </c>
      <c r="X124" s="273">
        <v>0.3</v>
      </c>
      <c r="Y124" s="273">
        <v>0.3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/>
      <c r="C125" s="273"/>
      <c r="D125" s="273"/>
      <c r="E125" s="159"/>
      <c r="F125" s="159"/>
      <c r="G125" s="159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>
        <v>0.8</v>
      </c>
      <c r="M126" s="60">
        <v>0.8</v>
      </c>
      <c r="N126" s="60">
        <v>0.8</v>
      </c>
      <c r="O126" s="60">
        <v>0.8</v>
      </c>
      <c r="P126" s="60">
        <v>0.8</v>
      </c>
      <c r="Q126" s="60">
        <v>0.8</v>
      </c>
      <c r="R126" s="273">
        <v>0.7</v>
      </c>
      <c r="S126" s="273">
        <v>0.7</v>
      </c>
      <c r="T126" s="273">
        <v>0.5</v>
      </c>
      <c r="U126" s="273">
        <v>0.4</v>
      </c>
      <c r="V126" s="273">
        <v>0.3</v>
      </c>
      <c r="W126" s="273">
        <v>0.3</v>
      </c>
      <c r="X126" s="273"/>
      <c r="Y126" s="273"/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159"/>
      <c r="Y127" s="159"/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6.13342356489796</v>
      </c>
      <c r="G136" s="61">
        <f t="shared" si="52"/>
        <v>6.3213557632653057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1.1003591755102038</v>
      </c>
      <c r="N136" s="61">
        <f t="shared" si="52"/>
        <v>1.1370378146938771</v>
      </c>
      <c r="O136" s="61">
        <f t="shared" si="52"/>
        <v>1.1370378146938771</v>
      </c>
      <c r="P136" s="61">
        <f t="shared" si="52"/>
        <v>1.1370378146938771</v>
      </c>
      <c r="Q136" s="61">
        <f t="shared" si="52"/>
        <v>1.1370378146938771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105.30970290948983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2.3921545408163261</v>
      </c>
      <c r="C137" s="61">
        <f t="shared" si="53"/>
        <v>2.1606557142857143</v>
      </c>
      <c r="D137" s="61">
        <f t="shared" si="53"/>
        <v>1.5488571428571432</v>
      </c>
      <c r="E137" s="61">
        <f t="shared" si="53"/>
        <v>1.3629942857142856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8.5740306122448956E-2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0.2074362244897959</v>
      </c>
      <c r="X137" s="61">
        <f t="shared" si="53"/>
        <v>1.8605646428571425</v>
      </c>
      <c r="Y137" s="61">
        <f t="shared" si="53"/>
        <v>1.8605646428571425</v>
      </c>
      <c r="AA137" s="61">
        <f>SUM(B137:Y137)</f>
        <v>15.283375515306121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0.7842380000000001</v>
      </c>
      <c r="K139" s="61">
        <f t="shared" si="53"/>
        <v>0.7842380000000001</v>
      </c>
      <c r="L139" s="61">
        <f t="shared" si="53"/>
        <v>0.15178799999999998</v>
      </c>
      <c r="M139" s="61">
        <f t="shared" si="53"/>
        <v>0.15178799999999998</v>
      </c>
      <c r="N139" s="61">
        <f t="shared" si="53"/>
        <v>0.15684759999999998</v>
      </c>
      <c r="O139" s="61">
        <f t="shared" si="53"/>
        <v>0.15684759999999998</v>
      </c>
      <c r="P139" s="61">
        <f t="shared" si="53"/>
        <v>0.33610199999999996</v>
      </c>
      <c r="Q139" s="61">
        <f t="shared" si="53"/>
        <v>0.33610199999999996</v>
      </c>
      <c r="R139" s="61">
        <f t="shared" si="53"/>
        <v>0.48789000000000005</v>
      </c>
      <c r="S139" s="61">
        <f t="shared" si="53"/>
        <v>0.48789000000000005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11.927284200000003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0.18862867346938775</v>
      </c>
      <c r="G140" s="61">
        <f t="shared" si="53"/>
        <v>0.18862867346938775</v>
      </c>
      <c r="H140" s="61">
        <f t="shared" si="53"/>
        <v>0.18254387755102039</v>
      </c>
      <c r="I140" s="61">
        <f t="shared" si="53"/>
        <v>0.18254387755102039</v>
      </c>
      <c r="J140" s="61">
        <f t="shared" si="53"/>
        <v>0.18862867346938775</v>
      </c>
      <c r="K140" s="61">
        <f t="shared" si="53"/>
        <v>0.18862867346938775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2.3974095918367349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134.9177722166327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155.15543804912758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1.53335589122449</v>
      </c>
      <c r="G149" s="61">
        <f t="shared" si="56"/>
        <v>1.5803389408163264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4.4014367020408169</v>
      </c>
      <c r="N149" s="61">
        <f t="shared" si="56"/>
        <v>4.5481512587755102</v>
      </c>
      <c r="O149" s="61">
        <f t="shared" si="56"/>
        <v>4.5481512587755102</v>
      </c>
      <c r="P149" s="61">
        <f t="shared" si="56"/>
        <v>4.5481512587755102</v>
      </c>
      <c r="Q149" s="61">
        <f t="shared" si="56"/>
        <v>4.5481512587755102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0.26579494897959188</v>
      </c>
      <c r="C150" s="61">
        <f t="shared" si="57"/>
        <v>0.2400728571428572</v>
      </c>
      <c r="D150" s="61">
        <f t="shared" si="57"/>
        <v>0.38721428571428573</v>
      </c>
      <c r="E150" s="61">
        <f t="shared" si="57"/>
        <v>0.3407485714285714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0.34296122448979593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0.2074362244897959</v>
      </c>
      <c r="X150" s="61">
        <f t="shared" si="57"/>
        <v>0.79738484693877543</v>
      </c>
      <c r="Y150" s="61">
        <f t="shared" si="57"/>
        <v>0.79738484693877543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</v>
      </c>
      <c r="K152" s="61">
        <f t="shared" si="59"/>
        <v>0</v>
      </c>
      <c r="L152" s="61">
        <f t="shared" si="59"/>
        <v>0.60715200000000014</v>
      </c>
      <c r="M152" s="61">
        <f t="shared" si="59"/>
        <v>0.60715200000000014</v>
      </c>
      <c r="N152" s="61">
        <f t="shared" si="59"/>
        <v>0.62739040000000013</v>
      </c>
      <c r="O152" s="61">
        <f t="shared" si="59"/>
        <v>0.62739040000000013</v>
      </c>
      <c r="P152" s="61">
        <f t="shared" si="59"/>
        <v>1.3444080000000003</v>
      </c>
      <c r="Q152" s="61">
        <f t="shared" si="59"/>
        <v>1.3444080000000003</v>
      </c>
      <c r="R152" s="61">
        <f t="shared" si="59"/>
        <v>1.1384099999999999</v>
      </c>
      <c r="S152" s="61">
        <f t="shared" si="59"/>
        <v>1.1384099999999999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71.187759885408155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1.53335589122449</v>
      </c>
      <c r="G162" s="61">
        <f t="shared" si="66"/>
        <v>1.5803389408163264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4.4014367020408169</v>
      </c>
      <c r="N162" s="61">
        <f t="shared" si="66"/>
        <v>4.5481512587755102</v>
      </c>
      <c r="O162" s="61">
        <f t="shared" si="66"/>
        <v>4.5481512587755102</v>
      </c>
      <c r="P162" s="61">
        <f t="shared" si="66"/>
        <v>4.5481512587755102</v>
      </c>
      <c r="Q162" s="61">
        <f t="shared" si="66"/>
        <v>4.5481512587755102</v>
      </c>
      <c r="R162" s="61">
        <f t="shared" si="66"/>
        <v>2.7508979387755104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0.26579494897959188</v>
      </c>
      <c r="C163" s="61">
        <f t="shared" si="67"/>
        <v>0.2400728571428572</v>
      </c>
      <c r="D163" s="61">
        <f t="shared" si="67"/>
        <v>0.38721428571428573</v>
      </c>
      <c r="E163" s="61">
        <f t="shared" si="67"/>
        <v>0.3407485714285714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0.34296122448979593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0.2074362244897959</v>
      </c>
      <c r="X163" s="61">
        <f t="shared" si="67"/>
        <v>0.79738484693877543</v>
      </c>
      <c r="Y163" s="61">
        <f t="shared" si="67"/>
        <v>0.79738484693877543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0.60715200000000014</v>
      </c>
      <c r="M165" s="61">
        <f t="shared" si="69"/>
        <v>0.60715200000000014</v>
      </c>
      <c r="N165" s="61">
        <f t="shared" si="69"/>
        <v>0.62739040000000013</v>
      </c>
      <c r="O165" s="61">
        <f t="shared" si="69"/>
        <v>0.62739040000000013</v>
      </c>
      <c r="P165" s="61">
        <f t="shared" si="69"/>
        <v>1.3444080000000003</v>
      </c>
      <c r="Q165" s="61">
        <f t="shared" si="69"/>
        <v>1.3444080000000003</v>
      </c>
      <c r="R165" s="61">
        <f t="shared" si="69"/>
        <v>1.1384099999999999</v>
      </c>
      <c r="S165" s="61">
        <f t="shared" si="69"/>
        <v>1.1384099999999999</v>
      </c>
      <c r="T165" s="61">
        <f t="shared" si="69"/>
        <v>0.84025500000000009</v>
      </c>
      <c r="U165" s="61">
        <f t="shared" si="69"/>
        <v>0.67220400000000002</v>
      </c>
      <c r="V165" s="61">
        <f t="shared" si="69"/>
        <v>0.48788999999999993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0.26579494897959188</v>
      </c>
      <c r="C172" s="61">
        <f t="shared" ref="C172:Y172" si="76">SUM(C162:C171)</f>
        <v>0.2400728571428572</v>
      </c>
      <c r="D172" s="61">
        <f t="shared" si="76"/>
        <v>0.38721428571428573</v>
      </c>
      <c r="E172" s="61">
        <f t="shared" si="76"/>
        <v>0.3407485714285714</v>
      </c>
      <c r="F172" s="61">
        <f t="shared" si="76"/>
        <v>2.0709476106122451</v>
      </c>
      <c r="G172" s="61">
        <f t="shared" si="76"/>
        <v>2.0387066173469388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3.9051306208163266</v>
      </c>
      <c r="L172" s="61">
        <f t="shared" si="76"/>
        <v>4.1453476408163263</v>
      </c>
      <c r="M172" s="61">
        <f t="shared" si="76"/>
        <v>5.0085887020408171</v>
      </c>
      <c r="N172" s="61">
        <f t="shared" si="76"/>
        <v>5.1755416587755105</v>
      </c>
      <c r="O172" s="61">
        <f t="shared" si="76"/>
        <v>5.1755416587755105</v>
      </c>
      <c r="P172" s="61">
        <f t="shared" si="76"/>
        <v>5.8925592587755107</v>
      </c>
      <c r="Q172" s="61">
        <f t="shared" si="76"/>
        <v>5.8925592587755107</v>
      </c>
      <c r="R172" s="61">
        <f t="shared" si="76"/>
        <v>3.8893079387755103</v>
      </c>
      <c r="S172" s="61">
        <f t="shared" si="76"/>
        <v>3.7286246479591836</v>
      </c>
      <c r="T172" s="61">
        <f t="shared" si="76"/>
        <v>3.5168101362244903</v>
      </c>
      <c r="U172" s="61">
        <f t="shared" si="76"/>
        <v>3.3487591362244906</v>
      </c>
      <c r="V172" s="61">
        <f t="shared" si="76"/>
        <v>1.5051987321428573</v>
      </c>
      <c r="W172" s="61">
        <f t="shared" si="76"/>
        <v>2.3295088010204079</v>
      </c>
      <c r="X172" s="61">
        <f t="shared" si="76"/>
        <v>0.79738484693877543</v>
      </c>
      <c r="Y172" s="61">
        <f t="shared" si="76"/>
        <v>0.79738484693877543</v>
      </c>
      <c r="AA172" s="64">
        <f>SUM(B172:Y172)</f>
        <v>71.18775988540817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0.26579494897959188</v>
      </c>
      <c r="C215" s="61">
        <f t="shared" ref="C215:Y215" si="109">C172</f>
        <v>0.2400728571428572</v>
      </c>
      <c r="D215" s="61">
        <f t="shared" si="109"/>
        <v>0.38721428571428573</v>
      </c>
      <c r="E215" s="61">
        <f t="shared" si="109"/>
        <v>0.3407485714285714</v>
      </c>
      <c r="F215" s="61">
        <f t="shared" si="109"/>
        <v>2.0709476106122451</v>
      </c>
      <c r="G215" s="61">
        <f t="shared" si="109"/>
        <v>2.0387066173469388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3.9051306208163266</v>
      </c>
      <c r="L215" s="61">
        <f t="shared" si="109"/>
        <v>4.1453476408163263</v>
      </c>
      <c r="M215" s="61">
        <f t="shared" si="109"/>
        <v>5.0085887020408171</v>
      </c>
      <c r="N215" s="61">
        <f t="shared" si="109"/>
        <v>5.1755416587755105</v>
      </c>
      <c r="O215" s="61">
        <f t="shared" si="109"/>
        <v>5.1755416587755105</v>
      </c>
      <c r="P215" s="61">
        <f t="shared" si="109"/>
        <v>5.8925592587755107</v>
      </c>
      <c r="Q215" s="61">
        <f t="shared" si="109"/>
        <v>5.8925592587755107</v>
      </c>
      <c r="R215" s="61">
        <f t="shared" si="109"/>
        <v>3.8893079387755103</v>
      </c>
      <c r="S215" s="61">
        <f t="shared" si="109"/>
        <v>3.7286246479591836</v>
      </c>
      <c r="T215" s="61">
        <f t="shared" si="109"/>
        <v>3.5168101362244903</v>
      </c>
      <c r="U215" s="61">
        <f t="shared" si="109"/>
        <v>3.3487591362244906</v>
      </c>
      <c r="V215" s="61">
        <f t="shared" si="109"/>
        <v>1.5051987321428573</v>
      </c>
      <c r="W215" s="61">
        <f t="shared" si="109"/>
        <v>2.3295088010204079</v>
      </c>
      <c r="X215" s="61">
        <f t="shared" si="109"/>
        <v>0.79738484693877543</v>
      </c>
      <c r="Y215" s="61">
        <f t="shared" si="109"/>
        <v>0.79738484693877543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</v>
      </c>
      <c r="V216" s="61">
        <f t="shared" si="110"/>
        <v>0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71.18775988540817</v>
      </c>
      <c r="AB219" t="s">
        <v>222</v>
      </c>
    </row>
    <row r="220" spans="1:28" x14ac:dyDescent="0.25">
      <c r="AA220" s="30">
        <f>SUM(B215:Y217)</f>
        <v>71.18775988540817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2023-01-09T18:24:28Z</dcterms:modified>
</cp:coreProperties>
</file>