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70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BK5" i="29" s="1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13" i="29" l="1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E26" i="29"/>
  <c r="BF26" i="29" s="1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0" i="29"/>
  <c r="Y30" i="29"/>
  <c r="Z29" i="29"/>
  <c r="Y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K25" i="29"/>
  <c r="AH22" i="29"/>
  <c r="AE22" i="29"/>
  <c r="AD22" i="29"/>
  <c r="AD20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E70" i="29" s="1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K72" i="29"/>
  <c r="J72" i="29"/>
  <c r="E72" i="29"/>
  <c r="AA71" i="29"/>
  <c r="H71" i="29" s="1"/>
  <c r="X71" i="29"/>
  <c r="D71" i="29"/>
  <c r="AA70" i="29"/>
  <c r="Y70" i="29"/>
  <c r="F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R70" i="29" l="1"/>
  <c r="Y165" i="28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AL207" i="32"/>
  <c r="D210" i="32" s="1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BO152" i="32"/>
  <c r="BN152" i="32"/>
  <c r="BM152" i="32"/>
  <c r="BL152" i="32"/>
  <c r="BK152" i="32"/>
  <c r="BJ152" i="32"/>
  <c r="BI152" i="32"/>
  <c r="BH152" i="32"/>
  <c r="BG152" i="32"/>
  <c r="BF152" i="32"/>
  <c r="BE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P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V90" i="32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D54" i="32"/>
  <c r="C54" i="32"/>
  <c r="D53" i="32"/>
  <c r="C53" i="32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V263" i="31"/>
  <c r="J46" i="31" s="1"/>
  <c r="C210" i="32" s="1"/>
  <c r="T246" i="31"/>
  <c r="B166" i="31" s="1"/>
  <c r="W273" i="31"/>
  <c r="AM217" i="32" s="1"/>
  <c r="T240" i="31"/>
  <c r="T273" i="31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B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R112" i="30" s="1"/>
  <c r="BN21" i="30"/>
  <c r="BN77" i="30" s="1"/>
  <c r="BJ21" i="30"/>
  <c r="BJ66" i="30" s="1"/>
  <c r="BJ112" i="30" s="1"/>
  <c r="BF21" i="30"/>
  <c r="BF77" i="30" s="1"/>
  <c r="BB21" i="30"/>
  <c r="BB66" i="30" s="1"/>
  <c r="BB112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V108" i="30" s="1"/>
  <c r="CR17" i="30"/>
  <c r="CN17" i="30"/>
  <c r="CN62" i="30" s="1"/>
  <c r="CN108" i="30" s="1"/>
  <c r="CJ17" i="30"/>
  <c r="CF17" i="30"/>
  <c r="CF62" i="30" s="1"/>
  <c r="CF108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N111" i="30" s="1"/>
  <c r="BM20" i="30"/>
  <c r="BK20" i="30"/>
  <c r="BJ20" i="30"/>
  <c r="BI20" i="30"/>
  <c r="BI76" i="30" s="1"/>
  <c r="BG20" i="30"/>
  <c r="BF20" i="30"/>
  <c r="BF65" i="30" s="1"/>
  <c r="BF111" i="30" s="1"/>
  <c r="BE20" i="30"/>
  <c r="BC20" i="30"/>
  <c r="BB20" i="30"/>
  <c r="BA20" i="30"/>
  <c r="BA76" i="30" s="1"/>
  <c r="AY20" i="30"/>
  <c r="AX20" i="30"/>
  <c r="AX65" i="30" s="1"/>
  <c r="AX111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W54" i="29" s="1"/>
  <c r="S62" i="29"/>
  <c r="S63" i="29" s="1"/>
  <c r="S49" i="29" s="1"/>
  <c r="S54" i="29" s="1"/>
  <c r="O62" i="29"/>
  <c r="O63" i="29" s="1"/>
  <c r="O49" i="29" s="1"/>
  <c r="O54" i="29" s="1"/>
  <c r="K62" i="29"/>
  <c r="K63" i="29" s="1"/>
  <c r="K49" i="29" s="1"/>
  <c r="K54" i="29" s="1"/>
  <c r="G62" i="29"/>
  <c r="G63" i="29" s="1"/>
  <c r="G49" i="29" s="1"/>
  <c r="G54" i="29" s="1"/>
  <c r="C59" i="29"/>
  <c r="Y26" i="29"/>
  <c r="U26" i="29"/>
  <c r="U30" i="29" s="1"/>
  <c r="Q26" i="29"/>
  <c r="Q30" i="29" s="1"/>
  <c r="M26" i="29"/>
  <c r="M30" i="29" s="1"/>
  <c r="I26" i="29"/>
  <c r="I30" i="29" s="1"/>
  <c r="E26" i="29"/>
  <c r="E30" i="29" s="1"/>
  <c r="Z25" i="29"/>
  <c r="V25" i="29"/>
  <c r="R25" i="29"/>
  <c r="N25" i="29"/>
  <c r="J25" i="29"/>
  <c r="F25" i="29"/>
  <c r="W25" i="29"/>
  <c r="S25" i="29"/>
  <c r="O25" i="29"/>
  <c r="K25" i="29"/>
  <c r="G25" i="29"/>
  <c r="X26" i="29"/>
  <c r="X30" i="29" s="1"/>
  <c r="T26" i="29"/>
  <c r="T30" i="29" s="1"/>
  <c r="P26" i="29"/>
  <c r="P30" i="29" s="1"/>
  <c r="L26" i="29"/>
  <c r="L30" i="29" s="1"/>
  <c r="H26" i="29"/>
  <c r="H30" i="29" s="1"/>
  <c r="D26" i="29"/>
  <c r="D30" i="29" s="1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W30" i="29" s="1"/>
  <c r="O26" i="29"/>
  <c r="O30" i="29" s="1"/>
  <c r="G26" i="29"/>
  <c r="G30" i="29" s="1"/>
  <c r="Y25" i="29"/>
  <c r="Q25" i="29"/>
  <c r="I25" i="29"/>
  <c r="AK22" i="29"/>
  <c r="AK21" i="29"/>
  <c r="AK20" i="29"/>
  <c r="AF20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V12" i="29" s="1"/>
  <c r="S20" i="29"/>
  <c r="S21" i="29" s="1"/>
  <c r="S7" i="29" s="1"/>
  <c r="S12" i="29" s="1"/>
  <c r="R20" i="29"/>
  <c r="R21" i="29" s="1"/>
  <c r="R7" i="29" s="1"/>
  <c r="R12" i="29" s="1"/>
  <c r="O20" i="29"/>
  <c r="O21" i="29" s="1"/>
  <c r="O7" i="29" s="1"/>
  <c r="O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C12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AJ8" i="29"/>
  <c r="B81" i="30" s="1"/>
  <c r="Z5" i="29"/>
  <c r="Z9" i="29" s="1"/>
  <c r="W5" i="29"/>
  <c r="W9" i="29" s="1"/>
  <c r="V5" i="29"/>
  <c r="V9" i="29" s="1"/>
  <c r="S5" i="29"/>
  <c r="S9" i="29" s="1"/>
  <c r="R5" i="29"/>
  <c r="R9" i="29" s="1"/>
  <c r="O5" i="29"/>
  <c r="O9" i="29" s="1"/>
  <c r="N5" i="29"/>
  <c r="N9" i="29" s="1"/>
  <c r="K5" i="29"/>
  <c r="K9" i="29" s="1"/>
  <c r="J5" i="29"/>
  <c r="J9" i="29" s="1"/>
  <c r="G5" i="29"/>
  <c r="G9" i="29" s="1"/>
  <c r="F5" i="29"/>
  <c r="F9" i="29" s="1"/>
  <c r="C5" i="29"/>
  <c r="C9" i="29" s="1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Q8" i="29" s="1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U73" i="30" l="1"/>
  <c r="Q29" i="29"/>
  <c r="W29" i="29"/>
  <c r="AA73" i="30"/>
  <c r="F29" i="29"/>
  <c r="J73" i="30"/>
  <c r="J29" i="29"/>
  <c r="N73" i="30"/>
  <c r="N29" i="29"/>
  <c r="R73" i="30"/>
  <c r="I29" i="29"/>
  <c r="M73" i="30"/>
  <c r="G29" i="29"/>
  <c r="K73" i="30"/>
  <c r="V73" i="30"/>
  <c r="R29" i="29"/>
  <c r="W73" i="30"/>
  <c r="S29" i="29"/>
  <c r="K29" i="29"/>
  <c r="O73" i="30"/>
  <c r="V29" i="29"/>
  <c r="Z73" i="30"/>
  <c r="O29" i="29"/>
  <c r="S73" i="30"/>
  <c r="N8" i="29"/>
  <c r="R8" i="29"/>
  <c r="V8" i="29"/>
  <c r="V201" i="29" s="1"/>
  <c r="V212" i="29" s="1"/>
  <c r="T245" i="31"/>
  <c r="X245" i="31" s="1"/>
  <c r="J141" i="31" s="1"/>
  <c r="C219" i="32" s="1"/>
  <c r="CX91" i="32"/>
  <c r="CJ90" i="32"/>
  <c r="BG29" i="30"/>
  <c r="BQ29" i="30"/>
  <c r="CH91" i="32"/>
  <c r="D223" i="32"/>
  <c r="D224" i="32"/>
  <c r="D188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BS100" i="30" s="1"/>
  <c r="BS101" i="30" s="1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W28" i="28"/>
  <c r="Z201" i="29"/>
  <c r="Z212" i="29" s="1"/>
  <c r="F69" i="30"/>
  <c r="B109" i="30" s="1"/>
  <c r="AY92" i="31"/>
  <c r="AE166" i="31"/>
  <c r="G202" i="29"/>
  <c r="G213" i="29" s="1"/>
  <c r="AG166" i="31"/>
  <c r="X275" i="31"/>
  <c r="N201" i="29"/>
  <c r="N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A75" i="30" s="1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CH108" i="30" s="1"/>
  <c r="BO64" i="30"/>
  <c r="BO110" i="30" s="1"/>
  <c r="DX65" i="30"/>
  <c r="BA71" i="30"/>
  <c r="DQ75" i="30"/>
  <c r="DI77" i="30"/>
  <c r="CI79" i="30"/>
  <c r="BH99" i="30"/>
  <c r="BH100" i="30" s="1"/>
  <c r="BH101" i="30" s="1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A111" i="30" s="1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R100" i="30" s="1"/>
  <c r="BR101" i="30" s="1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AF22" i="29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J167" i="31"/>
  <c r="C235" i="32" s="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I191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33" i="29" s="1"/>
  <c r="C40" i="29"/>
  <c r="C27" i="29" s="1"/>
  <c r="C31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AY111" i="30" s="1"/>
  <c r="BG76" i="30"/>
  <c r="BG65" i="30"/>
  <c r="BG111" i="30" s="1"/>
  <c r="BO76" i="30"/>
  <c r="BO65" i="30"/>
  <c r="BO111" i="30" s="1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111" i="30" s="1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F81" i="30"/>
  <c r="B114" i="30" s="1"/>
  <c r="N15" i="29"/>
  <c r="Y15" i="29"/>
  <c r="C183" i="32"/>
  <c r="C185" i="32" s="1"/>
  <c r="D185" i="32" s="1"/>
  <c r="T234" i="31"/>
  <c r="T272" i="31" s="1"/>
  <c r="D25" i="29"/>
  <c r="L25" i="29"/>
  <c r="T25" i="29"/>
  <c r="J26" i="29"/>
  <c r="J30" i="29" s="1"/>
  <c r="R26" i="29"/>
  <c r="R30" i="29" s="1"/>
  <c r="Z26" i="29"/>
  <c r="Y58" i="29"/>
  <c r="Y62" i="29"/>
  <c r="Y63" i="29" s="1"/>
  <c r="Y49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C108" i="30" s="1"/>
  <c r="CG73" i="30"/>
  <c r="CG62" i="30"/>
  <c r="CG108" i="30" s="1"/>
  <c r="CK73" i="30"/>
  <c r="CK62" i="30"/>
  <c r="CK108" i="30" s="1"/>
  <c r="CO73" i="30"/>
  <c r="CO62" i="30"/>
  <c r="CO108" i="30" s="1"/>
  <c r="CS73" i="30"/>
  <c r="CS62" i="30"/>
  <c r="CS108" i="30" s="1"/>
  <c r="CW73" i="30"/>
  <c r="CW62" i="30"/>
  <c r="CW108" i="30" s="1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AY112" i="30" s="1"/>
  <c r="BC77" i="30"/>
  <c r="BC66" i="30"/>
  <c r="BC112" i="30" s="1"/>
  <c r="BG77" i="30"/>
  <c r="BG66" i="30"/>
  <c r="BG112" i="30" s="1"/>
  <c r="BK77" i="30"/>
  <c r="BK66" i="30"/>
  <c r="BK112" i="30" s="1"/>
  <c r="BO77" i="30"/>
  <c r="BO66" i="30"/>
  <c r="BO112" i="30" s="1"/>
  <c r="BS77" i="30"/>
  <c r="BS66" i="30"/>
  <c r="BS112" i="30" s="1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CR108" i="30" s="1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111" i="30" s="1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CP108" i="30" s="1"/>
  <c r="DZ62" i="30"/>
  <c r="DC74" i="30"/>
  <c r="DC109" i="30"/>
  <c r="CD64" i="30"/>
  <c r="DN64" i="30"/>
  <c r="BI65" i="30"/>
  <c r="BI111" i="30" s="1"/>
  <c r="CV65" i="30"/>
  <c r="AX66" i="30"/>
  <c r="AX112" i="30" s="1"/>
  <c r="CK66" i="30"/>
  <c r="DU66" i="30"/>
  <c r="BS67" i="30"/>
  <c r="DK69" i="30"/>
  <c r="BI71" i="30"/>
  <c r="CV71" i="30"/>
  <c r="AW72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E25" i="29"/>
  <c r="M25" i="29"/>
  <c r="U25" i="29"/>
  <c r="C26" i="29"/>
  <c r="C30" i="29" s="1"/>
  <c r="K26" i="29"/>
  <c r="K30" i="29" s="1"/>
  <c r="S26" i="29"/>
  <c r="S30" i="29" s="1"/>
  <c r="F17" i="29"/>
  <c r="F16" i="29"/>
  <c r="N17" i="29"/>
  <c r="N16" i="29"/>
  <c r="V17" i="29"/>
  <c r="C3" i="29"/>
  <c r="C19" i="29"/>
  <c r="C4" i="29"/>
  <c r="G3" i="29"/>
  <c r="G4" i="29"/>
  <c r="K3" i="29"/>
  <c r="K4" i="29"/>
  <c r="O3" i="29"/>
  <c r="O8" i="29" s="1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12" i="29" s="1"/>
  <c r="Q5" i="29"/>
  <c r="Q9" i="29" s="1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12" i="29" s="1"/>
  <c r="D5" i="29"/>
  <c r="D9" i="29" s="1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12" i="29" s="1"/>
  <c r="P5" i="29"/>
  <c r="P9" i="29" s="1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54" i="29" s="1"/>
  <c r="F61" i="29"/>
  <c r="F48" i="29" s="1"/>
  <c r="F59" i="29"/>
  <c r="F58" i="29"/>
  <c r="F57" i="29"/>
  <c r="N62" i="29"/>
  <c r="N63" i="29" s="1"/>
  <c r="N49" i="29" s="1"/>
  <c r="N54" i="29" s="1"/>
  <c r="N61" i="29"/>
  <c r="N48" i="29" s="1"/>
  <c r="N59" i="29"/>
  <c r="N58" i="29"/>
  <c r="N57" i="29"/>
  <c r="V62" i="29"/>
  <c r="V63" i="29" s="1"/>
  <c r="V49" i="29" s="1"/>
  <c r="V54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54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D108" i="30" s="1"/>
  <c r="CL73" i="30"/>
  <c r="CL62" i="30"/>
  <c r="CL108" i="30" s="1"/>
  <c r="CT73" i="30"/>
  <c r="CT62" i="30"/>
  <c r="CT108" i="30" s="1"/>
  <c r="DF73" i="30"/>
  <c r="DF62" i="30"/>
  <c r="DN73" i="30"/>
  <c r="DN62" i="30"/>
  <c r="DV73" i="30"/>
  <c r="DV62" i="30"/>
  <c r="AW76" i="30"/>
  <c r="AW65" i="30"/>
  <c r="AW111" i="30" s="1"/>
  <c r="BE76" i="30"/>
  <c r="BE65" i="30"/>
  <c r="BE111" i="30" s="1"/>
  <c r="BM76" i="30"/>
  <c r="BM65" i="30"/>
  <c r="BM111" i="30" s="1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112" i="30" s="1"/>
  <c r="AV77" i="30"/>
  <c r="AZ77" i="30"/>
  <c r="AZ66" i="30"/>
  <c r="AZ112" i="30" s="1"/>
  <c r="BD66" i="30"/>
  <c r="BD112" i="30" s="1"/>
  <c r="BD77" i="30"/>
  <c r="BH77" i="30"/>
  <c r="BH66" i="30"/>
  <c r="BH112" i="30" s="1"/>
  <c r="BL66" i="30"/>
  <c r="BL112" i="30" s="1"/>
  <c r="BL77" i="30"/>
  <c r="BP77" i="30"/>
  <c r="BP66" i="30"/>
  <c r="BP112" i="30" s="1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111" i="30" s="1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BQ111" i="30" s="1"/>
  <c r="DH65" i="30"/>
  <c r="BF66" i="30"/>
  <c r="BF112" i="30" s="1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B83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R16" i="29"/>
  <c r="J62" i="29"/>
  <c r="J63" i="29" s="1"/>
  <c r="J49" i="29" s="1"/>
  <c r="J54" i="29" s="1"/>
  <c r="J61" i="29"/>
  <c r="J48" i="29" s="1"/>
  <c r="J53" i="29" s="1"/>
  <c r="J59" i="29"/>
  <c r="J58" i="29"/>
  <c r="J57" i="29"/>
  <c r="Z62" i="29"/>
  <c r="Z63" i="29" s="1"/>
  <c r="Z49" i="29" s="1"/>
  <c r="Z54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C111" i="30" s="1"/>
  <c r="BK76" i="30"/>
  <c r="BK65" i="30"/>
  <c r="BK111" i="30" s="1"/>
  <c r="BS76" i="30"/>
  <c r="BS65" i="30"/>
  <c r="BS111" i="30" s="1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111" i="30" s="1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P25" i="29"/>
  <c r="X25" i="29"/>
  <c r="F26" i="29"/>
  <c r="F30" i="29" s="1"/>
  <c r="N26" i="29"/>
  <c r="N30" i="29" s="1"/>
  <c r="V26" i="29"/>
  <c r="V30" i="29" s="1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E108" i="30" s="1"/>
  <c r="CI73" i="30"/>
  <c r="CI62" i="30"/>
  <c r="CI108" i="30" s="1"/>
  <c r="CM73" i="30"/>
  <c r="CM62" i="30"/>
  <c r="CM108" i="30" s="1"/>
  <c r="CQ73" i="30"/>
  <c r="CQ62" i="30"/>
  <c r="CQ108" i="30" s="1"/>
  <c r="CU73" i="30"/>
  <c r="CU62" i="30"/>
  <c r="CU108" i="30" s="1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111" i="30" s="1"/>
  <c r="BB76" i="30"/>
  <c r="BJ65" i="30"/>
  <c r="BJ111" i="30" s="1"/>
  <c r="BJ76" i="30"/>
  <c r="BR65" i="30"/>
  <c r="BR111" i="30" s="1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AW112" i="30" s="1"/>
  <c r="BA77" i="30"/>
  <c r="BA66" i="30"/>
  <c r="BA112" i="30" s="1"/>
  <c r="BE77" i="30"/>
  <c r="BE66" i="30"/>
  <c r="BE112" i="30" s="1"/>
  <c r="BI77" i="30"/>
  <c r="BI66" i="30"/>
  <c r="BI112" i="30" s="1"/>
  <c r="BM77" i="30"/>
  <c r="BM66" i="30"/>
  <c r="BM112" i="30" s="1"/>
  <c r="BQ77" i="30"/>
  <c r="BQ66" i="30"/>
  <c r="BQ112" i="30" s="1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CJ108" i="30" s="1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111" i="30" s="1"/>
  <c r="AV76" i="30"/>
  <c r="BL65" i="30"/>
  <c r="BL111" i="30" s="1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BN112" i="30" s="1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R54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29" i="30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EB100" i="30"/>
  <c r="EB101" i="30" s="1"/>
  <c r="DX100" i="30"/>
  <c r="DX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D186" i="32" s="1"/>
  <c r="AJ217" i="32" s="1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AK227" i="32"/>
  <c r="AO227" i="32" s="1"/>
  <c r="AJ219" i="32"/>
  <c r="AN219" i="32" s="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CY161" i="32"/>
  <c r="CY162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X29" i="29" l="1"/>
  <c r="AB73" i="30"/>
  <c r="T73" i="30"/>
  <c r="P29" i="29"/>
  <c r="U29" i="29"/>
  <c r="Y73" i="30"/>
  <c r="H29" i="29"/>
  <c r="L73" i="30"/>
  <c r="M29" i="29"/>
  <c r="Q73" i="30"/>
  <c r="T29" i="29"/>
  <c r="X73" i="30"/>
  <c r="I73" i="30"/>
  <c r="E29" i="29"/>
  <c r="L29" i="29"/>
  <c r="P73" i="30"/>
  <c r="H73" i="30"/>
  <c r="D29" i="29"/>
  <c r="C29" i="29"/>
  <c r="G73" i="30"/>
  <c r="P8" i="29"/>
  <c r="P201" i="29" s="1"/>
  <c r="P212" i="29" s="1"/>
  <c r="D8" i="29"/>
  <c r="D201" i="29" s="1"/>
  <c r="C8" i="29"/>
  <c r="E201" i="29"/>
  <c r="E212" i="29" s="1"/>
  <c r="O180" i="29"/>
  <c r="O195" i="29" s="1"/>
  <c r="S75" i="30" s="1"/>
  <c r="S22" i="29"/>
  <c r="C189" i="32"/>
  <c r="D189" i="32" s="1"/>
  <c r="AK189" i="32" s="1"/>
  <c r="AO189" i="32" s="1"/>
  <c r="BA64" i="30"/>
  <c r="BA110" i="30" s="1"/>
  <c r="BB73" i="30"/>
  <c r="BB82" i="30" s="1"/>
  <c r="Y55" i="29"/>
  <c r="Y54" i="29"/>
  <c r="M201" i="29"/>
  <c r="M212" i="29" s="1"/>
  <c r="D225" i="32"/>
  <c r="D187" i="32"/>
  <c r="AJ218" i="32" s="1"/>
  <c r="AN218" i="32" s="1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CR82" i="30" s="1"/>
  <c r="BR73" i="30"/>
  <c r="CP72" i="30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BF82" i="30" s="1"/>
  <c r="CR71" i="30"/>
  <c r="BJ63" i="30"/>
  <c r="BJ109" i="30" s="1"/>
  <c r="AZ73" i="30"/>
  <c r="BO60" i="30"/>
  <c r="BO106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J82" i="30" s="1"/>
  <c r="CQ61" i="30"/>
  <c r="CQ107" i="30" s="1"/>
  <c r="CI61" i="30"/>
  <c r="CI107" i="30" s="1"/>
  <c r="CH61" i="30"/>
  <c r="CH107" i="30" s="1"/>
  <c r="CN72" i="30"/>
  <c r="CT72" i="30"/>
  <c r="CD72" i="30"/>
  <c r="CD84" i="30" s="1"/>
  <c r="CF61" i="30"/>
  <c r="CF107" i="30" s="1"/>
  <c r="CI60" i="30"/>
  <c r="CI106" i="30" s="1"/>
  <c r="CF71" i="30"/>
  <c r="CF82" i="30" s="1"/>
  <c r="CN71" i="30"/>
  <c r="CL71" i="30"/>
  <c r="CL84" i="30" s="1"/>
  <c r="CH71" i="30"/>
  <c r="CO60" i="30"/>
  <c r="CO106" i="30" s="1"/>
  <c r="CG60" i="30"/>
  <c r="BC64" i="30"/>
  <c r="BC110" i="30" s="1"/>
  <c r="BB64" i="30"/>
  <c r="BB110" i="30" s="1"/>
  <c r="AZ75" i="30"/>
  <c r="AZ84" i="30" s="1"/>
  <c r="BN74" i="30"/>
  <c r="BN82" i="30" s="1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0" i="29" s="1"/>
  <c r="C181" i="29"/>
  <c r="C196" i="29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BO81" i="30"/>
  <c r="Z18" i="29"/>
  <c r="Y201" i="29"/>
  <c r="AD19" i="29"/>
  <c r="AF19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3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4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54" i="29" s="1"/>
  <c r="X61" i="29"/>
  <c r="X48" i="29" s="1"/>
  <c r="X53" i="29" s="1"/>
  <c r="X59" i="29"/>
  <c r="X58" i="29"/>
  <c r="X57" i="29"/>
  <c r="H62" i="29"/>
  <c r="H63" i="29" s="1"/>
  <c r="H49" i="29" s="1"/>
  <c r="H54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DN117" i="30"/>
  <c r="P7" i="30" s="1"/>
  <c r="EB82" i="30"/>
  <c r="EB81" i="30"/>
  <c r="EB83" i="30"/>
  <c r="EB84" i="30"/>
  <c r="CR83" i="30"/>
  <c r="CR84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F83" i="30"/>
  <c r="F84" i="30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4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3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DC106" i="30"/>
  <c r="DC71" i="30"/>
  <c r="I61" i="29"/>
  <c r="I48" i="29" s="1"/>
  <c r="I59" i="29"/>
  <c r="I57" i="29"/>
  <c r="I62" i="29"/>
  <c r="I63" i="29" s="1"/>
  <c r="I49" i="29" s="1"/>
  <c r="I54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54" i="29" s="1"/>
  <c r="T61" i="29"/>
  <c r="T48" i="29" s="1"/>
  <c r="T53" i="29" s="1"/>
  <c r="T59" i="29"/>
  <c r="T58" i="29"/>
  <c r="T57" i="29"/>
  <c r="D62" i="29"/>
  <c r="D63" i="29" s="1"/>
  <c r="D49" i="29" s="1"/>
  <c r="D54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1" i="30"/>
  <c r="BH83" i="30"/>
  <c r="BH84" i="30"/>
  <c r="BH82" i="30"/>
  <c r="BH81" i="30"/>
  <c r="AZ83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BO117" i="30"/>
  <c r="Z5" i="30" s="1"/>
  <c r="DZ117" i="30"/>
  <c r="AB7" i="30" s="1"/>
  <c r="DV82" i="30"/>
  <c r="DN83" i="30"/>
  <c r="DN85" i="30" s="1"/>
  <c r="DJ117" i="30"/>
  <c r="L7" i="30" s="1"/>
  <c r="DF82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3" i="30"/>
  <c r="BB81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54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U62" i="29"/>
  <c r="U63" i="29" s="1"/>
  <c r="U49" i="29" s="1"/>
  <c r="U54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4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54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X272" i="31"/>
  <c r="X234" i="3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V15" i="29"/>
  <c r="AC34" i="28"/>
  <c r="K39" i="28" s="1"/>
  <c r="C96" i="32" s="1"/>
  <c r="AA34" i="28"/>
  <c r="K38" i="28" s="1"/>
  <c r="AO169" i="28"/>
  <c r="O36" i="29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F73" i="30" l="1"/>
  <c r="O39" i="29"/>
  <c r="O43" i="29" s="1"/>
  <c r="CL83" i="30"/>
  <c r="CL82" i="30"/>
  <c r="CF81" i="30"/>
  <c r="CP82" i="30"/>
  <c r="CN81" i="30"/>
  <c r="CN85" i="30" s="1"/>
  <c r="BF84" i="30"/>
  <c r="BP84" i="30"/>
  <c r="BF81" i="30"/>
  <c r="BM84" i="30"/>
  <c r="AK226" i="32"/>
  <c r="AO226" i="32" s="1"/>
  <c r="AZ81" i="30"/>
  <c r="AZ82" i="30"/>
  <c r="BB84" i="30"/>
  <c r="BP82" i="30"/>
  <c r="D18" i="29"/>
  <c r="D180" i="29" s="1"/>
  <c r="D195" i="29" s="1"/>
  <c r="BN84" i="30"/>
  <c r="BN81" i="30"/>
  <c r="G76" i="30"/>
  <c r="G77" i="30" s="1"/>
  <c r="AO192" i="32"/>
  <c r="D251" i="32"/>
  <c r="AJ186" i="28"/>
  <c r="AI186" i="28"/>
  <c r="AJ186" i="31"/>
  <c r="AI186" i="31"/>
  <c r="X237" i="31"/>
  <c r="C243" i="32" s="1"/>
  <c r="C307" i="32"/>
  <c r="BO85" i="30"/>
  <c r="BO86" i="30" s="1"/>
  <c r="AH164" i="31"/>
  <c r="F203" i="29"/>
  <c r="AI164" i="28"/>
  <c r="AJ193" i="31"/>
  <c r="AJ228" i="31" s="1"/>
  <c r="C134" i="31" s="1"/>
  <c r="J134" i="31" s="1"/>
  <c r="AI164" i="31"/>
  <c r="CN82" i="30"/>
  <c r="CP84" i="30"/>
  <c r="CL81" i="30"/>
  <c r="CL85" i="30" s="1"/>
  <c r="CN84" i="30"/>
  <c r="CD81" i="30"/>
  <c r="CD85" i="30" s="1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W43" i="29" s="1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J106" i="30"/>
  <c r="BJ117" i="30" s="1"/>
  <c r="U5" i="30" s="1"/>
  <c r="N11" i="29"/>
  <c r="N13" i="29" s="1"/>
  <c r="BC83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J142" i="31"/>
  <c r="C220" i="32" s="1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D64" i="29"/>
  <c r="I55" i="29"/>
  <c r="I53" i="29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192" i="32"/>
  <c r="C276" i="32" s="1"/>
  <c r="B115" i="30"/>
  <c r="B126" i="30" s="1"/>
  <c r="CR85" i="30"/>
  <c r="M55" i="29"/>
  <c r="M53" i="29"/>
  <c r="F7" i="30"/>
  <c r="DR85" i="30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X248" i="31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DT85" i="30"/>
  <c r="Q39" i="29"/>
  <c r="Q43" i="29" s="1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AI228" i="28" l="1"/>
  <c r="B110" i="30"/>
  <c r="B112" i="30" s="1"/>
  <c r="C191" i="32"/>
  <c r="H22" i="29"/>
  <c r="BO87" i="30"/>
  <c r="F76" i="30"/>
  <c r="B113" i="30" s="1"/>
  <c r="D22" i="29"/>
  <c r="BE85" i="30"/>
  <c r="AI228" i="31"/>
  <c r="C133" i="31" s="1"/>
  <c r="J133" i="31" s="1"/>
  <c r="D243" i="32"/>
  <c r="C71" i="32"/>
  <c r="K48" i="28"/>
  <c r="B154" i="31" s="1"/>
  <c r="AA237" i="31"/>
  <c r="C244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I102" i="30" s="1"/>
  <c r="N10" i="30" s="1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AV87" i="30"/>
  <c r="AV86" i="30"/>
  <c r="AJ36" i="3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J154" i="31"/>
  <c r="C227" i="32" s="1"/>
  <c r="B149" i="31"/>
  <c r="J149" i="31" s="1"/>
  <c r="C87" i="32"/>
  <c r="W155" i="31"/>
  <c r="Y155" i="31" s="1"/>
  <c r="Z155" i="31" s="1"/>
  <c r="B160" i="31" s="1"/>
  <c r="J160" i="31" s="1"/>
  <c r="C232" i="32" s="1"/>
  <c r="O253" i="32"/>
  <c r="C74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F52" i="30"/>
  <c r="C264" i="32" s="1"/>
  <c r="C97" i="32"/>
  <c r="F57" i="30"/>
  <c r="C269" i="32" s="1"/>
  <c r="AA24" i="18"/>
  <c r="BN102" i="30" l="1"/>
  <c r="Y9" i="30" s="1"/>
  <c r="D191" i="32"/>
  <c r="C275" i="32"/>
  <c r="D275" i="32" s="1"/>
  <c r="B125" i="30"/>
  <c r="C278" i="32"/>
  <c r="C291" i="32" s="1"/>
  <c r="H77" i="30"/>
  <c r="AB237" i="31"/>
  <c r="AC237" i="31" s="1"/>
  <c r="AF237" i="31" s="1"/>
  <c r="B178" i="31" s="1"/>
  <c r="C240" i="32" s="1"/>
  <c r="AY102" i="30"/>
  <c r="J9" i="30" s="1"/>
  <c r="BA102" i="30"/>
  <c r="L9" i="30" s="1"/>
  <c r="BC102" i="30"/>
  <c r="N9" i="30" s="1"/>
  <c r="CQ102" i="30"/>
  <c r="V10" i="30" s="1"/>
  <c r="D244" i="32"/>
  <c r="CL102" i="30"/>
  <c r="Q10" i="30" s="1"/>
  <c r="CE102" i="30"/>
  <c r="J10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J13" i="30" l="1"/>
  <c r="C293" i="32"/>
  <c r="D278" i="32"/>
  <c r="D293" i="32" s="1"/>
  <c r="N13" i="30"/>
  <c r="F77" i="30"/>
  <c r="F75" i="30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D291" i="32" l="1"/>
  <c r="C193" i="32"/>
  <c r="D193" i="32" s="1"/>
  <c r="C277" i="32"/>
  <c r="V265" i="3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219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J170" i="3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D277" i="32" l="1"/>
  <c r="C290" i="32"/>
  <c r="G18" i="22"/>
  <c r="G19" i="22"/>
  <c r="V264" i="3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S65" i="32"/>
  <c r="CO65" i="32"/>
  <c r="CK65" i="32"/>
  <c r="CG65" i="32"/>
  <c r="CC65" i="32"/>
  <c r="CC152" i="32" s="1"/>
  <c r="CX64" i="32"/>
  <c r="CX151" i="32" s="1"/>
  <c r="CT64" i="32"/>
  <c r="CP64" i="32"/>
  <c r="CL64" i="32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R65" i="32"/>
  <c r="CN65" i="32"/>
  <c r="CJ65" i="32"/>
  <c r="CF65" i="32"/>
  <c r="CB65" i="32"/>
  <c r="CB152" i="32" s="1"/>
  <c r="CW64" i="32"/>
  <c r="CS64" i="32"/>
  <c r="CO64" i="32"/>
  <c r="CK64" i="32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Q65" i="32"/>
  <c r="CM65" i="32"/>
  <c r="CI65" i="32"/>
  <c r="CE65" i="32"/>
  <c r="CE152" i="32" s="1"/>
  <c r="CV64" i="32"/>
  <c r="CR64" i="32"/>
  <c r="CN64" i="32"/>
  <c r="CJ64" i="32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D65" i="32"/>
  <c r="CD152" i="32" s="1"/>
  <c r="CQ64" i="32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M64" i="32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151" i="32" s="1"/>
  <c r="BI64" i="32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H67" i="32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H64" i="32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C236" i="32"/>
  <c r="O258" i="32"/>
  <c r="EA77" i="32"/>
  <c r="DS80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BH78" i="32" l="1"/>
  <c r="BH154" i="32"/>
  <c r="BI78" i="32"/>
  <c r="BI154" i="32"/>
  <c r="CP76" i="32"/>
  <c r="CP152" i="32"/>
  <c r="BJ75" i="32"/>
  <c r="BJ151" i="32"/>
  <c r="CQ76" i="32"/>
  <c r="CQ152" i="32"/>
  <c r="CS75" i="32"/>
  <c r="CS151" i="32"/>
  <c r="CT75" i="32"/>
  <c r="CT151" i="32"/>
  <c r="BJ78" i="32"/>
  <c r="BJ154" i="32"/>
  <c r="CL76" i="32"/>
  <c r="CL152" i="32"/>
  <c r="CQ75" i="32"/>
  <c r="CQ151" i="32"/>
  <c r="CJ75" i="32"/>
  <c r="CJ132" i="32" s="1"/>
  <c r="CJ151" i="32"/>
  <c r="CU76" i="32"/>
  <c r="CU122" i="32" s="1"/>
  <c r="CU168" i="32" s="1"/>
  <c r="CU152" i="32"/>
  <c r="CW75" i="32"/>
  <c r="CW151" i="32"/>
  <c r="BK75" i="32"/>
  <c r="BK151" i="32"/>
  <c r="BK160" i="32" s="1"/>
  <c r="BK161" i="32" s="1"/>
  <c r="BK162" i="32" s="1"/>
  <c r="BG78" i="32"/>
  <c r="BG124" i="32" s="1"/>
  <c r="BG170" i="32" s="1"/>
  <c r="BG154" i="32"/>
  <c r="CT76" i="32"/>
  <c r="CT152" i="32"/>
  <c r="CR75" i="32"/>
  <c r="CR121" i="32" s="1"/>
  <c r="CR167" i="32" s="1"/>
  <c r="CR151" i="32"/>
  <c r="CF76" i="32"/>
  <c r="CF152" i="32"/>
  <c r="CG76" i="32"/>
  <c r="CG133" i="32" s="1"/>
  <c r="CG152" i="32"/>
  <c r="CV75" i="32"/>
  <c r="CV151" i="32"/>
  <c r="CJ76" i="32"/>
  <c r="CJ152" i="32"/>
  <c r="CK76" i="32"/>
  <c r="CK152" i="32"/>
  <c r="CN76" i="32"/>
  <c r="CN133" i="32" s="1"/>
  <c r="CN152" i="32"/>
  <c r="CO76" i="32"/>
  <c r="CO133" i="32" s="1"/>
  <c r="CO152" i="32"/>
  <c r="BG75" i="32"/>
  <c r="BG151" i="32"/>
  <c r="CN75" i="32"/>
  <c r="CN151" i="32"/>
  <c r="CH76" i="32"/>
  <c r="CH133" i="32" s="1"/>
  <c r="CH152" i="32"/>
  <c r="BH75" i="32"/>
  <c r="BH121" i="32" s="1"/>
  <c r="BH167" i="32" s="1"/>
  <c r="BH151" i="32"/>
  <c r="BH160" i="32" s="1"/>
  <c r="BH161" i="32" s="1"/>
  <c r="BH162" i="32" s="1"/>
  <c r="BI75" i="32"/>
  <c r="BI151" i="32"/>
  <c r="BI160" i="32" s="1"/>
  <c r="BI161" i="32" s="1"/>
  <c r="BI162" i="32" s="1"/>
  <c r="CI76" i="32"/>
  <c r="CI152" i="32"/>
  <c r="CK75" i="32"/>
  <c r="CK121" i="32" s="1"/>
  <c r="CK167" i="32" s="1"/>
  <c r="CK151" i="32"/>
  <c r="CR76" i="32"/>
  <c r="CR133" i="32" s="1"/>
  <c r="CR152" i="32"/>
  <c r="CL75" i="32"/>
  <c r="CL151" i="32"/>
  <c r="CS76" i="32"/>
  <c r="CS152" i="32"/>
  <c r="BL75" i="32"/>
  <c r="BL132" i="32" s="1"/>
  <c r="BL151" i="32"/>
  <c r="BL160" i="32" s="1"/>
  <c r="BL161" i="32" s="1"/>
  <c r="BL162" i="32" s="1"/>
  <c r="CM75" i="32"/>
  <c r="CM132" i="32" s="1"/>
  <c r="CM151" i="32"/>
  <c r="CU75" i="32"/>
  <c r="CU151" i="32"/>
  <c r="CM76" i="32"/>
  <c r="CM152" i="32"/>
  <c r="CO75" i="32"/>
  <c r="CO121" i="32" s="1"/>
  <c r="CO167" i="32" s="1"/>
  <c r="CO151" i="32"/>
  <c r="CV76" i="32"/>
  <c r="CV133" i="32" s="1"/>
  <c r="CV152" i="32"/>
  <c r="CP75" i="32"/>
  <c r="CP151" i="32"/>
  <c r="CW76" i="32"/>
  <c r="CW152" i="32"/>
  <c r="H19" i="22"/>
  <c r="CC75" i="32"/>
  <c r="CC132" i="32" s="1"/>
  <c r="CG75" i="32"/>
  <c r="CG132" i="32" s="1"/>
  <c r="BQ77" i="32"/>
  <c r="BQ134" i="32" s="1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21" i="32"/>
  <c r="CJ167" i="32" s="1"/>
  <c r="DS133" i="32"/>
  <c r="DS122" i="32"/>
  <c r="DS168" i="32" s="1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BQ123" i="32"/>
  <c r="BQ169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W121" i="32"/>
  <c r="CW167" i="32" s="1"/>
  <c r="CW132" i="32"/>
  <c r="DQ121" i="32"/>
  <c r="DQ167" i="32" s="1"/>
  <c r="DQ132" i="32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BL134" i="32"/>
  <c r="BL123" i="32"/>
  <c r="BL169" i="32" s="1"/>
  <c r="BG135" i="32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CG121" i="32" l="1"/>
  <c r="CG167" i="32" s="1"/>
  <c r="BH132" i="32"/>
  <c r="CV122" i="32"/>
  <c r="CV168" i="32" s="1"/>
  <c r="CK132" i="32"/>
  <c r="CO132" i="32"/>
  <c r="CR132" i="32"/>
  <c r="CR144" i="32" s="1"/>
  <c r="CN122" i="32"/>
  <c r="CN168" i="32" s="1"/>
  <c r="CR122" i="32"/>
  <c r="CR168" i="32" s="1"/>
  <c r="CH122" i="32"/>
  <c r="CH168" i="32" s="1"/>
  <c r="CH178" i="32" s="1"/>
  <c r="BL121" i="32"/>
  <c r="BL167" i="32" s="1"/>
  <c r="BG160" i="32"/>
  <c r="BG161" i="32" s="1"/>
  <c r="BG162" i="32" s="1"/>
  <c r="CO122" i="32"/>
  <c r="CO168" i="32" s="1"/>
  <c r="BJ160" i="32"/>
  <c r="BJ161" i="32" s="1"/>
  <c r="BJ162" i="32" s="1"/>
  <c r="CG122" i="32"/>
  <c r="CG168" i="32" s="1"/>
  <c r="CD122" i="32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3" i="32"/>
  <c r="CG145" i="32"/>
  <c r="CG144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G178" i="32" l="1"/>
  <c r="CR143" i="32"/>
  <c r="CR142" i="32"/>
  <c r="BL178" i="32"/>
  <c r="CD178" i="32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G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CG148" i="32"/>
  <c r="CG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E147" i="32" l="1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Q176" i="24"/>
  <c r="P176" i="24"/>
  <c r="O176" i="24"/>
  <c r="N176" i="24"/>
  <c r="M176" i="24"/>
  <c r="L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202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L185" i="24"/>
  <c r="L216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Q185" i="24"/>
  <c r="Q216" i="24" s="1"/>
  <c r="E211" i="24"/>
  <c r="E218" i="24" s="1"/>
  <c r="N172" i="24"/>
  <c r="N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202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202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P201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202" i="24" s="1"/>
  <c r="Q136" i="24"/>
  <c r="Q149" i="24" s="1"/>
  <c r="Q201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202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U175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202" i="24" l="1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2" i="24" s="1"/>
  <c r="H215" i="24" s="1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Q211" i="24"/>
  <c r="Q218" i="24" s="1"/>
  <c r="J211" i="24"/>
  <c r="J218" i="24" s="1"/>
  <c r="U185" i="24"/>
  <c r="U216" i="24" s="1"/>
  <c r="P211" i="24"/>
  <c r="P218" i="24" s="1"/>
  <c r="T175" i="24"/>
  <c r="T185" i="24" s="1"/>
  <c r="T216" i="24" s="1"/>
  <c r="T162" i="24"/>
  <c r="T172" i="24" s="1"/>
  <c r="T215" i="24" s="1"/>
  <c r="O211" i="24"/>
  <c r="O218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M211" i="24"/>
  <c r="M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W172" i="24" l="1"/>
  <c r="W215" i="24" s="1"/>
  <c r="W185" i="24"/>
  <c r="W216" i="24" s="1"/>
  <c r="G172" i="24"/>
  <c r="G215" i="24" s="1"/>
  <c r="G185" i="24"/>
  <c r="G216" i="24" s="1"/>
  <c r="H185" i="24"/>
  <c r="H216" i="24" s="1"/>
  <c r="AA219" i="24" s="1"/>
  <c r="AA172" i="24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185" i="24" l="1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AK26" i="29" s="1"/>
  <c r="C184" i="32" s="1"/>
  <c r="D184" i="32" s="1"/>
  <c r="D183" i="32" s="1"/>
  <c r="AJ216" i="32" s="1"/>
  <c r="AN216" i="32" s="1"/>
  <c r="D220" i="32" s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D192" i="32" l="1"/>
  <c r="D235" i="32" s="1"/>
  <c r="D236" i="32" s="1"/>
  <c r="AK225" i="32"/>
  <c r="AO225" i="32" s="1"/>
  <c r="AO228" i="32" s="1"/>
  <c r="AR228" i="32" s="1"/>
  <c r="AS228" i="32" s="1"/>
  <c r="AT228" i="32" s="1"/>
  <c r="AW228" i="32" s="1"/>
  <c r="D240" i="32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D120" i="18" l="1"/>
  <c r="D276" i="32"/>
  <c r="D290" i="32" s="1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R201" i="18" l="1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BR31" i="23" l="1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AV22" i="23" l="1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G156" i="32" l="1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AJ40" i="31" s="1"/>
  <c r="AE40" i="31" s="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<sst xmlns="http://schemas.openxmlformats.org/spreadsheetml/2006/main" count="3020" uniqueCount="1471">
  <si>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</si>
  <si>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</si>
  <si>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</si>
  <si>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</si>
  <si>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</si>
  <si>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</si>
  <si>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</si>
  <si>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</si>
  <si>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</si>
  <si>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</si>
  <si>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</si>
  <si>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</si>
  <si>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</si>
  <si>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</si>
  <si>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</si>
  <si>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</si>
  <si>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</si>
  <si>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</si>
  <si>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</si>
  <si>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</si>
  <si>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</si>
  <si>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</si>
  <si>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</si>
  <si>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</si>
  <si>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</si>
  <si>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</si>
  <si>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</si>
  <si>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</si>
  <si>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</si>
  <si>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</si>
  <si>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</si>
  <si>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</si>
  <si>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</si>
  <si>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</si>
  <si>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</si>
  <si>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</si>
  <si>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</si>
  <si>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</si>
  <si>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</si>
  <si>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</si>
  <si>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</si>
  <si>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</si>
  <si>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</si>
  <si>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</si>
  <si>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</si>
  <si>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</si>
  <si>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</si>
  <si>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</si>
  <si>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</si>
  <si>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</si>
  <si>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</si>
  <si>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</si>
  <si>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</si>
  <si>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</si>
  <si>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</si>
  <si>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</si>
  <si>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</si>
  <si>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</si>
  <si>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</si>
  <si>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</si>
  <si>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</si>
  <si>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</si>
  <si>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</si>
  <si>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</si>
  <si>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</si>
  <si>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</si>
  <si>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</si>
  <si>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</si>
  <si>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</si>
  <si>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</si>
  <si>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</si>
  <si>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</si>
  <si>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</si>
  <si>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</si>
  <si>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</si>
  <si>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</si>
  <si>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</si>
  <si>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</si>
  <si>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</si>
  <si>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</si>
  <si>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</si>
  <si>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</si>
  <si>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</si>
  <si>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</si>
  <si>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</si>
  <si>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</si>
  <si>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</si>
  <si>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</si>
  <si>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</si>
  <si>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</si>
  <si>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</si>
  <si>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</si>
  <si>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</si>
  <si>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</si>
  <si>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</si>
  <si>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</si>
  <si>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</si>
  <si>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</si>
  <si>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</si>
  <si>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</si>
  <si>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</si>
  <si>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</si>
  <si>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</si>
  <si>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</si>
  <si>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</si>
  <si>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</si>
  <si>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</si>
  <si>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</si>
  <si>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</si>
  <si>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</si>
  <si>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</si>
  <si>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</si>
  <si>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</si>
  <si>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</si>
  <si>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</si>
  <si>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</si>
  <si>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</si>
  <si>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</si>
  <si>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</si>
  <si>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</si>
  <si>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</si>
  <si>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</si>
  <si>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</si>
  <si>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</si>
  <si>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</si>
  <si>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</si>
  <si>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</si>
  <si>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</si>
  <si>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</si>
  <si>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</si>
  <si>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</si>
  <si>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</si>
  <si>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</si>
  <si>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</si>
  <si>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</si>
  <si>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</si>
  <si>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</si>
  <si>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</si>
  <si>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</si>
  <si>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</si>
  <si>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</si>
  <si>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</si>
  <si>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</si>
  <si>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</si>
  <si>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</si>
  <si>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</si>
  <si>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</si>
  <si>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</si>
  <si>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</si>
  <si>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</si>
  <si>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</si>
  <si>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</si>
  <si>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</si>
  <si>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</si>
  <si>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</si>
  <si>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</si>
  <si>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</si>
  <si>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</si>
  <si>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</si>
  <si>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</si>
  <si>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</si>
  <si>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</si>
  <si>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</si>
  <si>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</si>
  <si>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</si>
  <si>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</si>
  <si>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</si>
  <si>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</si>
  <si>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</si>
  <si>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</si>
  <si>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</si>
  <si>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</si>
  <si>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</si>
  <si>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</si>
  <si>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</si>
  <si>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</si>
  <si>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</si>
  <si>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</si>
  <si>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</si>
  <si>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</si>
  <si>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</si>
  <si>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</si>
  <si>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</si>
  <si>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</si>
  <si>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</si>
  <si>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</si>
  <si>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</si>
  <si>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</si>
  <si>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</si>
  <si>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</si>
  <si>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</si>
  <si>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</si>
  <si>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</si>
  <si>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</si>
  <si>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</si>
  <si>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</si>
  <si>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</si>
  <si>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</si>
  <si>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</si>
  <si>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</si>
  <si>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</si>
  <si>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</si>
  <si>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</si>
  <si>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</si>
  <si>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</si>
  <si>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</si>
  <si>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</si>
  <si>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</si>
  <si>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</si>
  <si>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</si>
  <si>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</si>
  <si>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</si>
  <si>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</si>
  <si>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</si>
  <si>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</si>
  <si>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</si>
  <si>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</si>
  <si>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</si>
  <si>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</si>
  <si>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</si>
  <si>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</si>
  <si>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</si>
  <si>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</si>
  <si>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</si>
  <si>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</si>
  <si>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</si>
  <si>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</si>
  <si>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</si>
  <si>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</si>
  <si>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</si>
  <si>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</si>
  <si>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</si>
  <si>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</si>
  <si>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</si>
  <si>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</si>
  <si>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</si>
  <si>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</si>
  <si>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</si>
  <si>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</si>
  <si>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</si>
  <si>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</si>
  <si>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</si>
  <si>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</si>
  <si>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</si>
  <si>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</si>
  <si>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</si>
  <si>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</si>
  <si>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</si>
  <si>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</si>
  <si>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</si>
  <si>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</si>
  <si>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</si>
  <si>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</si>
  <si>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</si>
  <si>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</si>
  <si>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</si>
  <si>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</si>
  <si>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</si>
  <si>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</si>
  <si>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</si>
  <si>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</si>
  <si>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</si>
  <si>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</si>
  <si>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</si>
  <si>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</si>
  <si>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</si>
  <si>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</si>
  <si>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</si>
  <si>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</si>
  <si>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</si>
  <si>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</si>
  <si>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</si>
  <si>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</si>
  <si>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</si>
  <si>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</si>
  <si>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</si>
  <si>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</si>
  <si>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</si>
  <si>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</si>
  <si>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</si>
  <si>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</si>
  <si>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</si>
  <si>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</si>
  <si>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</si>
  <si>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</si>
  <si>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</si>
  <si>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</si>
  <si>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</si>
  <si>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</si>
  <si>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</si>
  <si>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</si>
  <si>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</si>
  <si>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</si>
  <si>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</si>
  <si>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</si>
  <si>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</si>
  <si>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</si>
  <si>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</si>
  <si>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</si>
  <si>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</si>
  <si>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</si>
  <si>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</si>
  <si>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</si>
  <si>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</si>
  <si>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</si>
  <si>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</si>
  <si>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</si>
  <si>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</si>
  <si>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</si>
  <si>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</si>
  <si>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</si>
  <si>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</si>
  <si>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</si>
  <si>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</si>
  <si>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</si>
  <si>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</si>
  <si>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</si>
  <si>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</si>
  <si>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</si>
  <si>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</si>
  <si>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</si>
  <si>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</si>
  <si>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</si>
  <si>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</si>
  <si>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</si>
  <si>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</si>
  <si>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</si>
  <si>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</si>
  <si>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</si>
  <si>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</si>
  <si>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</si>
  <si>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</si>
  <si>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</si>
  <si>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</si>
  <si>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</si>
  <si>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</si>
  <si>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</si>
  <si>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</si>
  <si>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</si>
  <si>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</si>
  <si>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</si>
  <si>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</si>
  <si>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</si>
  <si>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</si>
  <si>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</si>
  <si>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</si>
  <si>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</si>
  <si>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</si>
  <si>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</si>
  <si>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</si>
  <si>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</si>
  <si>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</si>
  <si>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</si>
  <si>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</si>
  <si>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</si>
  <si>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</si>
  <si>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</si>
  <si>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</si>
  <si>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</si>
  <si>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</si>
  <si>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</si>
  <si>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</si>
  <si>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</si>
  <si>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</si>
  <si>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</si>
  <si>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</si>
  <si>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</si>
  <si>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</si>
  <si>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</si>
  <si>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</si>
  <si>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</si>
  <si>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</si>
  <si>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</si>
  <si>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</si>
  <si>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</si>
  <si>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</si>
  <si>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</si>
  <si>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</si>
  <si>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</si>
  <si>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</si>
  <si>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</si>
  <si>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</si>
  <si>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</si>
  <si>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</si>
  <si>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</si>
  <si>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</si>
  <si>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</si>
  <si>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</si>
  <si>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</si>
  <si>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</si>
  <si>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</si>
  <si>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</si>
  <si>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</si>
  <si>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</si>
  <si>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</si>
  <si>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</si>
  <si>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</si>
  <si>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</si>
  <si>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</si>
  <si>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</si>
  <si>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</si>
  <si>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</si>
  <si>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</si>
  <si>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</si>
  <si>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</si>
  <si>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</si>
  <si>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</si>
  <si>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</si>
  <si>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</si>
  <si>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</si>
  <si>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</si>
  <si>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</si>
  <si>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</si>
  <si>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</si>
  <si>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</si>
  <si>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</si>
  <si>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</si>
  <si>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</si>
  <si>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</si>
  <si>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</si>
  <si>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</si>
  <si>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</si>
  <si>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</si>
  <si>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</si>
  <si>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</si>
  <si>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</si>
  <si>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</si>
  <si>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</si>
  <si>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</si>
  <si>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</si>
  <si>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</si>
  <si>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</si>
  <si>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</si>
  <si>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</si>
  <si>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</si>
  <si>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</si>
  <si>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Brebis laitières tardives</t>
  </si>
  <si>
    <t>Brebis vides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</si>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</sst>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7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107.74350000000001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339.20860275068031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339.3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449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450</v>
      </c>
      <c r="G17" s="140">
        <f>CdTrp1!AC77+CdTrp2!AC77+CdTrp3!AC77+CdTrp4!AC77</f>
        <v>0</v>
      </c>
      <c r="H17" s="49" t="s">
        <v>455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6">
        <v>1</v>
      </c>
      <c r="G18" s="156">
        <f>CdTrp1!AC78+CdTrp2!AC78+CdTrp3!AC78+CdTrp4!AC78</f>
        <v>0</v>
      </c>
      <c r="H18" s="157" t="e">
        <f>G18/$G$17</f>
        <v>#DIV/0!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6">
        <v>2</v>
      </c>
      <c r="G19" s="156">
        <f>CdTrp1!AC79+CdTrp2!AC79+CdTrp3!AC79+CdTrp4!AC79</f>
        <v>0</v>
      </c>
      <c r="H19" s="157" t="e">
        <f t="shared" ref="H19:H21" si="1">G19/$G$17</f>
        <v>#DIV/0!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6">
        <v>3</v>
      </c>
      <c r="G20" s="156">
        <f>CdTrp1!AC80+CdTrp2!AC80+CdTrp3!AC80+CdTrp4!AC80</f>
        <v>0</v>
      </c>
      <c r="H20" s="157" t="e">
        <f t="shared" si="1"/>
        <v>#DIV/0!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454</v>
      </c>
      <c r="F21" s="156">
        <v>4</v>
      </c>
      <c r="G21" s="156">
        <f>CdTrp1!AC81+CdTrp2!AC81+CdTrp3!AC81+CdTrp4!AC81</f>
        <v>0</v>
      </c>
      <c r="H21" s="157" t="e">
        <f t="shared" si="1"/>
        <v>#DIV/0!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6" zoomScale="90" zoomScaleNormal="90" workbookViewId="0">
      <selection activeCell="Q33" sqref="Q3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7</v>
      </c>
      <c r="R7" s="286">
        <v>5</v>
      </c>
      <c r="S7" s="285" t="str">
        <f>VLOOKUP($Q7,[1]MEP!$A$5:$D$300,3)</f>
        <v>PP bonne 2 coupes</v>
      </c>
      <c r="T7" s="76" t="str">
        <f>VLOOKUP($Q7,[1]MEP!$A$5:$D$300,4)</f>
        <v>zone 2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5.2965000000000009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26.482500000000005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107.74350000000001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299</v>
      </c>
      <c r="R8" s="286">
        <v>8.5</v>
      </c>
      <c r="S8" s="285" t="str">
        <f>VLOOKUP($Q8,[1]MEP!$A$5:$D$300,3)</f>
        <v>PP excellente  2 COUPES</v>
      </c>
      <c r="T8" s="76" t="str">
        <f>VLOOKUP($Q8,[1]MEP!$A$5:$D$300,4)</f>
        <v>zone 2</v>
      </c>
      <c r="U8" s="76" t="str">
        <f>VLOOKUP($Q8,[1]MEP!$A$4:$K$300,2)</f>
        <v>P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8.5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72.25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107.74350000000001</v>
      </c>
      <c r="G9" s="81"/>
      <c r="H9" s="61">
        <f>SUM(L34:L43)</f>
        <v>3</v>
      </c>
      <c r="I9" s="81"/>
      <c r="J9" s="81"/>
      <c r="K9" s="93">
        <f>H9-F9</f>
        <v>-104.74350000000001</v>
      </c>
      <c r="L9" s="81"/>
      <c r="M9" s="100"/>
      <c r="P9">
        <v>3</v>
      </c>
      <c r="Q9" s="286"/>
      <c r="R9" s="286"/>
      <c r="S9" s="285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196.49575000000002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339.3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-142.80425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98.732500000000002</v>
      </c>
      <c r="AQ27" s="32" t="s">
        <v>485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299</v>
      </c>
      <c r="R29" s="272">
        <v>1.5</v>
      </c>
      <c r="S29" s="285" t="str">
        <f>VLOOKUP($Q29,[1]MEP!$A$5:$D$300,3)</f>
        <v>PP excellente  2 COUPES</v>
      </c>
      <c r="T29" s="76" t="str">
        <f>VLOOKUP($Q29,[1]MEP!$A$5:$D$300,4)</f>
        <v>zone 2</v>
      </c>
      <c r="U29" s="76" t="str">
        <f>VLOOKUP($Q29,[1]MEP!$A$4:$K$300,2)</f>
        <v>P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8.5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12.75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272">
        <v>7</v>
      </c>
      <c r="R31" s="272">
        <v>7</v>
      </c>
      <c r="S31" s="285" t="str">
        <f>VLOOKUP($Q31,[1]MEP!$A$5:$D$300,3)</f>
        <v>PP bonne 2 coupes</v>
      </c>
      <c r="T31" s="76" t="str">
        <f>VLOOKUP($Q31,[1]MEP!$A$5:$D$300,4)</f>
        <v>zone 2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5.2965000000000009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37.075500000000005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7</v>
      </c>
      <c r="R32" s="39">
        <v>3.5</v>
      </c>
      <c r="S32" s="285" t="str">
        <f>VLOOKUP($Q32,[1]MEP!$A$5:$D$300,3)</f>
        <v>PP bonne 2 coupes</v>
      </c>
      <c r="T32" s="76" t="str">
        <f>VLOOKUP($Q32,[1]MEP!$A$5:$D$300,4)</f>
        <v>zone 2</v>
      </c>
      <c r="U32" s="76" t="str">
        <f>VLOOKUP($Q32,[1]MEP!$A$4:$K$300,2)</f>
        <v>F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5.2965000000000009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18.537750000000003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5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/>
      <c r="R34" s="39"/>
      <c r="S34" s="285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97.763250000000014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478</v>
      </c>
      <c r="C66" s="163"/>
      <c r="D66" s="163"/>
      <c r="E66" s="163"/>
      <c r="F66" s="163"/>
      <c r="G66" s="164" t="s">
        <v>479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480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196.49575000000002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339.3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-142.80425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481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1467</v>
      </c>
      <c r="B3" s="287" t="s">
        <v>1463</v>
      </c>
    </row>
    <row r="4" spans="1:5" x14ac:dyDescent="0.25">
      <c r="A4" s="287" t="s">
        <v>1466</v>
      </c>
      <c r="B4" t="s">
        <v>491</v>
      </c>
      <c r="C4" t="s">
        <v>458</v>
      </c>
      <c r="D4" t="s">
        <v>1464</v>
      </c>
      <c r="E4" t="s">
        <v>1465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1464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1465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456</v>
      </c>
      <c r="E1" s="6" t="s">
        <v>457</v>
      </c>
      <c r="F1" s="6" t="s">
        <v>75</v>
      </c>
      <c r="G1" s="7" t="s">
        <v>18</v>
      </c>
      <c r="H1" s="7" t="s">
        <v>1468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490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491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491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458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445</v>
      </c>
      <c r="B5" s="9">
        <v>1</v>
      </c>
      <c r="C5" s="9">
        <v>2</v>
      </c>
      <c r="D5" s="9" t="s">
        <v>458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446</v>
      </c>
      <c r="B6" s="9">
        <v>1</v>
      </c>
      <c r="C6" s="9">
        <v>2</v>
      </c>
      <c r="D6" s="9" t="s">
        <v>458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491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491</v>
      </c>
      <c r="E8" s="9" t="s">
        <v>447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458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458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458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458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458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458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491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491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491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488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489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470</v>
      </c>
      <c r="B1">
        <v>45</v>
      </c>
      <c r="C1">
        <v>12</v>
      </c>
      <c r="AC1" t="s">
        <v>477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462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462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463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463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464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465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466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466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467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467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468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468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469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469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466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474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468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469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443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444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475</v>
      </c>
    </row>
    <row r="31" spans="1:53" x14ac:dyDescent="0.25">
      <c r="A31" s="50" t="s">
        <v>443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444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471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441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1" zoomScale="80" zoomScaleNormal="80" workbookViewId="0">
      <selection activeCell="K129" sqref="K12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492</v>
      </c>
      <c r="K1" s="80" t="s">
        <v>1470</v>
      </c>
    </row>
    <row r="2" spans="10:22" x14ac:dyDescent="0.25">
      <c r="J2" s="14" t="s">
        <v>493</v>
      </c>
      <c r="K2" s="80" t="s">
        <v>494</v>
      </c>
      <c r="P2" s="14" t="s">
        <v>494</v>
      </c>
      <c r="R2">
        <v>0</v>
      </c>
      <c r="S2" t="s">
        <v>495</v>
      </c>
    </row>
    <row r="3" spans="10:22" x14ac:dyDescent="0.25">
      <c r="J3" s="14" t="s">
        <v>496</v>
      </c>
      <c r="K3" s="80"/>
      <c r="P3" s="14" t="s">
        <v>497</v>
      </c>
      <c r="R3">
        <v>1</v>
      </c>
      <c r="S3" t="s">
        <v>498</v>
      </c>
    </row>
    <row r="4" spans="10:22" x14ac:dyDescent="0.25">
      <c r="J4" s="14" t="s">
        <v>499</v>
      </c>
      <c r="K4" s="80">
        <v>2</v>
      </c>
      <c r="P4" s="14" t="s">
        <v>500</v>
      </c>
    </row>
    <row r="5" spans="10:22" x14ac:dyDescent="0.25">
      <c r="J5" s="14" t="s">
        <v>501</v>
      </c>
      <c r="K5" s="80">
        <v>0.5</v>
      </c>
      <c r="T5" t="s">
        <v>502</v>
      </c>
      <c r="V5" t="s">
        <v>503</v>
      </c>
    </row>
    <row r="6" spans="10:22" x14ac:dyDescent="0.25">
      <c r="J6" s="14" t="s">
        <v>504</v>
      </c>
      <c r="K6" s="80">
        <v>0</v>
      </c>
      <c r="P6" s="14">
        <v>1</v>
      </c>
      <c r="Q6" t="s">
        <v>505</v>
      </c>
      <c r="T6" s="14" t="s">
        <v>460</v>
      </c>
      <c r="V6" s="14" t="s">
        <v>506</v>
      </c>
    </row>
    <row r="7" spans="10:22" x14ac:dyDescent="0.25">
      <c r="P7" s="14">
        <v>2</v>
      </c>
      <c r="Q7" t="s">
        <v>507</v>
      </c>
      <c r="T7" s="14" t="s">
        <v>508</v>
      </c>
      <c r="V7" s="14" t="s">
        <v>509</v>
      </c>
    </row>
    <row r="8" spans="10:22" x14ac:dyDescent="0.25">
      <c r="J8" s="14" t="s">
        <v>510</v>
      </c>
      <c r="K8" s="80">
        <v>2</v>
      </c>
      <c r="P8" s="14">
        <v>3</v>
      </c>
      <c r="Q8" t="s">
        <v>511</v>
      </c>
      <c r="T8" s="14" t="s">
        <v>459</v>
      </c>
      <c r="V8" s="14" t="s">
        <v>512</v>
      </c>
    </row>
    <row r="9" spans="10:22" x14ac:dyDescent="0.25">
      <c r="J9" s="14" t="s">
        <v>513</v>
      </c>
      <c r="K9" s="80" t="s">
        <v>528</v>
      </c>
      <c r="P9" s="14">
        <v>4</v>
      </c>
      <c r="Q9" t="s">
        <v>514</v>
      </c>
      <c r="T9" s="14" t="s">
        <v>515</v>
      </c>
      <c r="V9" s="14" t="s">
        <v>516</v>
      </c>
    </row>
    <row r="10" spans="10:22" x14ac:dyDescent="0.25">
      <c r="J10" s="14" t="s">
        <v>517</v>
      </c>
      <c r="K10" s="170">
        <f>IF(K9="HM",1,IF(K9="M1",1,IF(K9="M2",1,0)))</f>
        <v>1</v>
      </c>
      <c r="P10" s="14">
        <v>5</v>
      </c>
      <c r="Q10" t="s">
        <v>518</v>
      </c>
      <c r="T10" s="14" t="s">
        <v>519</v>
      </c>
      <c r="V10" s="14" t="s">
        <v>520</v>
      </c>
    </row>
    <row r="11" spans="10:22" x14ac:dyDescent="0.25">
      <c r="J11" s="14" t="s">
        <v>521</v>
      </c>
      <c r="K11" s="170">
        <f>IF(K9=0,0,1)</f>
        <v>1</v>
      </c>
      <c r="P11" s="14"/>
      <c r="T11" s="14" t="s">
        <v>522</v>
      </c>
      <c r="V11" s="14" t="s">
        <v>523</v>
      </c>
    </row>
    <row r="12" spans="10:22" x14ac:dyDescent="0.25">
      <c r="J12" s="14" t="s">
        <v>524</v>
      </c>
      <c r="K12" s="80" t="s">
        <v>515</v>
      </c>
      <c r="P12" s="14"/>
      <c r="V12" s="14" t="s">
        <v>525</v>
      </c>
    </row>
    <row r="13" spans="10:22" x14ac:dyDescent="0.25">
      <c r="J13" s="14" t="s">
        <v>503</v>
      </c>
      <c r="K13" s="80" t="s">
        <v>525</v>
      </c>
      <c r="P13" s="14" t="s">
        <v>526</v>
      </c>
      <c r="Q13" t="s">
        <v>527</v>
      </c>
    </row>
    <row r="14" spans="10:22" x14ac:dyDescent="0.25">
      <c r="P14" s="14" t="s">
        <v>528</v>
      </c>
      <c r="Q14" t="s">
        <v>529</v>
      </c>
    </row>
    <row r="15" spans="10:22" x14ac:dyDescent="0.25">
      <c r="J15"/>
      <c r="K15"/>
      <c r="P15" s="14" t="s">
        <v>530</v>
      </c>
      <c r="Q15" t="s">
        <v>531</v>
      </c>
    </row>
    <row r="16" spans="10:22" x14ac:dyDescent="0.25">
      <c r="J16" s="32" t="s">
        <v>532</v>
      </c>
      <c r="K16" s="275">
        <v>100</v>
      </c>
      <c r="P16" s="14" t="s">
        <v>533</v>
      </c>
      <c r="Q16" t="s">
        <v>534</v>
      </c>
    </row>
    <row r="17" spans="10:29" x14ac:dyDescent="0.25">
      <c r="J17" s="14" t="s">
        <v>535</v>
      </c>
      <c r="K17" s="80">
        <v>1</v>
      </c>
      <c r="P17" s="14" t="s">
        <v>536</v>
      </c>
      <c r="Q17" t="s">
        <v>537</v>
      </c>
    </row>
    <row r="18" spans="10:29" x14ac:dyDescent="0.25">
      <c r="J18" s="14" t="s">
        <v>538</v>
      </c>
      <c r="K18" s="80">
        <v>0</v>
      </c>
      <c r="P18" s="14">
        <v>0</v>
      </c>
      <c r="Q18" t="s">
        <v>539</v>
      </c>
    </row>
    <row r="19" spans="10:29" x14ac:dyDescent="0.25">
      <c r="J19" s="14" t="s">
        <v>540</v>
      </c>
      <c r="K19" s="80">
        <v>0</v>
      </c>
    </row>
    <row r="20" spans="10:29" x14ac:dyDescent="0.25">
      <c r="J20" s="14" t="s">
        <v>541</v>
      </c>
      <c r="K20" s="80"/>
    </row>
    <row r="21" spans="10:29" x14ac:dyDescent="0.25">
      <c r="J21" s="14" t="s">
        <v>542</v>
      </c>
      <c r="K21" s="80"/>
    </row>
    <row r="22" spans="10:29" x14ac:dyDescent="0.25">
      <c r="S22" s="2" t="s">
        <v>543</v>
      </c>
      <c r="T22" s="2"/>
      <c r="U22" s="2"/>
    </row>
    <row r="23" spans="10:29" x14ac:dyDescent="0.25">
      <c r="T23" s="168" t="s">
        <v>544</v>
      </c>
      <c r="U23" s="168" t="s">
        <v>51</v>
      </c>
      <c r="V23" s="168" t="s">
        <v>545</v>
      </c>
      <c r="W23" s="168" t="s">
        <v>546</v>
      </c>
      <c r="X23" s="168" t="s">
        <v>547</v>
      </c>
      <c r="Y23" s="168" t="s">
        <v>548</v>
      </c>
      <c r="Z23" s="168" t="s">
        <v>549</v>
      </c>
      <c r="AA23" s="168" t="s">
        <v>550</v>
      </c>
      <c r="AB23" s="168" t="s">
        <v>551</v>
      </c>
      <c r="AC23" s="168" t="s">
        <v>552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553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554</v>
      </c>
      <c r="K28" s="80">
        <v>28.5</v>
      </c>
      <c r="L28" t="s">
        <v>51</v>
      </c>
      <c r="M28" s="30">
        <f>U228</f>
        <v>28.5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555</v>
      </c>
      <c r="K29" s="80">
        <v>18.5</v>
      </c>
      <c r="L29" t="s">
        <v>51</v>
      </c>
      <c r="M29" s="30">
        <f>V228</f>
        <v>28.5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556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557</v>
      </c>
      <c r="K31" s="80">
        <v>20</v>
      </c>
      <c r="L31" t="s">
        <v>455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558</v>
      </c>
      <c r="K32" s="170">
        <f>$AB$34</f>
        <v>1</v>
      </c>
      <c r="M32" t="s">
        <v>559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560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561</v>
      </c>
      <c r="K35" s="170">
        <f>$X$34</f>
        <v>0</v>
      </c>
    </row>
    <row r="36" spans="10:132" x14ac:dyDescent="0.25">
      <c r="J36" s="14" t="s">
        <v>562</v>
      </c>
      <c r="K36" s="170">
        <f>$Y$34</f>
        <v>0</v>
      </c>
    </row>
    <row r="37" spans="10:132" x14ac:dyDescent="0.25">
      <c r="J37" s="14" t="s">
        <v>563</v>
      </c>
      <c r="K37" s="170">
        <f>$Z$34</f>
        <v>0</v>
      </c>
    </row>
    <row r="38" spans="10:132" x14ac:dyDescent="0.25">
      <c r="J38" s="14" t="s">
        <v>564</v>
      </c>
      <c r="K38" s="170">
        <f>$AA$34</f>
        <v>0</v>
      </c>
    </row>
    <row r="39" spans="10:132" x14ac:dyDescent="0.25">
      <c r="J39" s="14" t="s">
        <v>565</v>
      </c>
      <c r="K39" s="170">
        <f>$AC$34</f>
        <v>0</v>
      </c>
    </row>
    <row r="40" spans="10:132" x14ac:dyDescent="0.25">
      <c r="J40" s="14" t="s">
        <v>566</v>
      </c>
      <c r="K40" s="170">
        <f>AC228</f>
        <v>0</v>
      </c>
    </row>
    <row r="41" spans="10:132" x14ac:dyDescent="0.25">
      <c r="J41" s="14" t="s">
        <v>567</v>
      </c>
      <c r="K41" s="170">
        <f>AD228</f>
        <v>28.5</v>
      </c>
    </row>
    <row r="42" spans="10:132" x14ac:dyDescent="0.25">
      <c r="J42" s="14" t="s">
        <v>568</v>
      </c>
      <c r="K42" s="170">
        <f>AA228</f>
        <v>0</v>
      </c>
    </row>
    <row r="43" spans="10:132" x14ac:dyDescent="0.25">
      <c r="J43" s="14" t="s">
        <v>569</v>
      </c>
      <c r="K43" s="170">
        <f>M28*K31/100</f>
        <v>5.7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570</v>
      </c>
      <c r="K48" s="170">
        <f>+K33+K41+K40</f>
        <v>28.5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571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495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572</v>
      </c>
      <c r="K51" s="1">
        <v>1</v>
      </c>
      <c r="M51">
        <v>1</v>
      </c>
      <c r="N51" t="s">
        <v>498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573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574</v>
      </c>
      <c r="K53" s="170" t="str">
        <f>Troupeau!B3</f>
        <v>OL</v>
      </c>
      <c r="L53" t="s">
        <v>575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576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577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578</v>
      </c>
      <c r="K56" s="171">
        <v>3</v>
      </c>
      <c r="N56" t="s">
        <v>579</v>
      </c>
      <c r="P56" t="s">
        <v>580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581</v>
      </c>
      <c r="K57" s="80" t="s">
        <v>587</v>
      </c>
      <c r="N57" t="s">
        <v>582</v>
      </c>
      <c r="P57" t="s">
        <v>583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584</v>
      </c>
      <c r="K58" s="1"/>
      <c r="P58" t="s">
        <v>585</v>
      </c>
    </row>
    <row r="59" spans="10:132" x14ac:dyDescent="0.25">
      <c r="J59" s="14" t="s">
        <v>1469</v>
      </c>
      <c r="K59" s="1">
        <v>2</v>
      </c>
      <c r="P59" t="s">
        <v>587</v>
      </c>
    </row>
    <row r="60" spans="10:132" x14ac:dyDescent="0.25">
      <c r="J60" s="40" t="s">
        <v>588</v>
      </c>
      <c r="K60" s="170" t="str">
        <f>Troupeau!C3</f>
        <v>BV</v>
      </c>
      <c r="L60" t="s">
        <v>589</v>
      </c>
      <c r="P60" t="s">
        <v>590</v>
      </c>
    </row>
    <row r="61" spans="10:132" x14ac:dyDescent="0.25">
      <c r="J61" s="14" t="s">
        <v>591</v>
      </c>
      <c r="K61" s="171"/>
      <c r="L61" s="30" t="str">
        <f>IF(COUNTIF(CdTrp2!B76:Y85,5)&gt;0, "OUI", "NON")</f>
        <v>NON</v>
      </c>
      <c r="P61" t="s">
        <v>592</v>
      </c>
    </row>
    <row r="62" spans="10:132" x14ac:dyDescent="0.25">
      <c r="J62" s="14" t="s">
        <v>593</v>
      </c>
      <c r="K62" s="80"/>
    </row>
    <row r="63" spans="10:132" x14ac:dyDescent="0.25">
      <c r="J63"/>
      <c r="K63"/>
    </row>
    <row r="64" spans="10:132" x14ac:dyDescent="0.25">
      <c r="J64" s="14" t="s">
        <v>594</v>
      </c>
      <c r="K64" s="80" t="s">
        <v>580</v>
      </c>
    </row>
    <row r="65" spans="10:22" x14ac:dyDescent="0.25">
      <c r="J65" s="40" t="s">
        <v>595</v>
      </c>
      <c r="K65" s="170">
        <f>Troupeau!D3</f>
        <v>0</v>
      </c>
      <c r="L65" t="s">
        <v>596</v>
      </c>
    </row>
    <row r="66" spans="10:22" x14ac:dyDescent="0.25">
      <c r="J66" s="14" t="s">
        <v>597</v>
      </c>
      <c r="K66" s="80"/>
      <c r="L66" s="30" t="str">
        <f>IF(COUNTIF(CdTrp3!B76:Y85,5)&gt;0, "OUI", "NON")</f>
        <v>NON</v>
      </c>
    </row>
    <row r="67" spans="10:22" x14ac:dyDescent="0.25">
      <c r="J67" s="14" t="s">
        <v>598</v>
      </c>
      <c r="K67" s="80"/>
    </row>
    <row r="68" spans="10:22" x14ac:dyDescent="0.25">
      <c r="J68"/>
      <c r="K68"/>
    </row>
    <row r="69" spans="10:22" x14ac:dyDescent="0.25">
      <c r="J69" s="14" t="s">
        <v>599</v>
      </c>
      <c r="K69" s="80"/>
    </row>
    <row r="70" spans="10:22" x14ac:dyDescent="0.25">
      <c r="J70" s="14" t="s">
        <v>600</v>
      </c>
      <c r="K70" s="170">
        <f>IF(K53="OL",0,K54*K55)</f>
        <v>0</v>
      </c>
    </row>
    <row r="71" spans="10:22" x14ac:dyDescent="0.25">
      <c r="J71" s="14" t="s">
        <v>601</v>
      </c>
      <c r="K71" s="170">
        <f>IF(K60="OL",0,K61*K62)</f>
        <v>0</v>
      </c>
    </row>
    <row r="72" spans="10:22" x14ac:dyDescent="0.25">
      <c r="J72" s="14" t="s">
        <v>602</v>
      </c>
      <c r="K72" s="170">
        <f>IF(K65="OL",0,K66*K67)</f>
        <v>0</v>
      </c>
    </row>
    <row r="73" spans="10:22" x14ac:dyDescent="0.25">
      <c r="J73" s="14" t="s">
        <v>603</v>
      </c>
      <c r="K73" s="170">
        <f>SUM(K70:K72)</f>
        <v>0</v>
      </c>
    </row>
    <row r="74" spans="10:22" x14ac:dyDescent="0.25">
      <c r="J74" s="40" t="s">
        <v>604</v>
      </c>
      <c r="K74"/>
    </row>
    <row r="75" spans="10:22" x14ac:dyDescent="0.25">
      <c r="J75" s="14" t="s">
        <v>574</v>
      </c>
      <c r="K75" s="170" t="str">
        <f>Troupeau!B3</f>
        <v>OL</v>
      </c>
      <c r="L75" t="s">
        <v>605</v>
      </c>
      <c r="R75">
        <v>0</v>
      </c>
      <c r="S75" t="s">
        <v>606</v>
      </c>
      <c r="V75" s="14" t="s">
        <v>607</v>
      </c>
    </row>
    <row r="76" spans="10:22" x14ac:dyDescent="0.25">
      <c r="J76" s="14" t="s">
        <v>608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609</v>
      </c>
    </row>
    <row r="77" spans="10:22" x14ac:dyDescent="0.25">
      <c r="J77" s="14" t="s">
        <v>610</v>
      </c>
      <c r="K77" s="80"/>
      <c r="R77">
        <v>2</v>
      </c>
      <c r="U77">
        <v>2</v>
      </c>
      <c r="V77" t="s">
        <v>611</v>
      </c>
    </row>
    <row r="78" spans="10:22" x14ac:dyDescent="0.25">
      <c r="J78" s="40" t="s">
        <v>588</v>
      </c>
      <c r="K78" s="170" t="str">
        <f>Troupeau!C3</f>
        <v>BV</v>
      </c>
      <c r="L78" t="s">
        <v>612</v>
      </c>
      <c r="R78">
        <v>3</v>
      </c>
    </row>
    <row r="79" spans="10:22" x14ac:dyDescent="0.25">
      <c r="J79" s="14" t="s">
        <v>613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614</v>
      </c>
      <c r="K80" s="80"/>
      <c r="R80">
        <v>5</v>
      </c>
    </row>
    <row r="81" spans="9:21" x14ac:dyDescent="0.25">
      <c r="J81" s="40" t="s">
        <v>595</v>
      </c>
      <c r="K81" s="170">
        <f>Troupeau!D3</f>
        <v>0</v>
      </c>
      <c r="L81" t="s">
        <v>615</v>
      </c>
      <c r="U81" s="43" t="s">
        <v>616</v>
      </c>
    </row>
    <row r="82" spans="9:21" x14ac:dyDescent="0.25">
      <c r="J82" s="14" t="s">
        <v>617</v>
      </c>
      <c r="K82" s="80"/>
      <c r="L82" s="30" t="str">
        <f>IF(COUNTIF(CdTrp3!B76:Y85,4)&gt;0, "OUI", "NON")</f>
        <v>NON</v>
      </c>
      <c r="Q82" s="43" t="s">
        <v>618</v>
      </c>
      <c r="T82">
        <v>0</v>
      </c>
      <c r="U82" t="s">
        <v>619</v>
      </c>
    </row>
    <row r="83" spans="9:21" x14ac:dyDescent="0.25">
      <c r="J83" s="14" t="s">
        <v>620</v>
      </c>
      <c r="K83" s="80"/>
      <c r="P83">
        <v>1</v>
      </c>
      <c r="Q83" t="s">
        <v>621</v>
      </c>
      <c r="T83">
        <v>1</v>
      </c>
      <c r="U83" t="s">
        <v>622</v>
      </c>
    </row>
    <row r="84" spans="9:21" x14ac:dyDescent="0.25">
      <c r="J84" s="40" t="s">
        <v>607</v>
      </c>
      <c r="K84" s="172"/>
      <c r="L84" t="s">
        <v>623</v>
      </c>
      <c r="P84">
        <v>2</v>
      </c>
      <c r="Q84" t="s">
        <v>624</v>
      </c>
      <c r="T84">
        <v>2</v>
      </c>
      <c r="U84" t="s">
        <v>625</v>
      </c>
    </row>
    <row r="85" spans="9:21" x14ac:dyDescent="0.25">
      <c r="K85"/>
      <c r="Q85" s="43" t="s">
        <v>626</v>
      </c>
      <c r="U85" s="43" t="s">
        <v>627</v>
      </c>
    </row>
    <row r="86" spans="9:21" x14ac:dyDescent="0.25">
      <c r="J86" s="40" t="s">
        <v>628</v>
      </c>
      <c r="P86">
        <v>1</v>
      </c>
      <c r="Q86" t="s">
        <v>629</v>
      </c>
      <c r="T86">
        <v>1</v>
      </c>
      <c r="U86" t="s">
        <v>619</v>
      </c>
    </row>
    <row r="87" spans="9:21" x14ac:dyDescent="0.25">
      <c r="J87" s="14" t="s">
        <v>630</v>
      </c>
      <c r="K87" s="80">
        <v>5</v>
      </c>
      <c r="P87">
        <v>2</v>
      </c>
      <c r="Q87" t="s">
        <v>631</v>
      </c>
      <c r="T87">
        <v>2</v>
      </c>
      <c r="U87" t="s">
        <v>632</v>
      </c>
    </row>
    <row r="88" spans="9:21" x14ac:dyDescent="0.25">
      <c r="J88" s="14" t="s">
        <v>618</v>
      </c>
      <c r="K88" s="80"/>
      <c r="P88">
        <v>3</v>
      </c>
      <c r="Q88" t="s">
        <v>633</v>
      </c>
      <c r="T88">
        <v>3</v>
      </c>
      <c r="U88" t="s">
        <v>634</v>
      </c>
    </row>
    <row r="89" spans="9:21" x14ac:dyDescent="0.25">
      <c r="J89" s="14" t="s">
        <v>635</v>
      </c>
      <c r="K89" s="80"/>
      <c r="T89">
        <v>4</v>
      </c>
      <c r="U89" t="s">
        <v>636</v>
      </c>
    </row>
    <row r="90" spans="9:21" x14ac:dyDescent="0.25">
      <c r="J90" s="14" t="s">
        <v>635</v>
      </c>
      <c r="K90" s="80"/>
    </row>
    <row r="91" spans="9:21" x14ac:dyDescent="0.25">
      <c r="J91" s="14" t="s">
        <v>616</v>
      </c>
      <c r="K91" s="80"/>
    </row>
    <row r="92" spans="9:21" x14ac:dyDescent="0.25">
      <c r="J92"/>
      <c r="K92"/>
    </row>
    <row r="93" spans="9:21" x14ac:dyDescent="0.25">
      <c r="J93" s="14" t="s">
        <v>637</v>
      </c>
      <c r="K93" s="80"/>
    </row>
    <row r="94" spans="9:21" x14ac:dyDescent="0.25">
      <c r="J94" s="14" t="s">
        <v>638</v>
      </c>
      <c r="K94" s="80"/>
      <c r="L94" t="s">
        <v>639</v>
      </c>
    </row>
    <row r="95" spans="9:21" x14ac:dyDescent="0.25">
      <c r="J95" s="14" t="s">
        <v>640</v>
      </c>
      <c r="L95" t="s">
        <v>641</v>
      </c>
      <c r="Q95" t="s">
        <v>642</v>
      </c>
    </row>
    <row r="96" spans="9:21" x14ac:dyDescent="0.25">
      <c r="I96" t="s">
        <v>643</v>
      </c>
      <c r="J96" s="14" t="s">
        <v>226</v>
      </c>
      <c r="K96" s="80" t="s">
        <v>644</v>
      </c>
      <c r="L96" s="30" t="str">
        <f>CdTrp1!A15</f>
        <v>Brebis laitières lot princ</v>
      </c>
      <c r="Q96" t="s">
        <v>644</v>
      </c>
    </row>
    <row r="97" spans="9:17" x14ac:dyDescent="0.25">
      <c r="J97" s="14" t="s">
        <v>155</v>
      </c>
      <c r="K97" s="80" t="s">
        <v>644</v>
      </c>
      <c r="L97" s="30" t="str">
        <f>CdTrp1!A16</f>
        <v>Brebis laitières tardives</v>
      </c>
      <c r="Q97" t="s">
        <v>645</v>
      </c>
    </row>
    <row r="98" spans="9:17" x14ac:dyDescent="0.25">
      <c r="J98" s="14" t="s">
        <v>156</v>
      </c>
      <c r="K98" s="80" t="s">
        <v>644</v>
      </c>
      <c r="L98" s="30" t="str">
        <f>CdTrp1!A17</f>
        <v>Brebis vides</v>
      </c>
    </row>
    <row r="99" spans="9:17" x14ac:dyDescent="0.25">
      <c r="J99" s="14" t="s">
        <v>157</v>
      </c>
      <c r="K99" s="80" t="s">
        <v>644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644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646</v>
      </c>
      <c r="J106" s="14" t="s">
        <v>226</v>
      </c>
      <c r="K106" s="80" t="s">
        <v>644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645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647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648</v>
      </c>
      <c r="K127" s="80"/>
      <c r="L127" t="s">
        <v>649</v>
      </c>
    </row>
    <row r="128" spans="9:12" x14ac:dyDescent="0.25">
      <c r="K128"/>
    </row>
    <row r="129" spans="10:15" x14ac:dyDescent="0.25">
      <c r="J129" s="14" t="s">
        <v>650</v>
      </c>
      <c r="K129" s="80"/>
      <c r="L129" t="s">
        <v>651</v>
      </c>
      <c r="N129">
        <v>0</v>
      </c>
      <c r="O129" t="s">
        <v>652</v>
      </c>
    </row>
    <row r="130" spans="10:15" x14ac:dyDescent="0.25">
      <c r="J130"/>
      <c r="K130"/>
      <c r="N130">
        <v>1</v>
      </c>
      <c r="O130" t="s">
        <v>653</v>
      </c>
    </row>
    <row r="161" spans="17:41" x14ac:dyDescent="0.25">
      <c r="R161" s="2" t="s">
        <v>654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  <c r="AL163" s="5"/>
    </row>
    <row r="164" spans="17:41" x14ac:dyDescent="0.25">
      <c r="Q164">
        <v>1</v>
      </c>
      <c r="R164" s="170">
        <f>'Alim -Surf'!Q7</f>
        <v>7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299</v>
      </c>
      <c r="S165" s="170">
        <f>'Alim -Surf'!R8</f>
        <v>8.5</v>
      </c>
      <c r="T165" s="170">
        <f>VLOOKUP(R165,[1]MEP!$A$4:$M$300,13)</f>
        <v>2</v>
      </c>
      <c r="U165" s="170">
        <f t="shared" ref="U165:U207" si="10">IF($T165&gt;0,$S165,0)</f>
        <v>8.5</v>
      </c>
      <c r="V165" s="170">
        <f t="shared" ref="V165:V207" si="11">IF($T165&gt;1,$S165,0)</f>
        <v>8.5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0</v>
      </c>
      <c r="AJ165" s="170">
        <f t="shared" ref="AJ165:AJ207" si="20">IF(T165&gt;1,AD165,0)</f>
        <v>8.5</v>
      </c>
      <c r="AL165" s="5"/>
      <c r="AN165" s="32" t="s">
        <v>672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673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674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675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676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677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678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299</v>
      </c>
      <c r="S186" s="170">
        <f>'Alim -Surf'!R29</f>
        <v>1.5</v>
      </c>
      <c r="T186" s="170">
        <f>VLOOKUP(R186,[1]MEP!$A$4:$M$300,13)</f>
        <v>2</v>
      </c>
      <c r="U186" s="170">
        <f t="shared" si="10"/>
        <v>1.5</v>
      </c>
      <c r="V186" s="170">
        <f t="shared" si="11"/>
        <v>1.5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0</v>
      </c>
      <c r="AJ186" s="170">
        <f t="shared" si="20"/>
        <v>1.5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7</v>
      </c>
      <c r="S188" s="170">
        <f>'Alim -Surf'!R31</f>
        <v>7</v>
      </c>
      <c r="T188" s="170">
        <f>VLOOKUP(R188,[1]MEP!$A$4:$M$300,13)</f>
        <v>2</v>
      </c>
      <c r="U188" s="170">
        <f t="shared" si="10"/>
        <v>7</v>
      </c>
      <c r="V188" s="170">
        <f t="shared" si="11"/>
        <v>7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7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7</v>
      </c>
      <c r="AL188" s="5"/>
    </row>
    <row r="189" spans="17:38" x14ac:dyDescent="0.25">
      <c r="Q189">
        <v>4</v>
      </c>
      <c r="R189" s="170">
        <f>'Alim -Surf'!Q32</f>
        <v>7</v>
      </c>
      <c r="S189" s="170">
        <f>'Alim -Surf'!R32</f>
        <v>3.5</v>
      </c>
      <c r="T189" s="170">
        <f>VLOOKUP(R189,[1]MEP!$A$4:$M$300,13)</f>
        <v>2</v>
      </c>
      <c r="U189" s="170">
        <f t="shared" si="10"/>
        <v>3.5</v>
      </c>
      <c r="V189" s="170">
        <f t="shared" si="11"/>
        <v>3.5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3.5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3.5</v>
      </c>
      <c r="AL189" s="5"/>
    </row>
    <row r="190" spans="17:38" x14ac:dyDescent="0.25"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679</v>
      </c>
      <c r="R228" s="2"/>
      <c r="S228" s="62">
        <f t="shared" ref="S228" si="21">SUM(S164:S227)</f>
        <v>28.5</v>
      </c>
      <c r="U228" s="62">
        <f>SUM(U164:U227)</f>
        <v>28.5</v>
      </c>
      <c r="V228" s="62">
        <f t="shared" ref="V228:W228" si="22">SUM(V164:V227)</f>
        <v>28.5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0</v>
      </c>
      <c r="AJ228" s="62">
        <f t="shared" si="24"/>
        <v>28.5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680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681</v>
      </c>
      <c r="BJ1" t="s">
        <v>682</v>
      </c>
    </row>
    <row r="2" spans="1:64" x14ac:dyDescent="0.25">
      <c r="A2" s="14" t="s">
        <v>683</v>
      </c>
      <c r="B2" t="s">
        <v>574</v>
      </c>
      <c r="C2" s="174">
        <f>SUM(C3:C4)</f>
        <v>0</v>
      </c>
      <c r="D2" s="174">
        <f t="shared" ref="D2:Z2" si="0">SUM(D3:D4)</f>
        <v>0</v>
      </c>
      <c r="E2" s="174">
        <f t="shared" si="0"/>
        <v>0</v>
      </c>
      <c r="F2" s="174">
        <f t="shared" si="0"/>
        <v>0</v>
      </c>
      <c r="G2" s="174">
        <f t="shared" si="0"/>
        <v>0</v>
      </c>
      <c r="H2" s="174">
        <f t="shared" si="0"/>
        <v>0</v>
      </c>
      <c r="I2" s="174">
        <f t="shared" si="0"/>
        <v>0</v>
      </c>
      <c r="J2" s="174">
        <f t="shared" si="0"/>
        <v>0</v>
      </c>
      <c r="K2" s="174">
        <f t="shared" si="0"/>
        <v>0</v>
      </c>
      <c r="L2" s="174">
        <f t="shared" si="0"/>
        <v>0</v>
      </c>
      <c r="M2" s="174">
        <f t="shared" si="0"/>
        <v>0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0</v>
      </c>
      <c r="U2" s="174">
        <f t="shared" si="0"/>
        <v>0</v>
      </c>
      <c r="V2" s="174">
        <f t="shared" si="0"/>
        <v>0</v>
      </c>
      <c r="W2" s="174">
        <f t="shared" si="0"/>
        <v>0</v>
      </c>
      <c r="X2" s="174">
        <f t="shared" si="0"/>
        <v>0</v>
      </c>
      <c r="Y2" s="174">
        <f t="shared" si="0"/>
        <v>0</v>
      </c>
      <c r="Z2" s="174">
        <f t="shared" si="0"/>
        <v>0</v>
      </c>
      <c r="AH2" s="168"/>
      <c r="AP2" t="s">
        <v>684</v>
      </c>
      <c r="AQ2" t="s">
        <v>685</v>
      </c>
      <c r="AV2" t="s">
        <v>686</v>
      </c>
      <c r="AW2" t="s">
        <v>34</v>
      </c>
      <c r="AX2" t="s">
        <v>456</v>
      </c>
      <c r="AY2" t="s">
        <v>75</v>
      </c>
      <c r="AZ2" t="s">
        <v>18</v>
      </c>
      <c r="BA2" t="s">
        <v>687</v>
      </c>
      <c r="BB2" t="s">
        <v>688</v>
      </c>
      <c r="BC2" t="s">
        <v>689</v>
      </c>
      <c r="BD2" t="s">
        <v>690</v>
      </c>
      <c r="BE2" t="s">
        <v>691</v>
      </c>
      <c r="BF2" t="s">
        <v>692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693</v>
      </c>
      <c r="B3" t="s">
        <v>574</v>
      </c>
      <c r="C3" s="174">
        <f t="shared" ref="C3:Z3" si="1">COUNTIF(C81:C90,1)</f>
        <v>0</v>
      </c>
      <c r="D3" s="174">
        <f t="shared" si="1"/>
        <v>0</v>
      </c>
      <c r="E3" s="174">
        <f t="shared" si="1"/>
        <v>0</v>
      </c>
      <c r="F3" s="174">
        <f t="shared" si="1"/>
        <v>0</v>
      </c>
      <c r="G3" s="174">
        <f t="shared" si="1"/>
        <v>0</v>
      </c>
      <c r="H3" s="174">
        <f t="shared" si="1"/>
        <v>0</v>
      </c>
      <c r="I3" s="174">
        <f t="shared" si="1"/>
        <v>0</v>
      </c>
      <c r="J3" s="174">
        <f t="shared" si="1"/>
        <v>0</v>
      </c>
      <c r="K3" s="174">
        <f t="shared" si="1"/>
        <v>0</v>
      </c>
      <c r="L3" s="174">
        <f t="shared" si="1"/>
        <v>0</v>
      </c>
      <c r="M3" s="174">
        <f t="shared" si="1"/>
        <v>0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0</v>
      </c>
      <c r="U3" s="174">
        <f t="shared" si="1"/>
        <v>0</v>
      </c>
      <c r="V3" s="174">
        <f t="shared" si="1"/>
        <v>0</v>
      </c>
      <c r="W3" s="174">
        <f t="shared" si="1"/>
        <v>0</v>
      </c>
      <c r="X3" s="174">
        <f t="shared" si="1"/>
        <v>0</v>
      </c>
      <c r="Y3" s="174">
        <f t="shared" si="1"/>
        <v>0</v>
      </c>
      <c r="Z3" s="174">
        <f t="shared" si="1"/>
        <v>0</v>
      </c>
      <c r="AO3" s="14" t="s">
        <v>694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695</v>
      </c>
      <c r="B4" t="s">
        <v>574</v>
      </c>
      <c r="C4" s="174">
        <f>COUNTIF(C81:C90,2)</f>
        <v>0</v>
      </c>
      <c r="D4" s="174">
        <f t="shared" ref="D4:Z4" si="2">COUNTIF(D81:D90,2)</f>
        <v>0</v>
      </c>
      <c r="E4" s="174">
        <f t="shared" si="2"/>
        <v>0</v>
      </c>
      <c r="F4" s="174">
        <f t="shared" si="2"/>
        <v>0</v>
      </c>
      <c r="G4" s="174">
        <f t="shared" si="2"/>
        <v>0</v>
      </c>
      <c r="H4" s="174">
        <f t="shared" si="2"/>
        <v>0</v>
      </c>
      <c r="I4" s="174">
        <f t="shared" si="2"/>
        <v>0</v>
      </c>
      <c r="J4" s="174">
        <f t="shared" si="2"/>
        <v>0</v>
      </c>
      <c r="K4" s="174">
        <f t="shared" si="2"/>
        <v>0</v>
      </c>
      <c r="L4" s="174">
        <f t="shared" si="2"/>
        <v>0</v>
      </c>
      <c r="M4" s="174">
        <f t="shared" si="2"/>
        <v>0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0</v>
      </c>
      <c r="U4" s="174">
        <f t="shared" si="2"/>
        <v>0</v>
      </c>
      <c r="V4" s="174">
        <f t="shared" si="2"/>
        <v>0</v>
      </c>
      <c r="W4" s="174">
        <f t="shared" si="2"/>
        <v>0</v>
      </c>
      <c r="X4" s="174">
        <f t="shared" si="2"/>
        <v>0</v>
      </c>
      <c r="Y4" s="174">
        <f t="shared" si="2"/>
        <v>0</v>
      </c>
      <c r="Z4" s="174">
        <f t="shared" si="2"/>
        <v>0</v>
      </c>
      <c r="AO4" s="14" t="s">
        <v>696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697</v>
      </c>
      <c r="B5" t="s">
        <v>574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698</v>
      </c>
      <c r="AJ5" s="30">
        <f>MAX(C203:Z203)</f>
        <v>0</v>
      </c>
      <c r="AO5" s="14" t="s">
        <v>699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700</v>
      </c>
      <c r="B6" t="s">
        <v>574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701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702</v>
      </c>
      <c r="B7" t="s">
        <v>574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0</v>
      </c>
      <c r="O7" s="174">
        <f t="shared" si="12"/>
        <v>0</v>
      </c>
      <c r="P7" s="174">
        <f t="shared" si="12"/>
        <v>0</v>
      </c>
      <c r="Q7" s="174">
        <f t="shared" si="12"/>
        <v>0</v>
      </c>
      <c r="R7" s="174">
        <f t="shared" si="12"/>
        <v>0</v>
      </c>
      <c r="S7" s="174">
        <f t="shared" si="12"/>
        <v>0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703</v>
      </c>
      <c r="AP7" s="30">
        <f>Scénario!K73*[1]Protect!$F$60</f>
        <v>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704</v>
      </c>
      <c r="B8" t="s">
        <v>574</v>
      </c>
      <c r="C8" s="174">
        <f>(C3+C4)*[1]Protect!$B$12</f>
        <v>0</v>
      </c>
      <c r="D8" s="174">
        <f>(D3+D4)*[1]Protect!$B$12</f>
        <v>0</v>
      </c>
      <c r="E8" s="174">
        <f>(E3+E4)*[1]Protect!$B$12</f>
        <v>0</v>
      </c>
      <c r="F8" s="174">
        <f>(F3+F4)*[1]Protect!$B$12</f>
        <v>0</v>
      </c>
      <c r="G8" s="174">
        <f>(G3+G4)*[1]Protect!$B$12</f>
        <v>0</v>
      </c>
      <c r="H8" s="174">
        <f>(H3+H4)*[1]Protect!$B$12</f>
        <v>0</v>
      </c>
      <c r="I8" s="174">
        <f>(I3+I4)*[1]Protect!$B$12</f>
        <v>0</v>
      </c>
      <c r="J8" s="174">
        <f>(J3+J4)*[1]Protect!$B$12</f>
        <v>0</v>
      </c>
      <c r="K8" s="174">
        <f>(K3+K4)*[1]Protect!$B$12</f>
        <v>0</v>
      </c>
      <c r="L8" s="174">
        <f>(L3+L4)*[1]Protect!$B$12</f>
        <v>0</v>
      </c>
      <c r="M8" s="174">
        <f>(M3+M4)*[1]Protect!$B$12</f>
        <v>0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0</v>
      </c>
      <c r="U8" s="174">
        <f>(U3+U4)*[1]Protect!$B$12</f>
        <v>0</v>
      </c>
      <c r="V8" s="174">
        <f>(V3+V4)*[1]Protect!$B$12</f>
        <v>0</v>
      </c>
      <c r="W8" s="174">
        <f>(W3+W4)*[1]Protect!$B$12</f>
        <v>0</v>
      </c>
      <c r="X8" s="174">
        <f>(X3+X4)*[1]Protect!$B$12</f>
        <v>0</v>
      </c>
      <c r="Y8" s="174">
        <f>(Y3+Y4)*[1]Protect!$B$12</f>
        <v>0</v>
      </c>
      <c r="Z8" s="174">
        <f>(Z3+Z4)*[1]Protect!$B$12</f>
        <v>0</v>
      </c>
      <c r="AI8" s="40" t="s">
        <v>705</v>
      </c>
      <c r="AJ8" s="30">
        <f>IF(Scénario!$K$87=5,2,IF(Scénario!$K$87&gt;0,MAX($C$214:$Z$214),0))</f>
        <v>2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706</v>
      </c>
      <c r="B9" t="s">
        <v>574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707</v>
      </c>
      <c r="B10" t="s">
        <v>574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708</v>
      </c>
      <c r="B11" t="s">
        <v>574</v>
      </c>
      <c r="C11" s="174">
        <f>SUM(C8:C10)</f>
        <v>0</v>
      </c>
      <c r="D11" s="174">
        <f t="shared" ref="D11:Z11" si="13">SUM(D8:D10)</f>
        <v>0</v>
      </c>
      <c r="E11" s="174">
        <f t="shared" si="13"/>
        <v>0</v>
      </c>
      <c r="F11" s="174">
        <f t="shared" si="13"/>
        <v>0</v>
      </c>
      <c r="G11" s="174">
        <f t="shared" si="13"/>
        <v>0</v>
      </c>
      <c r="H11" s="174">
        <f t="shared" si="13"/>
        <v>0</v>
      </c>
      <c r="I11" s="174">
        <f t="shared" si="13"/>
        <v>0</v>
      </c>
      <c r="J11" s="174">
        <f t="shared" si="13"/>
        <v>0</v>
      </c>
      <c r="K11" s="174">
        <f t="shared" si="13"/>
        <v>0</v>
      </c>
      <c r="L11" s="174">
        <f t="shared" si="13"/>
        <v>0</v>
      </c>
      <c r="M11" s="174">
        <f t="shared" si="13"/>
        <v>0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0</v>
      </c>
      <c r="U11" s="174">
        <f t="shared" si="13"/>
        <v>0</v>
      </c>
      <c r="V11" s="174">
        <f t="shared" si="13"/>
        <v>0</v>
      </c>
      <c r="W11" s="174">
        <f t="shared" si="13"/>
        <v>0</v>
      </c>
      <c r="X11" s="174">
        <f t="shared" si="13"/>
        <v>0</v>
      </c>
      <c r="Y11" s="174">
        <f t="shared" si="13"/>
        <v>0</v>
      </c>
      <c r="Z11" s="174">
        <f t="shared" si="13"/>
        <v>0</v>
      </c>
      <c r="AB11" s="2" t="s">
        <v>709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710</v>
      </c>
      <c r="B12" t="s">
        <v>574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0</v>
      </c>
      <c r="O12" s="174">
        <f>O7*[1]Protect!$B$15</f>
        <v>0</v>
      </c>
      <c r="P12" s="174">
        <f>P7*[1]Protect!$B$15</f>
        <v>0</v>
      </c>
      <c r="Q12" s="174">
        <f>Q7*[1]Protect!$B$15</f>
        <v>0</v>
      </c>
      <c r="R12" s="174">
        <f>R7*[1]Protect!$B$15</f>
        <v>0</v>
      </c>
      <c r="S12" s="174">
        <f>S7*[1]Protect!$B$15</f>
        <v>0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711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712</v>
      </c>
      <c r="B13" t="s">
        <v>574</v>
      </c>
      <c r="C13" s="174">
        <f>C11+C12</f>
        <v>0</v>
      </c>
      <c r="D13" s="174">
        <f t="shared" ref="D13:Z13" si="14">D11+D12</f>
        <v>0</v>
      </c>
      <c r="E13" s="174">
        <f t="shared" si="14"/>
        <v>0</v>
      </c>
      <c r="F13" s="174">
        <f t="shared" si="14"/>
        <v>0</v>
      </c>
      <c r="G13" s="174">
        <f t="shared" si="14"/>
        <v>0</v>
      </c>
      <c r="H13" s="174">
        <f t="shared" si="14"/>
        <v>0</v>
      </c>
      <c r="I13" s="174">
        <f t="shared" si="14"/>
        <v>0</v>
      </c>
      <c r="J13" s="174">
        <f t="shared" si="14"/>
        <v>0</v>
      </c>
      <c r="K13" s="174">
        <f t="shared" si="14"/>
        <v>0</v>
      </c>
      <c r="L13" s="174">
        <f t="shared" si="14"/>
        <v>0</v>
      </c>
      <c r="M13" s="174">
        <f t="shared" si="14"/>
        <v>0</v>
      </c>
      <c r="N13" s="174">
        <f t="shared" si="14"/>
        <v>0</v>
      </c>
      <c r="O13" s="174">
        <f t="shared" si="14"/>
        <v>0</v>
      </c>
      <c r="P13" s="174">
        <f t="shared" si="14"/>
        <v>0</v>
      </c>
      <c r="Q13" s="174">
        <f t="shared" si="14"/>
        <v>0</v>
      </c>
      <c r="R13" s="174">
        <f t="shared" si="14"/>
        <v>0</v>
      </c>
      <c r="S13" s="174">
        <f t="shared" si="14"/>
        <v>0</v>
      </c>
      <c r="T13" s="174">
        <f t="shared" si="14"/>
        <v>0</v>
      </c>
      <c r="U13" s="174">
        <f t="shared" si="14"/>
        <v>0</v>
      </c>
      <c r="V13" s="174">
        <f t="shared" si="14"/>
        <v>0</v>
      </c>
      <c r="W13" s="174">
        <f t="shared" si="14"/>
        <v>0</v>
      </c>
      <c r="X13" s="174">
        <f t="shared" si="14"/>
        <v>0</v>
      </c>
      <c r="Y13" s="174">
        <f t="shared" si="14"/>
        <v>0</v>
      </c>
      <c r="Z13" s="174">
        <f t="shared" si="14"/>
        <v>0</v>
      </c>
      <c r="AC13" s="14" t="s">
        <v>713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715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716</v>
      </c>
      <c r="B15" t="s">
        <v>574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717</v>
      </c>
      <c r="B16" t="s">
        <v>574</v>
      </c>
      <c r="C16" s="170">
        <f t="shared" ref="C16:Z16" si="16">COUNTIF(C68:C77,1)</f>
        <v>5</v>
      </c>
      <c r="D16" s="170">
        <f t="shared" si="16"/>
        <v>5</v>
      </c>
      <c r="E16" s="170">
        <f t="shared" si="16"/>
        <v>5</v>
      </c>
      <c r="F16" s="170">
        <f t="shared" si="16"/>
        <v>5</v>
      </c>
      <c r="G16" s="170">
        <f t="shared" si="16"/>
        <v>5</v>
      </c>
      <c r="H16" s="170">
        <f t="shared" si="16"/>
        <v>5</v>
      </c>
      <c r="I16" s="170">
        <f t="shared" si="16"/>
        <v>5</v>
      </c>
      <c r="J16" s="170">
        <f t="shared" si="16"/>
        <v>5</v>
      </c>
      <c r="K16" s="170">
        <f t="shared" si="16"/>
        <v>5</v>
      </c>
      <c r="L16" s="170">
        <f t="shared" si="16"/>
        <v>4</v>
      </c>
      <c r="M16" s="170">
        <f t="shared" si="16"/>
        <v>2</v>
      </c>
      <c r="N16" s="170">
        <f t="shared" si="16"/>
        <v>2</v>
      </c>
      <c r="O16" s="170">
        <f t="shared" si="16"/>
        <v>2</v>
      </c>
      <c r="P16" s="170">
        <f t="shared" si="16"/>
        <v>2</v>
      </c>
      <c r="Q16" s="170">
        <f t="shared" si="16"/>
        <v>2</v>
      </c>
      <c r="R16" s="170">
        <f t="shared" si="16"/>
        <v>2</v>
      </c>
      <c r="S16" s="170">
        <f t="shared" si="16"/>
        <v>2</v>
      </c>
      <c r="T16" s="170">
        <f t="shared" si="16"/>
        <v>2</v>
      </c>
      <c r="U16" s="170">
        <f t="shared" si="16"/>
        <v>2</v>
      </c>
      <c r="V16" s="170">
        <f t="shared" si="16"/>
        <v>2</v>
      </c>
      <c r="W16" s="170">
        <f t="shared" si="16"/>
        <v>2</v>
      </c>
      <c r="X16" s="170">
        <f t="shared" si="16"/>
        <v>4</v>
      </c>
      <c r="Y16" s="170">
        <f t="shared" si="16"/>
        <v>5</v>
      </c>
      <c r="Z16" s="170">
        <f t="shared" si="16"/>
        <v>5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718</v>
      </c>
      <c r="B17" t="s">
        <v>574</v>
      </c>
      <c r="C17" s="170">
        <f t="shared" ref="C17:Z17" si="17">COUNTIF(C68:C77,0.5)</f>
        <v>0</v>
      </c>
      <c r="D17" s="170">
        <f t="shared" si="17"/>
        <v>0</v>
      </c>
      <c r="E17" s="170">
        <f t="shared" si="17"/>
        <v>0</v>
      </c>
      <c r="F17" s="170">
        <f t="shared" si="17"/>
        <v>0</v>
      </c>
      <c r="G17" s="170">
        <f t="shared" si="17"/>
        <v>0</v>
      </c>
      <c r="H17" s="170">
        <f t="shared" si="17"/>
        <v>0</v>
      </c>
      <c r="I17" s="170">
        <f t="shared" si="17"/>
        <v>0</v>
      </c>
      <c r="J17" s="170">
        <f t="shared" si="17"/>
        <v>0</v>
      </c>
      <c r="K17" s="170">
        <f t="shared" si="17"/>
        <v>0</v>
      </c>
      <c r="L17" s="170">
        <f t="shared" si="17"/>
        <v>0</v>
      </c>
      <c r="M17" s="170">
        <f t="shared" si="17"/>
        <v>0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0</v>
      </c>
      <c r="U17" s="170">
        <f t="shared" si="17"/>
        <v>0</v>
      </c>
      <c r="V17" s="170">
        <f t="shared" si="17"/>
        <v>0</v>
      </c>
      <c r="W17" s="170">
        <f t="shared" si="17"/>
        <v>0</v>
      </c>
      <c r="X17" s="170">
        <f t="shared" si="17"/>
        <v>0</v>
      </c>
      <c r="Y17" s="170">
        <f t="shared" si="17"/>
        <v>0</v>
      </c>
      <c r="Z17" s="170">
        <f t="shared" si="17"/>
        <v>0</v>
      </c>
      <c r="AB17" s="2" t="s">
        <v>719</v>
      </c>
      <c r="AD17" s="102" t="s">
        <v>720</v>
      </c>
      <c r="AE17" s="81"/>
      <c r="AF17" s="81"/>
      <c r="AH17" s="2" t="s">
        <v>721</v>
      </c>
      <c r="AK17" t="s">
        <v>722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723</v>
      </c>
      <c r="B18" t="s">
        <v>574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724</v>
      </c>
      <c r="AD18" s="120" t="s">
        <v>459</v>
      </c>
      <c r="AE18" s="81" t="s">
        <v>725</v>
      </c>
      <c r="AF18" s="120" t="s">
        <v>726</v>
      </c>
      <c r="AK18" t="s">
        <v>727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728</v>
      </c>
      <c r="B19" t="s">
        <v>574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720</v>
      </c>
      <c r="AK19" s="168" t="s">
        <v>730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731</v>
      </c>
      <c r="B20" t="s">
        <v>574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0</v>
      </c>
      <c r="O20" s="170">
        <f t="shared" si="20"/>
        <v>0</v>
      </c>
      <c r="P20" s="170">
        <f t="shared" si="20"/>
        <v>0</v>
      </c>
      <c r="Q20" s="170">
        <f t="shared" si="20"/>
        <v>0</v>
      </c>
      <c r="R20" s="170">
        <f t="shared" si="20"/>
        <v>0</v>
      </c>
      <c r="S20" s="170">
        <f t="shared" si="20"/>
        <v>0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733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734</v>
      </c>
      <c r="B21" t="s">
        <v>574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735</v>
      </c>
      <c r="AC21" s="14"/>
      <c r="AD21" s="64"/>
      <c r="AE21" s="64"/>
      <c r="AF21" s="64"/>
      <c r="AJ21" s="14" t="s">
        <v>736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737</v>
      </c>
      <c r="B22" t="s">
        <v>574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721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739</v>
      </c>
      <c r="B25" t="s">
        <v>588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0</v>
      </c>
      <c r="F25" s="174">
        <f t="shared" si="22"/>
        <v>0</v>
      </c>
      <c r="G25" s="174">
        <f t="shared" si="22"/>
        <v>0</v>
      </c>
      <c r="H25" s="174">
        <f t="shared" si="22"/>
        <v>0</v>
      </c>
      <c r="I25" s="174">
        <f t="shared" si="22"/>
        <v>0</v>
      </c>
      <c r="J25" s="174">
        <f t="shared" si="22"/>
        <v>0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0</v>
      </c>
      <c r="V25" s="174">
        <f t="shared" si="22"/>
        <v>0</v>
      </c>
      <c r="W25" s="174">
        <f t="shared" si="22"/>
        <v>0</v>
      </c>
      <c r="X25" s="174">
        <f t="shared" si="22"/>
        <v>0</v>
      </c>
      <c r="Y25" s="174">
        <f t="shared" si="22"/>
        <v>0</v>
      </c>
      <c r="Z25" s="174">
        <f t="shared" si="22"/>
        <v>0</v>
      </c>
      <c r="AC25" s="14"/>
      <c r="AJ25" s="40" t="s">
        <v>740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697</v>
      </c>
      <c r="B26" t="s">
        <v>588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741</v>
      </c>
      <c r="AC26" s="14"/>
      <c r="AD26" s="168" t="s">
        <v>459</v>
      </c>
      <c r="AE26" t="s">
        <v>742</v>
      </c>
      <c r="AJ26" s="14" t="s">
        <v>682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700</v>
      </c>
      <c r="B27" t="s">
        <v>588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0</v>
      </c>
      <c r="L27" s="174">
        <f t="shared" si="24"/>
        <v>0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0</v>
      </c>
      <c r="T27" s="174">
        <f t="shared" si="24"/>
        <v>0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702</v>
      </c>
      <c r="B28" t="s">
        <v>588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0</v>
      </c>
      <c r="N28" s="174">
        <f t="shared" si="25"/>
        <v>0</v>
      </c>
      <c r="O28" s="174">
        <f t="shared" si="25"/>
        <v>0</v>
      </c>
      <c r="P28" s="174">
        <f t="shared" si="25"/>
        <v>0</v>
      </c>
      <c r="Q28" s="174">
        <f t="shared" si="25"/>
        <v>0</v>
      </c>
      <c r="R28" s="174">
        <f t="shared" si="25"/>
        <v>0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744</v>
      </c>
      <c r="AD28" s="170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704</v>
      </c>
      <c r="B29" t="s">
        <v>588</v>
      </c>
      <c r="C29" s="174">
        <f>C25*[1]Protect!$B$12</f>
        <v>0</v>
      </c>
      <c r="D29" s="174">
        <f>D25*[1]Protect!$B$12</f>
        <v>0</v>
      </c>
      <c r="E29" s="174">
        <f>E25*[1]Protect!$B$12</f>
        <v>0</v>
      </c>
      <c r="F29" s="174">
        <f>F25*[1]Protect!$B$12</f>
        <v>0</v>
      </c>
      <c r="G29" s="174">
        <f>G25*[1]Protect!$B$12</f>
        <v>0</v>
      </c>
      <c r="H29" s="174">
        <f>H25*[1]Protect!$B$12</f>
        <v>0</v>
      </c>
      <c r="I29" s="174">
        <f>I25*[1]Protect!$B$12</f>
        <v>0</v>
      </c>
      <c r="J29" s="174">
        <f>J25*[1]Protect!$B$12</f>
        <v>0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0</v>
      </c>
      <c r="V29" s="174">
        <f>V25*[1]Protect!$B$12</f>
        <v>0</v>
      </c>
      <c r="W29" s="174">
        <f>W25*[1]Protect!$B$12</f>
        <v>0</v>
      </c>
      <c r="X29" s="174">
        <f>X25*[1]Protect!$B$12</f>
        <v>0</v>
      </c>
      <c r="Y29" s="174">
        <f>Y25*[1]Protect!$B$12</f>
        <v>0</v>
      </c>
      <c r="Z29" s="174">
        <f>Z25*[1]Protect!$B$12</f>
        <v>0</v>
      </c>
      <c r="AC29" s="14" t="s">
        <v>745</v>
      </c>
      <c r="AD29" s="170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706</v>
      </c>
      <c r="B30" t="s">
        <v>588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746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707</v>
      </c>
      <c r="B31" t="s">
        <v>588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0</v>
      </c>
      <c r="L31" s="174">
        <f>L27*[1]Protect!$B$14</f>
        <v>0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0</v>
      </c>
      <c r="T31" s="174">
        <f>T27*[1]Protect!$B$14</f>
        <v>0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747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708</v>
      </c>
      <c r="B32" t="s">
        <v>588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0</v>
      </c>
      <c r="F32" s="174">
        <f t="shared" si="27"/>
        <v>0</v>
      </c>
      <c r="G32" s="174">
        <f t="shared" si="27"/>
        <v>0</v>
      </c>
      <c r="H32" s="174">
        <f t="shared" si="27"/>
        <v>0</v>
      </c>
      <c r="I32" s="174">
        <f t="shared" si="27"/>
        <v>0</v>
      </c>
      <c r="J32" s="174">
        <f t="shared" si="27"/>
        <v>0</v>
      </c>
      <c r="K32" s="174">
        <f t="shared" si="27"/>
        <v>0</v>
      </c>
      <c r="L32" s="174">
        <f t="shared" si="27"/>
        <v>0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0</v>
      </c>
      <c r="T32" s="174">
        <f t="shared" si="27"/>
        <v>0</v>
      </c>
      <c r="U32" s="174">
        <f t="shared" si="27"/>
        <v>0</v>
      </c>
      <c r="V32" s="174">
        <f t="shared" si="27"/>
        <v>0</v>
      </c>
      <c r="W32" s="174">
        <f t="shared" si="27"/>
        <v>0</v>
      </c>
      <c r="X32" s="174">
        <f t="shared" si="27"/>
        <v>0</v>
      </c>
      <c r="Y32" s="174">
        <f t="shared" si="27"/>
        <v>0</v>
      </c>
      <c r="Z32" s="174">
        <f t="shared" si="27"/>
        <v>0</v>
      </c>
      <c r="AC32" s="177" t="s">
        <v>748</v>
      </c>
    </row>
    <row r="33" spans="1:132" x14ac:dyDescent="0.25">
      <c r="A33" s="14" t="s">
        <v>710</v>
      </c>
      <c r="B33" t="s">
        <v>588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0</v>
      </c>
      <c r="N33" s="174">
        <f>N28*[1]Protect!$B$15</f>
        <v>0</v>
      </c>
      <c r="O33" s="174">
        <f>O28*[1]Protect!$B$15</f>
        <v>0</v>
      </c>
      <c r="P33" s="174">
        <f>P28*[1]Protect!$B$15</f>
        <v>0</v>
      </c>
      <c r="Q33" s="174">
        <f>Q28*[1]Protect!$B$15</f>
        <v>0</v>
      </c>
      <c r="R33" s="174">
        <f>R28*[1]Protect!$B$15</f>
        <v>0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749</v>
      </c>
      <c r="AE33" s="170">
        <f>IF(OR(Scénario!K12="OL/BV",Scénario!K12="OL/EQ",Scénario!K12="BV",Scénario!K12="OL/BV/EQ"),Protection!AP7,0)</f>
        <v>0</v>
      </c>
    </row>
    <row r="34" spans="1:132" x14ac:dyDescent="0.25">
      <c r="A34" s="14" t="s">
        <v>712</v>
      </c>
      <c r="B34" t="s">
        <v>588</v>
      </c>
      <c r="C34" s="174">
        <f>C33+C32</f>
        <v>0</v>
      </c>
      <c r="D34" s="174">
        <f t="shared" ref="D34:Z34" si="28">D33+D32</f>
        <v>0</v>
      </c>
      <c r="E34" s="174">
        <f t="shared" si="28"/>
        <v>0</v>
      </c>
      <c r="F34" s="174">
        <f t="shared" si="28"/>
        <v>0</v>
      </c>
      <c r="G34" s="174">
        <f t="shared" si="28"/>
        <v>0</v>
      </c>
      <c r="H34" s="174">
        <f t="shared" si="28"/>
        <v>0</v>
      </c>
      <c r="I34" s="174">
        <f t="shared" si="28"/>
        <v>0</v>
      </c>
      <c r="J34" s="174">
        <f t="shared" si="28"/>
        <v>0</v>
      </c>
      <c r="K34" s="174">
        <f t="shared" si="28"/>
        <v>0</v>
      </c>
      <c r="L34" s="174">
        <f t="shared" si="28"/>
        <v>0</v>
      </c>
      <c r="M34" s="174">
        <f t="shared" si="28"/>
        <v>0</v>
      </c>
      <c r="N34" s="174">
        <f t="shared" si="28"/>
        <v>0</v>
      </c>
      <c r="O34" s="174">
        <f t="shared" si="28"/>
        <v>0</v>
      </c>
      <c r="P34" s="174">
        <f t="shared" si="28"/>
        <v>0</v>
      </c>
      <c r="Q34" s="174">
        <f t="shared" si="28"/>
        <v>0</v>
      </c>
      <c r="R34" s="174">
        <f t="shared" si="28"/>
        <v>0</v>
      </c>
      <c r="S34" s="174">
        <f t="shared" si="28"/>
        <v>0</v>
      </c>
      <c r="T34" s="174">
        <f t="shared" si="28"/>
        <v>0</v>
      </c>
      <c r="U34" s="174">
        <f t="shared" si="28"/>
        <v>0</v>
      </c>
      <c r="V34" s="174">
        <f t="shared" si="28"/>
        <v>0</v>
      </c>
      <c r="W34" s="174">
        <f t="shared" si="28"/>
        <v>0</v>
      </c>
      <c r="X34" s="174">
        <f t="shared" si="28"/>
        <v>0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750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716</v>
      </c>
      <c r="B36" t="s">
        <v>588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0</v>
      </c>
      <c r="H36" s="170">
        <f t="shared" si="29"/>
        <v>0</v>
      </c>
      <c r="I36" s="170">
        <f t="shared" si="29"/>
        <v>0</v>
      </c>
      <c r="J36" s="170">
        <f t="shared" si="29"/>
        <v>0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0</v>
      </c>
      <c r="V36" s="170">
        <f t="shared" si="29"/>
        <v>0</v>
      </c>
      <c r="W36" s="170">
        <f t="shared" si="29"/>
        <v>0</v>
      </c>
      <c r="X36" s="170">
        <f t="shared" si="29"/>
        <v>0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717</v>
      </c>
      <c r="B37" t="s">
        <v>588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2</v>
      </c>
      <c r="F37" s="170">
        <f t="shared" si="30"/>
        <v>2</v>
      </c>
      <c r="G37" s="170">
        <f t="shared" si="30"/>
        <v>2</v>
      </c>
      <c r="H37" s="170">
        <f t="shared" si="30"/>
        <v>2</v>
      </c>
      <c r="I37" s="170">
        <f t="shared" si="30"/>
        <v>2</v>
      </c>
      <c r="J37" s="170">
        <f t="shared" si="30"/>
        <v>2</v>
      </c>
      <c r="K37" s="170">
        <f t="shared" si="30"/>
        <v>2</v>
      </c>
      <c r="L37" s="170">
        <f t="shared" si="30"/>
        <v>2</v>
      </c>
      <c r="M37" s="170">
        <f t="shared" si="30"/>
        <v>2</v>
      </c>
      <c r="N37" s="170">
        <f t="shared" si="30"/>
        <v>2</v>
      </c>
      <c r="O37" s="170">
        <f t="shared" si="30"/>
        <v>2</v>
      </c>
      <c r="P37" s="170">
        <f t="shared" si="30"/>
        <v>2</v>
      </c>
      <c r="Q37" s="170">
        <f t="shared" si="30"/>
        <v>2</v>
      </c>
      <c r="R37" s="170">
        <f t="shared" si="30"/>
        <v>2</v>
      </c>
      <c r="S37" s="170">
        <f t="shared" si="30"/>
        <v>2</v>
      </c>
      <c r="T37" s="170">
        <f t="shared" si="30"/>
        <v>2</v>
      </c>
      <c r="U37" s="170">
        <f t="shared" si="30"/>
        <v>2</v>
      </c>
      <c r="V37" s="170">
        <f t="shared" si="30"/>
        <v>2</v>
      </c>
      <c r="W37" s="170">
        <f t="shared" si="30"/>
        <v>2</v>
      </c>
      <c r="X37" s="170">
        <f t="shared" si="30"/>
        <v>2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718</v>
      </c>
      <c r="B38" t="s">
        <v>588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0</v>
      </c>
      <c r="F38" s="170">
        <f t="shared" si="31"/>
        <v>0</v>
      </c>
      <c r="G38" s="170">
        <f t="shared" si="31"/>
        <v>0</v>
      </c>
      <c r="H38" s="170">
        <f t="shared" si="31"/>
        <v>0</v>
      </c>
      <c r="I38" s="170">
        <f t="shared" si="31"/>
        <v>0</v>
      </c>
      <c r="J38" s="170">
        <f t="shared" si="31"/>
        <v>0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723</v>
      </c>
      <c r="B39" t="s">
        <v>588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1</v>
      </c>
      <c r="K39" s="62">
        <f t="shared" si="32"/>
        <v>1</v>
      </c>
      <c r="L39" s="62">
        <f t="shared" si="32"/>
        <v>1</v>
      </c>
      <c r="M39" s="62">
        <f t="shared" si="32"/>
        <v>1</v>
      </c>
      <c r="N39" s="62">
        <f t="shared" si="32"/>
        <v>1</v>
      </c>
      <c r="O39" s="62">
        <f t="shared" si="32"/>
        <v>1</v>
      </c>
      <c r="P39" s="62">
        <f t="shared" si="32"/>
        <v>1</v>
      </c>
      <c r="Q39" s="62">
        <f t="shared" si="32"/>
        <v>1</v>
      </c>
      <c r="R39" s="62">
        <f t="shared" si="32"/>
        <v>1</v>
      </c>
      <c r="S39" s="62">
        <f t="shared" si="32"/>
        <v>1</v>
      </c>
      <c r="T39" s="62">
        <f t="shared" si="32"/>
        <v>1</v>
      </c>
      <c r="U39" s="62">
        <f t="shared" si="32"/>
        <v>1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728</v>
      </c>
      <c r="B40" t="s">
        <v>588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731</v>
      </c>
      <c r="B41" t="s">
        <v>588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0</v>
      </c>
      <c r="N41" s="170">
        <f t="shared" si="34"/>
        <v>0</v>
      </c>
      <c r="O41" s="170">
        <f t="shared" si="34"/>
        <v>0</v>
      </c>
      <c r="P41" s="170">
        <f t="shared" si="34"/>
        <v>0</v>
      </c>
      <c r="Q41" s="170">
        <f t="shared" si="34"/>
        <v>0</v>
      </c>
      <c r="R41" s="170">
        <f t="shared" si="34"/>
        <v>0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734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737</v>
      </c>
      <c r="B43" t="s">
        <v>588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1</v>
      </c>
      <c r="K43" s="62">
        <f t="shared" si="35"/>
        <v>1</v>
      </c>
      <c r="L43" s="62">
        <f t="shared" si="35"/>
        <v>1</v>
      </c>
      <c r="M43" s="62">
        <f t="shared" si="35"/>
        <v>1</v>
      </c>
      <c r="N43" s="62">
        <f t="shared" si="35"/>
        <v>1</v>
      </c>
      <c r="O43" s="62">
        <f t="shared" si="35"/>
        <v>1</v>
      </c>
      <c r="P43" s="62">
        <f t="shared" si="35"/>
        <v>1</v>
      </c>
      <c r="Q43" s="62">
        <f t="shared" si="35"/>
        <v>1</v>
      </c>
      <c r="R43" s="62">
        <f t="shared" si="35"/>
        <v>1</v>
      </c>
      <c r="S43" s="62">
        <f t="shared" si="35"/>
        <v>1</v>
      </c>
      <c r="T43" s="62">
        <f t="shared" si="35"/>
        <v>1</v>
      </c>
      <c r="U43" s="62">
        <f t="shared" si="35"/>
        <v>1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751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739</v>
      </c>
      <c r="B46" t="s">
        <v>595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697</v>
      </c>
      <c r="B47" t="s">
        <v>595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700</v>
      </c>
      <c r="B48" t="s">
        <v>595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0</v>
      </c>
      <c r="AW48" s="179">
        <f>IF(CdTrp1!C76=1,1,IF(CdTrp1!C76=2,2,IF(CdTrp1!C76=3,2,0)))</f>
        <v>0</v>
      </c>
      <c r="AX48" s="179">
        <f>IF(CdTrp1!D76=1,1,IF(CdTrp1!D76=2,2,IF(CdTrp1!D76=3,2,0)))</f>
        <v>0</v>
      </c>
      <c r="AY48" s="179">
        <f>IF(CdTrp1!E76=1,1,IF(CdTrp1!E76=2,2,IF(CdTrp1!E76=3,2,0)))</f>
        <v>0</v>
      </c>
      <c r="AZ48" s="179">
        <f>IF(CdTrp1!F76=1,1,IF(CdTrp1!F76=2,2,IF(CdTrp1!F76=3,2,0)))</f>
        <v>0</v>
      </c>
      <c r="BA48" s="179">
        <f>IF(CdTrp1!G76=1,1,IF(CdTrp1!G76=2,2,IF(CdTrp1!G76=3,2,0)))</f>
        <v>0</v>
      </c>
      <c r="BB48" s="179">
        <f>IF(CdTrp1!H76=1,1,IF(CdTrp1!H76=2,2,IF(CdTrp1!H76=3,2,0)))</f>
        <v>0</v>
      </c>
      <c r="BC48" s="179">
        <f>IF(CdTrp1!I76=1,1,IF(CdTrp1!I76=2,2,IF(CdTrp1!I76=3,2,0)))</f>
        <v>0</v>
      </c>
      <c r="BD48" s="179">
        <f>IF(CdTrp1!J76=1,1,IF(CdTrp1!J76=2,2,IF(CdTrp1!J76=3,2,0)))</f>
        <v>0</v>
      </c>
      <c r="BE48" s="179">
        <f>IF(CdTrp1!K76=1,1,IF(CdTrp1!K76=2,2,IF(CdTrp1!K76=3,2,0)))</f>
        <v>0</v>
      </c>
      <c r="BF48" s="179">
        <f>IF(CdTrp1!L76=1,1,IF(CdTrp1!L76=2,2,IF(CdTrp1!L76=3,2,0)))</f>
        <v>0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0</v>
      </c>
      <c r="BN48" s="179">
        <f>IF(CdTrp1!T76=1,1,IF(CdTrp1!T76=2,2,IF(CdTrp1!T76=3,2,0)))</f>
        <v>0</v>
      </c>
      <c r="BO48" s="179">
        <f>IF(CdTrp1!U76=1,1,IF(CdTrp1!U76=2,2,IF(CdTrp1!U76=3,2,0)))</f>
        <v>0</v>
      </c>
      <c r="BP48" s="179">
        <f>IF(CdTrp1!V76=1,1,IF(CdTrp1!V76=2,2,IF(CdTrp1!V76=3,2,0)))</f>
        <v>0</v>
      </c>
      <c r="BQ48" s="179">
        <f>IF(CdTrp1!W76=1,1,IF(CdTrp1!W76=2,2,IF(CdTrp1!W76=3,2,0)))</f>
        <v>0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702</v>
      </c>
      <c r="B49" t="s">
        <v>595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0</v>
      </c>
      <c r="AW49" s="179">
        <f>IF(CdTrp1!C77=1,1,IF(CdTrp1!C77=2,2,IF(CdTrp1!C77=3,2,0)))</f>
        <v>0</v>
      </c>
      <c r="AX49" s="179">
        <f>IF(CdTrp1!D77=1,1,IF(CdTrp1!D77=2,2,IF(CdTrp1!D77=3,2,0)))</f>
        <v>0</v>
      </c>
      <c r="AY49" s="179">
        <f>IF(CdTrp1!E77=1,1,IF(CdTrp1!E77=2,2,IF(CdTrp1!E77=3,2,0)))</f>
        <v>0</v>
      </c>
      <c r="AZ49" s="179">
        <f>IF(CdTrp1!F77=1,1,IF(CdTrp1!F77=2,2,IF(CdTrp1!F77=3,2,0)))</f>
        <v>0</v>
      </c>
      <c r="BA49" s="179">
        <f>IF(CdTrp1!G77=1,1,IF(CdTrp1!G77=2,2,IF(CdTrp1!G77=3,2,0)))</f>
        <v>0</v>
      </c>
      <c r="BB49" s="179">
        <f>IF(CdTrp1!H77=1,1,IF(CdTrp1!H77=2,2,IF(CdTrp1!H77=3,2,0)))</f>
        <v>0</v>
      </c>
      <c r="BC49" s="179">
        <f>IF(CdTrp1!I77=1,1,IF(CdTrp1!I77=2,2,IF(CdTrp1!I77=3,2,0)))</f>
        <v>0</v>
      </c>
      <c r="BD49" s="179">
        <f>IF(CdTrp1!J77=1,1,IF(CdTrp1!J77=2,2,IF(CdTrp1!J77=3,2,0)))</f>
        <v>0</v>
      </c>
      <c r="BE49" s="179">
        <f>IF(CdTrp1!K77=1,1,IF(CdTrp1!K77=2,2,IF(CdTrp1!K77=3,2,0)))</f>
        <v>0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0</v>
      </c>
      <c r="BR49" s="179">
        <f>IF(CdTrp1!X77=1,1,IF(CdTrp1!X77=2,2,IF(CdTrp1!X77=3,2,0)))</f>
        <v>0</v>
      </c>
      <c r="BS49" s="17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704</v>
      </c>
      <c r="B50" t="s">
        <v>595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0</v>
      </c>
      <c r="AW50" s="179">
        <f>IF(CdTrp1!C78=1,1,IF(CdTrp1!C78=2,2,IF(CdTrp1!C78=3,2,0)))</f>
        <v>0</v>
      </c>
      <c r="AX50" s="179">
        <f>IF(CdTrp1!D78=1,1,IF(CdTrp1!D78=2,2,IF(CdTrp1!D78=3,2,0)))</f>
        <v>0</v>
      </c>
      <c r="AY50" s="179">
        <f>IF(CdTrp1!E78=1,1,IF(CdTrp1!E78=2,2,IF(CdTrp1!E78=3,2,0)))</f>
        <v>0</v>
      </c>
      <c r="AZ50" s="179">
        <f>IF(CdTrp1!F78=1,1,IF(CdTrp1!F78=2,2,IF(CdTrp1!F78=3,2,0)))</f>
        <v>0</v>
      </c>
      <c r="BA50" s="179">
        <f>IF(CdTrp1!G78=1,1,IF(CdTrp1!G78=2,2,IF(CdTrp1!G78=3,2,0)))</f>
        <v>0</v>
      </c>
      <c r="BB50" s="179">
        <f>IF(CdTrp1!H78=1,1,IF(CdTrp1!H78=2,2,IF(CdTrp1!H78=3,2,0)))</f>
        <v>0</v>
      </c>
      <c r="BC50" s="179">
        <f>IF(CdTrp1!I78=1,1,IF(CdTrp1!I78=2,2,IF(CdTrp1!I78=3,2,0)))</f>
        <v>0</v>
      </c>
      <c r="BD50" s="179">
        <f>IF(CdTrp1!J78=1,1,IF(CdTrp1!J78=2,2,IF(CdTrp1!J78=3,2,0)))</f>
        <v>0</v>
      </c>
      <c r="BE50" s="179">
        <f>IF(CdTrp1!K78=1,1,IF(CdTrp1!K78=2,2,IF(CdTrp1!K78=3,2,0)))</f>
        <v>0</v>
      </c>
      <c r="BF50" s="179">
        <f>IF(CdTrp1!L78=1,1,IF(CdTrp1!L78=2,2,IF(CdTrp1!L78=3,2,0)))</f>
        <v>0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0</v>
      </c>
      <c r="BR50" s="179">
        <f>IF(CdTrp1!X78=1,1,IF(CdTrp1!X78=2,2,IF(CdTrp1!X78=3,2,0)))</f>
        <v>0</v>
      </c>
      <c r="BS50" s="179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706</v>
      </c>
      <c r="B51" t="s">
        <v>595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0</v>
      </c>
      <c r="BE51" s="179">
        <f>IF(CdTrp1!K79=1,1,IF(CdTrp1!K79=2,2,IF(CdTrp1!K79=3,2,0)))</f>
        <v>0</v>
      </c>
      <c r="BF51" s="179">
        <f>IF(CdTrp1!L79=1,1,IF(CdTrp1!L79=2,2,IF(CdTrp1!L79=3,2,0)))</f>
        <v>0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0</v>
      </c>
      <c r="BN51" s="179">
        <f>IF(CdTrp1!T79=1,1,IF(CdTrp1!T79=2,2,IF(CdTrp1!T79=3,2,0)))</f>
        <v>0</v>
      </c>
      <c r="BO51" s="179">
        <f>IF(CdTrp1!U79=1,1,IF(CdTrp1!U79=2,2,IF(CdTrp1!U79=3,2,0)))</f>
        <v>0</v>
      </c>
      <c r="BP51" s="179">
        <f>IF(CdTrp1!V79=1,1,IF(CdTrp1!V79=2,2,IF(CdTrp1!V79=3,2,0)))</f>
        <v>0</v>
      </c>
      <c r="BQ51" s="179">
        <f>IF(CdTrp1!W79=1,1,IF(CdTrp1!W79=2,2,IF(CdTrp1!W79=3,2,0)))</f>
        <v>0</v>
      </c>
      <c r="BR51" s="179">
        <f>IF(CdTrp1!X79=1,1,IF(CdTrp1!X79=2,2,IF(CdTrp1!X79=3,2,0)))</f>
        <v>0</v>
      </c>
      <c r="BS51" s="179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707</v>
      </c>
      <c r="B52" t="s">
        <v>595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0</v>
      </c>
      <c r="BA52" s="179">
        <f>IF(CdTrp1!G80=1,1,IF(CdTrp1!G80=2,2,IF(CdTrp1!G80=3,2,0)))</f>
        <v>0</v>
      </c>
      <c r="BB52" s="179">
        <f>IF(CdTrp1!H80=1,1,IF(CdTrp1!H80=2,2,IF(CdTrp1!H80=3,2,0)))</f>
        <v>0</v>
      </c>
      <c r="BC52" s="179">
        <f>IF(CdTrp1!I80=1,1,IF(CdTrp1!I80=2,2,IF(CdTrp1!I80=3,2,0)))</f>
        <v>0</v>
      </c>
      <c r="BD52" s="179">
        <f>IF(CdTrp1!J80=1,1,IF(CdTrp1!J80=2,2,IF(CdTrp1!J80=3,2,0)))</f>
        <v>0</v>
      </c>
      <c r="BE52" s="179">
        <f>IF(CdTrp1!K80=1,1,IF(CdTrp1!K80=2,2,IF(CdTrp1!K80=3,2,0)))</f>
        <v>0</v>
      </c>
      <c r="BF52" s="179">
        <f>IF(CdTrp1!L80=1,1,IF(CdTrp1!L80=2,2,IF(CdTrp1!L80=3,2,0)))</f>
        <v>0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708</v>
      </c>
      <c r="B53" t="s">
        <v>595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710</v>
      </c>
      <c r="B54" t="s">
        <v>595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712</v>
      </c>
      <c r="B55" t="s">
        <v>595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716</v>
      </c>
      <c r="B57" t="s">
        <v>595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717</v>
      </c>
      <c r="B58" t="s">
        <v>595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718</v>
      </c>
      <c r="B59" t="s">
        <v>595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723</v>
      </c>
      <c r="B60" t="s">
        <v>595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728</v>
      </c>
      <c r="B61" t="s">
        <v>595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731</v>
      </c>
      <c r="B62" t="s">
        <v>595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734</v>
      </c>
      <c r="B63" t="s">
        <v>595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737</v>
      </c>
      <c r="B64" t="s">
        <v>595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753</v>
      </c>
      <c r="AV67" s="169"/>
      <c r="AW67" s="169"/>
    </row>
    <row r="68" spans="1:49" x14ac:dyDescent="0.25">
      <c r="A68" s="40" t="s">
        <v>754</v>
      </c>
      <c r="B68" s="30" t="str">
        <f>CdTrp1!A52</f>
        <v>Brebis laitières lot princ</v>
      </c>
      <c r="C68" s="170">
        <f>IF($AA68=0,99,IF(C81&gt;3,CdTrp1!B76,CdTrp1!B52))</f>
        <v>1</v>
      </c>
      <c r="D68" s="170">
        <f>IF($AA68=0,99,IF(D81&gt;3,CdTrp1!C76,CdTrp1!C52))</f>
        <v>1</v>
      </c>
      <c r="E68" s="170">
        <f>IF($AA68=0,99,IF(E81&gt;3,CdTrp1!D76,CdTrp1!D52))</f>
        <v>1</v>
      </c>
      <c r="F68" s="170">
        <f>IF($AA68=0,99,IF(F81&gt;3,CdTrp1!E76,CdTrp1!E52))</f>
        <v>1</v>
      </c>
      <c r="G68" s="170">
        <f>IF($AA68=0,99,IF(G81&gt;3,CdTrp1!F76,CdTrp1!F52))</f>
        <v>1</v>
      </c>
      <c r="H68" s="170">
        <f>IF($AA68=0,99,IF(H81&gt;3,CdTrp1!G76,CdTrp1!G52))</f>
        <v>1</v>
      </c>
      <c r="I68" s="170">
        <f>IF($AA68=0,99,IF(I81&gt;3,CdTrp1!H76,CdTrp1!H52))</f>
        <v>1</v>
      </c>
      <c r="J68" s="170">
        <f>IF($AA68=0,99,IF(J81&gt;3,CdTrp1!I76,CdTrp1!I52))</f>
        <v>1</v>
      </c>
      <c r="K68" s="170">
        <f>IF($AA68=0,99,IF(K81&gt;3,CdTrp1!J76,CdTrp1!J52))</f>
        <v>1</v>
      </c>
      <c r="L68" s="170">
        <f>IF($AA68=0,99,IF(L81&gt;3,CdTrp1!K76,CdTrp1!K52))</f>
        <v>1</v>
      </c>
      <c r="M68" s="170">
        <f>IF($AA68=0,99,IF(M81&gt;3,CdTrp1!L76,CdTrp1!L52))</f>
        <v>1</v>
      </c>
      <c r="N68" s="170">
        <f>IF($AA68=0,99,IF(N81&gt;3,CdTrp1!M76,CdTrp1!M52))</f>
        <v>1</v>
      </c>
      <c r="O68" s="170">
        <f>IF($AA68=0,99,IF(O81&gt;3,CdTrp1!N76,CdTrp1!N52))</f>
        <v>1</v>
      </c>
      <c r="P68" s="170">
        <f>IF($AA68=0,99,IF(P81&gt;3,CdTrp1!O76,CdTrp1!O52))</f>
        <v>1</v>
      </c>
      <c r="Q68" s="170">
        <f>IF($AA68=0,99,IF(Q81&gt;3,CdTrp1!P76,CdTrp1!P52))</f>
        <v>1</v>
      </c>
      <c r="R68" s="170">
        <f>IF($AA68=0,99,IF(R81&gt;3,CdTrp1!Q76,CdTrp1!Q52))</f>
        <v>1</v>
      </c>
      <c r="S68" s="170">
        <f>IF($AA68=0,99,IF(S81&gt;3,CdTrp1!R76,CdTrp1!R52))</f>
        <v>1</v>
      </c>
      <c r="T68" s="170">
        <f>IF($AA68=0,99,IF(T81&gt;3,CdTrp1!S76,CdTrp1!S52))</f>
        <v>1</v>
      </c>
      <c r="U68" s="170">
        <f>IF($AA68=0,99,IF(U81&gt;3,CdTrp1!T76,CdTrp1!T52))</f>
        <v>1</v>
      </c>
      <c r="V68" s="170">
        <f>IF($AA68=0,99,IF(V81&gt;3,CdTrp1!U76,CdTrp1!U52))</f>
        <v>1</v>
      </c>
      <c r="W68" s="170">
        <f>IF($AA68=0,99,IF(W81&gt;3,CdTrp1!V76,CdTrp1!V52))</f>
        <v>1</v>
      </c>
      <c r="X68" s="170">
        <f>IF($AA68=0,99,IF(X81&gt;3,CdTrp1!W76,CdTrp1!W52))</f>
        <v>1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Brebis laitières tardives</v>
      </c>
      <c r="C69" s="170">
        <f>IF($AA69=0,99,IF(C82&gt;3,CdTrp1!B77,CdTrp1!B53))</f>
        <v>1</v>
      </c>
      <c r="D69" s="170">
        <f>IF($AA69=0,99,IF(D82&gt;3,CdTrp1!C77,CdTrp1!C53))</f>
        <v>1</v>
      </c>
      <c r="E69" s="170">
        <f>IF($AA69=0,99,IF(E82&gt;3,CdTrp1!D77,CdTrp1!D53))</f>
        <v>1</v>
      </c>
      <c r="F69" s="170">
        <f>IF($AA69=0,99,IF(F82&gt;3,CdTrp1!E77,CdTrp1!E53))</f>
        <v>1</v>
      </c>
      <c r="G69" s="170">
        <f>IF($AA69=0,99,IF(G82&gt;3,CdTrp1!F77,CdTrp1!F53))</f>
        <v>1</v>
      </c>
      <c r="H69" s="170">
        <f>IF($AA69=0,99,IF(H82&gt;3,CdTrp1!G77,CdTrp1!G53))</f>
        <v>1</v>
      </c>
      <c r="I69" s="170">
        <f>IF($AA69=0,99,IF(I82&gt;3,CdTrp1!H77,CdTrp1!H53))</f>
        <v>1</v>
      </c>
      <c r="J69" s="170">
        <f>IF($AA69=0,99,IF(J82&gt;3,CdTrp1!I77,CdTrp1!I53))</f>
        <v>1</v>
      </c>
      <c r="K69" s="170">
        <f>IF($AA69=0,99,IF(K82&gt;3,CdTrp1!J77,CdTrp1!J53))</f>
        <v>1</v>
      </c>
      <c r="L69" s="170">
        <f>IF($AA69=0,99,IF(L82&gt;3,CdTrp1!K77,CdTrp1!K53))</f>
        <v>99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99</v>
      </c>
      <c r="Y69" s="170">
        <f>IF($AA69=0,99,IF(Y82&gt;3,CdTrp1!X77,CdTrp1!X53))</f>
        <v>1</v>
      </c>
      <c r="Z69" s="170">
        <f>IF($AA69=0,99,IF(Z82&gt;3,CdTrp1!Y77,CdTrp1!Y53))</f>
        <v>1</v>
      </c>
      <c r="AA69" s="179">
        <f>SUM(CdTrp1!B16:Y16)/24</f>
        <v>21.27551020408163</v>
      </c>
      <c r="AD69" s="15"/>
      <c r="AU69" s="181"/>
    </row>
    <row r="70" spans="1:49" x14ac:dyDescent="0.25">
      <c r="B70" s="258" t="str">
        <f>CdTrp1!A54</f>
        <v>Brebis vides</v>
      </c>
      <c r="C70" s="170">
        <f>IF($AA70=0,99,IF(C83&gt;3,CdTrp1!B78,CdTrp1!B54))</f>
        <v>1</v>
      </c>
      <c r="D70" s="170">
        <f>IF($AA70=0,99,IF(D83&gt;3,CdTrp1!C78,CdTrp1!C54))</f>
        <v>1</v>
      </c>
      <c r="E70" s="170">
        <f>IF($AA70=0,99,IF(E83&gt;3,CdTrp1!D78,CdTrp1!D54))</f>
        <v>1</v>
      </c>
      <c r="F70" s="170">
        <f>IF($AA70=0,99,IF(F83&gt;3,CdTrp1!E78,CdTrp1!E54))</f>
        <v>1</v>
      </c>
      <c r="G70" s="170">
        <f>IF($AA70=0,99,IF(G83&gt;3,CdTrp1!F78,CdTrp1!F54))</f>
        <v>1</v>
      </c>
      <c r="H70" s="170">
        <f>IF($AA70=0,99,IF(H83&gt;3,CdTrp1!G78,CdTrp1!G54))</f>
        <v>1</v>
      </c>
      <c r="I70" s="170">
        <f>IF($AA70=0,99,IF(I83&gt;3,CdTrp1!H78,CdTrp1!H54))</f>
        <v>1</v>
      </c>
      <c r="J70" s="170">
        <f>IF($AA70=0,99,IF(J83&gt;3,CdTrp1!I78,CdTrp1!I54))</f>
        <v>1</v>
      </c>
      <c r="K70" s="170">
        <f>IF($AA70=0,99,IF(K83&gt;3,CdTrp1!J78,CdTrp1!J54))</f>
        <v>1</v>
      </c>
      <c r="L70" s="170">
        <f>IF($AA70=0,99,IF(L83&gt;3,CdTrp1!K78,CdTrp1!K54))</f>
        <v>1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1</v>
      </c>
      <c r="Y70" s="170">
        <f>IF($AA70=0,99,IF(Y83&gt;3,CdTrp1!X78,CdTrp1!X54))</f>
        <v>1</v>
      </c>
      <c r="Z70" s="170">
        <f>IF($AA70=0,99,IF(Z83&gt;3,CdTrp1!Y78,CdTrp1!Y54))</f>
        <v>1</v>
      </c>
      <c r="AA70" s="179">
        <f>SUM(CdTrp1!B17:Y17)/24</f>
        <v>7.6828231292517017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1</v>
      </c>
      <c r="L71" s="170">
        <f>IF($AA71=0,99,IF(L84&gt;3,CdTrp1!K79,CdTrp1!K55))</f>
        <v>1</v>
      </c>
      <c r="M71" s="170">
        <f>IF($AA71=0,99,IF(M84&gt;3,CdTrp1!L79,CdTrp1!L55))</f>
        <v>1</v>
      </c>
      <c r="N71" s="170">
        <f>IF($AA71=0,99,IF(N84&gt;3,CdTrp1!M79,CdTrp1!M55))</f>
        <v>1</v>
      </c>
      <c r="O71" s="170">
        <f>IF($AA71=0,99,IF(O84&gt;3,CdTrp1!N79,CdTrp1!N55))</f>
        <v>1</v>
      </c>
      <c r="P71" s="170">
        <f>IF($AA71=0,99,IF(P84&gt;3,CdTrp1!O79,CdTrp1!O55))</f>
        <v>1</v>
      </c>
      <c r="Q71" s="170">
        <f>IF($AA71=0,99,IF(Q84&gt;3,CdTrp1!P79,CdTrp1!P55))</f>
        <v>1</v>
      </c>
      <c r="R71" s="170">
        <f>IF($AA71=0,99,IF(R84&gt;3,CdTrp1!Q79,CdTrp1!Q55))</f>
        <v>1</v>
      </c>
      <c r="S71" s="170">
        <f>IF($AA71=0,99,IF(S84&gt;3,CdTrp1!R79,CdTrp1!R55))</f>
        <v>1</v>
      </c>
      <c r="T71" s="170">
        <f>IF($AA71=0,99,IF(T84&gt;3,CdTrp1!S79,CdTrp1!S55))</f>
        <v>1</v>
      </c>
      <c r="U71" s="170">
        <f>IF($AA71=0,99,IF(U84&gt;3,CdTrp1!T79,CdTrp1!T55))</f>
        <v>1</v>
      </c>
      <c r="V71" s="170">
        <f>IF($AA71=0,99,IF(V84&gt;3,CdTrp1!U79,CdTrp1!U55))</f>
        <v>1</v>
      </c>
      <c r="W71" s="170">
        <f>IF($AA71=0,99,IF(W84&gt;3,CdTrp1!V79,CdTrp1!V55))</f>
        <v>1</v>
      </c>
      <c r="X71" s="170">
        <f>IF($AA71=0,99,IF(X84&gt;3,CdTrp1!W79,CdTrp1!W55))</f>
        <v>1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1</v>
      </c>
      <c r="H72" s="170">
        <f>IF($AA72=0,99,IF(H85&gt;3,CdTrp1!G80,CdTrp1!G56))</f>
        <v>1</v>
      </c>
      <c r="I72" s="170">
        <f>IF($AA72=0,99,IF(I85&gt;3,CdTrp1!H80,CdTrp1!H56))</f>
        <v>1</v>
      </c>
      <c r="J72" s="170">
        <f>IF($AA72=0,99,IF(J85&gt;3,CdTrp1!I80,CdTrp1!I56))</f>
        <v>1</v>
      </c>
      <c r="K72" s="170">
        <f>IF($AA72=0,99,IF(K85&gt;3,CdTrp1!J80,CdTrp1!J56))</f>
        <v>1</v>
      </c>
      <c r="L72" s="170">
        <f>IF($AA72=0,99,IF(L85&gt;3,CdTrp1!K80,CdTrp1!K56))</f>
        <v>1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755</v>
      </c>
      <c r="B81" s="30" t="str">
        <f>CdTrp1!A76</f>
        <v>Brebis laitières lot princ</v>
      </c>
      <c r="C81" s="170">
        <f>CdTrp1!B76</f>
        <v>0</v>
      </c>
      <c r="D81" s="170">
        <f>CdTrp1!C76</f>
        <v>0</v>
      </c>
      <c r="E81" s="170">
        <f>CdTrp1!D76</f>
        <v>0</v>
      </c>
      <c r="F81" s="170">
        <f>CdTrp1!E76</f>
        <v>0</v>
      </c>
      <c r="G81" s="170">
        <f>CdTrp1!F76</f>
        <v>0</v>
      </c>
      <c r="H81" s="170">
        <f>CdTrp1!G76</f>
        <v>0</v>
      </c>
      <c r="I81" s="170">
        <f>CdTrp1!H76</f>
        <v>0</v>
      </c>
      <c r="J81" s="170">
        <f>CdTrp1!I76</f>
        <v>0</v>
      </c>
      <c r="K81" s="170">
        <f>CdTrp1!J76</f>
        <v>0</v>
      </c>
      <c r="L81" s="170">
        <f>CdTrp1!K76</f>
        <v>0</v>
      </c>
      <c r="M81" s="170">
        <f>CdTrp1!L76</f>
        <v>0</v>
      </c>
      <c r="N81" s="170">
        <f>CdTrp1!M76</f>
        <v>0</v>
      </c>
      <c r="O81" s="170">
        <f>CdTrp1!N76</f>
        <v>0</v>
      </c>
      <c r="P81" s="170">
        <f>CdTrp1!O76</f>
        <v>0</v>
      </c>
      <c r="Q81" s="170">
        <f>CdTrp1!P76</f>
        <v>0</v>
      </c>
      <c r="R81" s="170">
        <f>CdTrp1!Q76</f>
        <v>0</v>
      </c>
      <c r="S81" s="170">
        <f>CdTrp1!R76</f>
        <v>0</v>
      </c>
      <c r="T81" s="170">
        <f>CdTrp1!S76</f>
        <v>0</v>
      </c>
      <c r="U81" s="170">
        <f>CdTrp1!T76</f>
        <v>0</v>
      </c>
      <c r="V81" s="170">
        <f>CdTrp1!U76</f>
        <v>0</v>
      </c>
      <c r="W81" s="170">
        <f>CdTrp1!V76</f>
        <v>0</v>
      </c>
      <c r="X81" s="170">
        <f>CdTrp1!W76</f>
        <v>0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Brebis laitières tardives</v>
      </c>
      <c r="C82" s="170">
        <f>CdTrp1!B77</f>
        <v>0</v>
      </c>
      <c r="D82" s="170">
        <f>CdTrp1!C77</f>
        <v>0</v>
      </c>
      <c r="E82" s="170">
        <f>CdTrp1!D77</f>
        <v>0</v>
      </c>
      <c r="F82" s="170">
        <f>CdTrp1!E77</f>
        <v>0</v>
      </c>
      <c r="G82" s="170">
        <f>CdTrp1!F77</f>
        <v>0</v>
      </c>
      <c r="H82" s="170">
        <f>CdTrp1!G77</f>
        <v>0</v>
      </c>
      <c r="I82" s="170">
        <f>CdTrp1!H77</f>
        <v>0</v>
      </c>
      <c r="J82" s="170">
        <f>CdTrp1!I77</f>
        <v>0</v>
      </c>
      <c r="K82" s="170">
        <f>CdTrp1!J77</f>
        <v>0</v>
      </c>
      <c r="L82" s="170">
        <f>CdTrp1!K77</f>
        <v>0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0</v>
      </c>
      <c r="Y82" s="170">
        <f>CdTrp1!X77</f>
        <v>0</v>
      </c>
      <c r="Z82" s="170">
        <f>CdTrp1!Y77</f>
        <v>0</v>
      </c>
      <c r="AC82">
        <v>4</v>
      </c>
    </row>
    <row r="83" spans="1:29" x14ac:dyDescent="0.25">
      <c r="B83" s="258" t="str">
        <f>CdTrp1!A78</f>
        <v>Brebis vides</v>
      </c>
      <c r="C83" s="170">
        <f>CdTrp1!B78</f>
        <v>0</v>
      </c>
      <c r="D83" s="170">
        <f>CdTrp1!C78</f>
        <v>0</v>
      </c>
      <c r="E83" s="170">
        <f>CdTrp1!D78</f>
        <v>0</v>
      </c>
      <c r="F83" s="170">
        <f>CdTrp1!E78</f>
        <v>0</v>
      </c>
      <c r="G83" s="170">
        <f>CdTrp1!F78</f>
        <v>0</v>
      </c>
      <c r="H83" s="170">
        <f>CdTrp1!G78</f>
        <v>0</v>
      </c>
      <c r="I83" s="170">
        <f>CdTrp1!H78</f>
        <v>0</v>
      </c>
      <c r="J83" s="170">
        <f>CdTrp1!I78</f>
        <v>0</v>
      </c>
      <c r="K83" s="170">
        <f>CdTrp1!J78</f>
        <v>0</v>
      </c>
      <c r="L83" s="170">
        <f>CdTrp1!K78</f>
        <v>0</v>
      </c>
      <c r="M83" s="170">
        <f>CdTrp1!L78</f>
        <v>0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0</v>
      </c>
      <c r="Y83" s="170">
        <f>CdTrp1!X78</f>
        <v>0</v>
      </c>
      <c r="Z83" s="170">
        <f>CdTrp1!Y78</f>
        <v>0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0</v>
      </c>
      <c r="L84" s="170">
        <f>CdTrp1!K79</f>
        <v>0</v>
      </c>
      <c r="M84" s="170">
        <f>CdTrp1!L79</f>
        <v>0</v>
      </c>
      <c r="N84" s="170">
        <f>CdTrp1!M79</f>
        <v>0</v>
      </c>
      <c r="O84" s="170">
        <f>CdTrp1!N79</f>
        <v>0</v>
      </c>
      <c r="P84" s="170">
        <f>CdTrp1!O79</f>
        <v>0</v>
      </c>
      <c r="Q84" s="170">
        <f>CdTrp1!P79</f>
        <v>0</v>
      </c>
      <c r="R84" s="170">
        <f>CdTrp1!Q79</f>
        <v>0</v>
      </c>
      <c r="S84" s="170">
        <f>CdTrp1!R79</f>
        <v>0</v>
      </c>
      <c r="T84" s="170">
        <f>CdTrp1!S79</f>
        <v>0</v>
      </c>
      <c r="U84" s="170">
        <f>CdTrp1!T79</f>
        <v>0</v>
      </c>
      <c r="V84" s="170">
        <f>CdTrp1!U79</f>
        <v>0</v>
      </c>
      <c r="W84" s="170">
        <f>CdTrp1!V79</f>
        <v>0</v>
      </c>
      <c r="X84" s="170">
        <f>CdTrp1!W79</f>
        <v>0</v>
      </c>
      <c r="Y84" s="170">
        <f>CdTrp1!X79</f>
        <v>0</v>
      </c>
      <c r="Z84" s="170">
        <f>CdTrp1!Y79</f>
        <v>0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0</v>
      </c>
      <c r="H85" s="170">
        <f>CdTrp1!G80</f>
        <v>0</v>
      </c>
      <c r="I85" s="170">
        <f>CdTrp1!H80</f>
        <v>0</v>
      </c>
      <c r="J85" s="170">
        <f>CdTrp1!I80</f>
        <v>0</v>
      </c>
      <c r="K85" s="170">
        <f>CdTrp1!J80</f>
        <v>0</v>
      </c>
      <c r="L85" s="170">
        <f>CdTrp1!K80</f>
        <v>0</v>
      </c>
      <c r="M85" s="170">
        <f>CdTrp1!L80</f>
        <v>0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753</v>
      </c>
    </row>
    <row r="110" spans="1:27" x14ac:dyDescent="0.25">
      <c r="A110" s="40" t="s">
        <v>756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1</v>
      </c>
      <c r="G110" s="170">
        <f>IF($AA110=0,99,IF(G123&gt;3,CdTrp2!F76,CdTrp2!F52))</f>
        <v>1</v>
      </c>
      <c r="H110" s="170">
        <f>IF($AA110=0,99,IF(H123&gt;3,CdTrp2!G76,CdTrp2!G52))</f>
        <v>1</v>
      </c>
      <c r="I110" s="170">
        <f>IF($AA110=0,99,IF(I123&gt;3,CdTrp2!H76,CdTrp2!H52))</f>
        <v>1</v>
      </c>
      <c r="J110" s="170">
        <f>IF($AA110=0,99,IF(J123&gt;3,CdTrp2!I76,CdTrp2!I52))</f>
        <v>1</v>
      </c>
      <c r="K110" s="170">
        <f>IF($AA110=0,99,IF(K123&gt;3,CdTrp2!J76,CdTrp2!J52))</f>
        <v>1</v>
      </c>
      <c r="L110" s="170">
        <f>IF($AA110=0,99,IF(L123&gt;3,CdTrp2!K76,CdTrp2!K52))</f>
        <v>1</v>
      </c>
      <c r="M110" s="170">
        <f>IF($AA110=0,99,IF(M123&gt;3,CdTrp2!L76,CdTrp2!L52))</f>
        <v>1</v>
      </c>
      <c r="N110" s="170">
        <f>IF($AA110=0,99,IF(N123&gt;3,CdTrp2!M76,CdTrp2!M52))</f>
        <v>1</v>
      </c>
      <c r="O110" s="170">
        <f>IF($AA110=0,99,IF(O123&gt;3,CdTrp2!N76,CdTrp2!N52))</f>
        <v>1</v>
      </c>
      <c r="P110" s="170">
        <f>IF($AA110=0,99,IF(P123&gt;3,CdTrp2!O76,CdTrp2!O52))</f>
        <v>1</v>
      </c>
      <c r="Q110" s="170">
        <f>IF($AA110=0,99,IF(Q123&gt;3,CdTrp2!P76,CdTrp2!P52))</f>
        <v>1</v>
      </c>
      <c r="R110" s="170">
        <f>IF($AA110=0,99,IF(R123&gt;3,CdTrp2!Q76,CdTrp2!Q52))</f>
        <v>1</v>
      </c>
      <c r="S110" s="170">
        <f>IF($AA110=0,99,IF(S123&gt;3,CdTrp2!R76,CdTrp2!R52))</f>
        <v>1</v>
      </c>
      <c r="T110" s="170">
        <f>IF($AA110=0,99,IF(T123&gt;3,CdTrp2!S76,CdTrp2!S52))</f>
        <v>1</v>
      </c>
      <c r="U110" s="170">
        <f>IF($AA110=0,99,IF(U123&gt;3,CdTrp2!T76,CdTrp2!T52))</f>
        <v>1</v>
      </c>
      <c r="V110" s="170">
        <f>IF($AA110=0,99,IF(V123&gt;3,CdTrp2!U76,CdTrp2!U52))</f>
        <v>1</v>
      </c>
      <c r="W110" s="170">
        <f>IF($AA110=0,99,IF(W123&gt;3,CdTrp2!V76,CdTrp2!V52))</f>
        <v>1</v>
      </c>
      <c r="X110" s="170">
        <f>IF($AA110=0,99,IF(X123&gt;3,CdTrp2!W76,CdTrp2!W52))</f>
        <v>1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1</v>
      </c>
      <c r="F111" s="170">
        <f>IF($AA111=0,99,IF(F124&gt;3,CdTrp2!E77,CdTrp2!E53))</f>
        <v>1</v>
      </c>
      <c r="G111" s="170">
        <f>IF($AA111=0,99,IF(G124&gt;3,CdTrp2!F77,CdTrp2!F53))</f>
        <v>1</v>
      </c>
      <c r="H111" s="170">
        <f>IF($AA111=0,99,IF(H124&gt;3,CdTrp2!G77,CdTrp2!G53))</f>
        <v>1</v>
      </c>
      <c r="I111" s="170">
        <f>IF($AA111=0,99,IF(I124&gt;3,CdTrp2!H77,CdTrp2!H53))</f>
        <v>1</v>
      </c>
      <c r="J111" s="170">
        <f>IF($AA111=0,99,IF(J124&gt;3,CdTrp2!I77,CdTrp2!I53))</f>
        <v>1</v>
      </c>
      <c r="K111" s="170">
        <f>IF($AA111=0,99,IF(K124&gt;3,CdTrp2!J77,CdTrp2!J53))</f>
        <v>1</v>
      </c>
      <c r="L111" s="170">
        <f>IF($AA111=0,99,IF(L124&gt;3,CdTrp2!K77,CdTrp2!K53))</f>
        <v>1</v>
      </c>
      <c r="M111" s="170">
        <f>IF($AA111=0,99,IF(M124&gt;3,CdTrp2!L77,CdTrp2!L53))</f>
        <v>1</v>
      </c>
      <c r="N111" s="170">
        <f>IF($AA111=0,99,IF(N124&gt;3,CdTrp2!M77,CdTrp2!M53))</f>
        <v>1</v>
      </c>
      <c r="O111" s="170">
        <f>IF($AA111=0,99,IF(O124&gt;3,CdTrp2!N77,CdTrp2!N53))</f>
        <v>1</v>
      </c>
      <c r="P111" s="170">
        <f>IF($AA111=0,99,IF(P124&gt;3,CdTrp2!O77,CdTrp2!O53))</f>
        <v>1</v>
      </c>
      <c r="Q111" s="170">
        <f>IF($AA111=0,99,IF(Q124&gt;3,CdTrp2!P77,CdTrp2!P53))</f>
        <v>1</v>
      </c>
      <c r="R111" s="170">
        <f>IF($AA111=0,99,IF(R124&gt;3,CdTrp2!Q77,CdTrp2!Q53))</f>
        <v>1</v>
      </c>
      <c r="S111" s="170">
        <f>IF($AA111=0,99,IF(S124&gt;3,CdTrp2!R77,CdTrp2!R53))</f>
        <v>1</v>
      </c>
      <c r="T111" s="170">
        <f>IF($AA111=0,99,IF(T124&gt;3,CdTrp2!S77,CdTrp2!S53))</f>
        <v>1</v>
      </c>
      <c r="U111" s="170">
        <f>IF($AA111=0,99,IF(U124&gt;3,CdTrp2!T77,CdTrp2!T53))</f>
        <v>1</v>
      </c>
      <c r="V111" s="170">
        <f>IF($AA111=0,99,IF(V124&gt;3,CdTrp2!U77,CdTrp2!U53))</f>
        <v>1</v>
      </c>
      <c r="W111" s="170">
        <f>IF($AA111=0,99,IF(W124&gt;3,CdTrp2!V77,CdTrp2!V53))</f>
        <v>1</v>
      </c>
      <c r="X111" s="170">
        <f>IF($AA111=0,99,IF(X124&gt;3,CdTrp2!W77,CdTrp2!W53))</f>
        <v>1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757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753</v>
      </c>
    </row>
    <row r="153" spans="1:27" x14ac:dyDescent="0.25">
      <c r="A153" s="40" t="s">
        <v>758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759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1</v>
      </c>
      <c r="O180" s="170">
        <f>IF(Troupeau!$B$3="OL",Protection!O18,0)</f>
        <v>1</v>
      </c>
      <c r="P180" s="170">
        <f>IF(Troupeau!$B$3="OL",Protection!P18,0)</f>
        <v>1</v>
      </c>
      <c r="Q180" s="170">
        <f>IF(Troupeau!$B$3="OL",Protection!Q18,0)</f>
        <v>1</v>
      </c>
      <c r="R180" s="170">
        <f>IF(Troupeau!$B$3="OL",Protection!R18,0)</f>
        <v>1</v>
      </c>
      <c r="S180" s="170">
        <f>IF(Troupeau!$B$3="OL",Protection!S18,0)</f>
        <v>1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760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0</v>
      </c>
      <c r="O181" s="170">
        <f>IF(Troupeau!$B$3="OL",Protection!O19+O21,0)</f>
        <v>0</v>
      </c>
      <c r="P181" s="170">
        <f>IF(Troupeau!$B$3="OL",Protection!P19+P21,0)</f>
        <v>0</v>
      </c>
      <c r="Q181" s="170">
        <f>IF(Troupeau!$B$3="OL",Protection!Q19+Q21,0)</f>
        <v>0</v>
      </c>
      <c r="R181" s="170">
        <f>IF(Troupeau!$B$3="OL",Protection!R19+R21,0)</f>
        <v>0</v>
      </c>
      <c r="S181" s="170">
        <f>IF(Troupeau!$B$3="OL",Protection!S19+S21,0)</f>
        <v>0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761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762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763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764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765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766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767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1</v>
      </c>
      <c r="O195" s="170">
        <f t="shared" si="49"/>
        <v>1</v>
      </c>
      <c r="P195" s="170">
        <f t="shared" si="49"/>
        <v>1</v>
      </c>
      <c r="Q195" s="170">
        <f t="shared" si="49"/>
        <v>1</v>
      </c>
      <c r="R195" s="170">
        <f t="shared" si="49"/>
        <v>1</v>
      </c>
      <c r="S195" s="170">
        <f t="shared" si="49"/>
        <v>1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768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0</v>
      </c>
      <c r="O196" s="170">
        <f t="shared" si="49"/>
        <v>0</v>
      </c>
      <c r="P196" s="170">
        <f t="shared" si="49"/>
        <v>0</v>
      </c>
      <c r="Q196" s="170">
        <f t="shared" si="49"/>
        <v>0</v>
      </c>
      <c r="R196" s="170">
        <f t="shared" si="49"/>
        <v>0</v>
      </c>
      <c r="S196" s="170">
        <f t="shared" si="49"/>
        <v>0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769</v>
      </c>
      <c r="C201" s="170">
        <f>IF(Troupeau!$B$3="OL",C8+C9,0)</f>
        <v>0</v>
      </c>
      <c r="D201" s="170">
        <f>IF(Troupeau!$B$3="OL",D8+D9,0)</f>
        <v>0</v>
      </c>
      <c r="E201" s="170">
        <f>IF(Troupeau!$B$3="OL",E8+E9,0)</f>
        <v>0</v>
      </c>
      <c r="F201" s="170">
        <f>IF(Troupeau!$B$3="OL",F8+F9,0)</f>
        <v>0</v>
      </c>
      <c r="G201" s="170">
        <f>IF(Troupeau!$B$3="OL",G8+G9,0)</f>
        <v>0</v>
      </c>
      <c r="H201" s="170">
        <f>IF(Troupeau!$B$3="OL",H8+H9,0)</f>
        <v>0</v>
      </c>
      <c r="I201" s="170">
        <f>IF(Troupeau!$B$3="OL",I8+I9,0)</f>
        <v>0</v>
      </c>
      <c r="J201" s="170">
        <f>IF(Troupeau!$B$3="OL",J8+J9,0)</f>
        <v>0</v>
      </c>
      <c r="K201" s="170">
        <f>IF(Troupeau!$B$3="OL",K8+K9,0)</f>
        <v>0</v>
      </c>
      <c r="L201" s="170">
        <f>IF(Troupeau!$B$3="OL",L8+L9,0)</f>
        <v>0</v>
      </c>
      <c r="M201" s="170">
        <f>IF(Troupeau!$B$3="OL",M8+M9,0)</f>
        <v>0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0</v>
      </c>
      <c r="U201" s="170">
        <f>IF(Troupeau!$B$3="OL",U8+U9,0)</f>
        <v>0</v>
      </c>
      <c r="V201" s="170">
        <f>IF(Troupeau!$B$3="OL",V8+V9,0)</f>
        <v>0</v>
      </c>
      <c r="W201" s="170">
        <f>IF(Troupeau!$B$3="OL",W8+W9,0)</f>
        <v>0</v>
      </c>
      <c r="X201" s="170">
        <f>IF(Troupeau!$B$3="OL",X8+X9,0)</f>
        <v>0</v>
      </c>
      <c r="Y201" s="170">
        <f>IF(Troupeau!$B$3="OL",Y8+Y9,0)</f>
        <v>0</v>
      </c>
      <c r="Z201" s="170">
        <f>IF(Troupeau!$B$3="OL",Z8+Z9,0)</f>
        <v>0</v>
      </c>
    </row>
    <row r="202" spans="1:26" x14ac:dyDescent="0.25">
      <c r="A202" t="s">
        <v>770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0</v>
      </c>
      <c r="O202" s="170">
        <f>IF(Troupeau!$B$3="OL",O10+O12,0)</f>
        <v>0</v>
      </c>
      <c r="P202" s="170">
        <f>IF(Troupeau!$B$3="OL",P10+P12,0)</f>
        <v>0</v>
      </c>
      <c r="Q202" s="170">
        <f>IF(Troupeau!$B$3="OL",Q10+Q12,0)</f>
        <v>0</v>
      </c>
      <c r="R202" s="170">
        <f>IF(Troupeau!$B$3="OL",R10+R12,0)</f>
        <v>0</v>
      </c>
      <c r="S202" s="170">
        <f>IF(Troupeau!$B$3="OL",S10+S12,0)</f>
        <v>0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771</v>
      </c>
      <c r="C203" s="170">
        <f>SUM(C201:C202)</f>
        <v>0</v>
      </c>
      <c r="D203" s="170">
        <f t="shared" ref="D203:Z203" si="50">SUM(D201:D202)</f>
        <v>0</v>
      </c>
      <c r="E203" s="170">
        <f t="shared" si="50"/>
        <v>0</v>
      </c>
      <c r="F203" s="170">
        <f t="shared" si="50"/>
        <v>0</v>
      </c>
      <c r="G203" s="170">
        <f t="shared" si="50"/>
        <v>0</v>
      </c>
      <c r="H203" s="170">
        <f t="shared" si="50"/>
        <v>0</v>
      </c>
      <c r="I203" s="170">
        <f t="shared" si="50"/>
        <v>0</v>
      </c>
      <c r="J203" s="170">
        <f t="shared" si="50"/>
        <v>0</v>
      </c>
      <c r="K203" s="170">
        <f t="shared" si="50"/>
        <v>0</v>
      </c>
      <c r="L203" s="170">
        <f t="shared" si="50"/>
        <v>0</v>
      </c>
      <c r="M203" s="170">
        <f t="shared" si="50"/>
        <v>0</v>
      </c>
      <c r="N203" s="170">
        <f t="shared" si="50"/>
        <v>0</v>
      </c>
      <c r="O203" s="170">
        <f t="shared" si="50"/>
        <v>0</v>
      </c>
      <c r="P203" s="170">
        <f t="shared" si="50"/>
        <v>0</v>
      </c>
      <c r="Q203" s="170">
        <f t="shared" si="50"/>
        <v>0</v>
      </c>
      <c r="R203" s="170">
        <f t="shared" si="50"/>
        <v>0</v>
      </c>
      <c r="S203" s="170">
        <f t="shared" si="50"/>
        <v>0</v>
      </c>
      <c r="T203" s="170">
        <f t="shared" si="50"/>
        <v>0</v>
      </c>
      <c r="U203" s="170">
        <f t="shared" si="50"/>
        <v>0</v>
      </c>
      <c r="V203" s="170">
        <f t="shared" si="50"/>
        <v>0</v>
      </c>
      <c r="W203" s="170">
        <f t="shared" si="50"/>
        <v>0</v>
      </c>
      <c r="X203" s="170">
        <f t="shared" si="50"/>
        <v>0</v>
      </c>
      <c r="Y203" s="170">
        <f t="shared" si="50"/>
        <v>0</v>
      </c>
      <c r="Z203" s="170">
        <f t="shared" si="50"/>
        <v>0</v>
      </c>
    </row>
    <row r="204" spans="1:26" x14ac:dyDescent="0.25">
      <c r="A204" t="s">
        <v>772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773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774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775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776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777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778</v>
      </c>
      <c r="C212" s="170">
        <f>C201+C204+C206+C208</f>
        <v>0</v>
      </c>
      <c r="D212" s="170">
        <f t="shared" ref="D212:Z213" si="51">D201+D204+D206+D208</f>
        <v>0</v>
      </c>
      <c r="E212" s="170">
        <f t="shared" si="51"/>
        <v>0</v>
      </c>
      <c r="F212" s="170">
        <f t="shared" si="51"/>
        <v>0</v>
      </c>
      <c r="G212" s="170">
        <f t="shared" si="51"/>
        <v>0</v>
      </c>
      <c r="H212" s="170">
        <f t="shared" si="51"/>
        <v>0</v>
      </c>
      <c r="I212" s="170">
        <f t="shared" si="51"/>
        <v>0</v>
      </c>
      <c r="J212" s="170">
        <f t="shared" si="51"/>
        <v>0</v>
      </c>
      <c r="K212" s="170">
        <f t="shared" si="51"/>
        <v>0</v>
      </c>
      <c r="L212" s="170">
        <f t="shared" si="51"/>
        <v>0</v>
      </c>
      <c r="M212" s="170">
        <f t="shared" si="51"/>
        <v>0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0</v>
      </c>
      <c r="U212" s="170">
        <f t="shared" si="51"/>
        <v>0</v>
      </c>
      <c r="V212" s="170">
        <f t="shared" si="51"/>
        <v>0</v>
      </c>
      <c r="W212" s="170">
        <f t="shared" si="51"/>
        <v>0</v>
      </c>
      <c r="X212" s="170">
        <f t="shared" si="51"/>
        <v>0</v>
      </c>
      <c r="Y212" s="170">
        <f t="shared" si="51"/>
        <v>0</v>
      </c>
      <c r="Z212" s="170">
        <f t="shared" si="51"/>
        <v>0</v>
      </c>
    </row>
    <row r="213" spans="1:26" x14ac:dyDescent="0.25">
      <c r="A213" s="15" t="s">
        <v>779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0</v>
      </c>
      <c r="O213" s="170">
        <f t="shared" si="51"/>
        <v>0</v>
      </c>
      <c r="P213" s="170">
        <f t="shared" si="51"/>
        <v>0</v>
      </c>
      <c r="Q213" s="170">
        <f t="shared" si="51"/>
        <v>0</v>
      </c>
      <c r="R213" s="170">
        <f t="shared" si="51"/>
        <v>0</v>
      </c>
      <c r="S213" s="170">
        <f t="shared" si="51"/>
        <v>0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780</v>
      </c>
      <c r="C214" s="170">
        <f>C212+C213</f>
        <v>0</v>
      </c>
      <c r="D214" s="170">
        <f t="shared" ref="D214:Z214" si="52">D212+D213</f>
        <v>0</v>
      </c>
      <c r="E214" s="170">
        <f t="shared" si="52"/>
        <v>0</v>
      </c>
      <c r="F214" s="170">
        <f t="shared" si="52"/>
        <v>0</v>
      </c>
      <c r="G214" s="170">
        <f t="shared" si="52"/>
        <v>0</v>
      </c>
      <c r="H214" s="170">
        <f t="shared" si="52"/>
        <v>0</v>
      </c>
      <c r="I214" s="170">
        <f t="shared" si="52"/>
        <v>0</v>
      </c>
      <c r="J214" s="170">
        <f t="shared" si="52"/>
        <v>0</v>
      </c>
      <c r="K214" s="170">
        <f t="shared" si="52"/>
        <v>0</v>
      </c>
      <c r="L214" s="170">
        <f t="shared" si="52"/>
        <v>0</v>
      </c>
      <c r="M214" s="170">
        <f t="shared" si="52"/>
        <v>0</v>
      </c>
      <c r="N214" s="170">
        <f t="shared" si="52"/>
        <v>0</v>
      </c>
      <c r="O214" s="170">
        <f t="shared" si="52"/>
        <v>0</v>
      </c>
      <c r="P214" s="170">
        <f t="shared" si="52"/>
        <v>0</v>
      </c>
      <c r="Q214" s="170">
        <f t="shared" si="52"/>
        <v>0</v>
      </c>
      <c r="R214" s="170">
        <f t="shared" si="52"/>
        <v>0</v>
      </c>
      <c r="S214" s="170">
        <f t="shared" si="52"/>
        <v>0</v>
      </c>
      <c r="T214" s="170">
        <f t="shared" si="52"/>
        <v>0</v>
      </c>
      <c r="U214" s="170">
        <f t="shared" si="52"/>
        <v>0</v>
      </c>
      <c r="V214" s="170">
        <f t="shared" si="52"/>
        <v>0</v>
      </c>
      <c r="W214" s="170">
        <f t="shared" si="52"/>
        <v>0</v>
      </c>
      <c r="X214" s="170">
        <f t="shared" si="52"/>
        <v>0</v>
      </c>
      <c r="Y214" s="170">
        <f t="shared" si="52"/>
        <v>0</v>
      </c>
      <c r="Z214" s="170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781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782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782</v>
      </c>
      <c r="AS2" s="40" t="s">
        <v>574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588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595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783</v>
      </c>
      <c r="B3" s="2"/>
      <c r="C3" s="2"/>
      <c r="D3" s="23"/>
      <c r="E3" s="23"/>
      <c r="AR3" s="183" t="s">
        <v>782</v>
      </c>
      <c r="AT3" s="2" t="s">
        <v>784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784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784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785</v>
      </c>
      <c r="B4" s="2"/>
      <c r="C4" s="2"/>
      <c r="D4" s="23"/>
      <c r="E4" s="23"/>
      <c r="F4" s="33"/>
      <c r="AR4" s="183" t="s">
        <v>782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574</v>
      </c>
      <c r="F5" s="170">
        <f>SUM(G5:AD5)</f>
        <v>0</v>
      </c>
      <c r="G5" s="170">
        <f>AV117</f>
        <v>0</v>
      </c>
      <c r="H5" s="170">
        <f t="shared" ref="H5:AD5" si="0">AW117</f>
        <v>0</v>
      </c>
      <c r="I5" s="170">
        <f t="shared" si="0"/>
        <v>0</v>
      </c>
      <c r="J5" s="170">
        <f t="shared" si="0"/>
        <v>0</v>
      </c>
      <c r="K5" s="170">
        <f t="shared" si="0"/>
        <v>0</v>
      </c>
      <c r="L5" s="170">
        <f t="shared" si="0"/>
        <v>0</v>
      </c>
      <c r="M5" s="170">
        <f t="shared" si="0"/>
        <v>0</v>
      </c>
      <c r="N5" s="170">
        <f t="shared" si="0"/>
        <v>0</v>
      </c>
      <c r="O5" s="170">
        <f t="shared" si="0"/>
        <v>0</v>
      </c>
      <c r="P5" s="170">
        <f t="shared" si="0"/>
        <v>0</v>
      </c>
      <c r="Q5" s="170">
        <f t="shared" si="0"/>
        <v>0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0</v>
      </c>
      <c r="Y5" s="170">
        <f t="shared" si="0"/>
        <v>0</v>
      </c>
      <c r="Z5" s="170">
        <f t="shared" si="0"/>
        <v>0</v>
      </c>
      <c r="AA5" s="170">
        <f t="shared" si="0"/>
        <v>0</v>
      </c>
      <c r="AB5" s="170">
        <f t="shared" si="0"/>
        <v>0</v>
      </c>
      <c r="AC5" s="170">
        <f t="shared" si="0"/>
        <v>0</v>
      </c>
      <c r="AD5" s="170">
        <f t="shared" si="0"/>
        <v>0</v>
      </c>
      <c r="AR5" s="183" t="s">
        <v>782</v>
      </c>
      <c r="AT5" s="184" t="str">
        <f t="shared" ref="AT5:AT13" si="1">AT27</f>
        <v>Brebis laitières tardives</v>
      </c>
      <c r="AU5" s="169"/>
      <c r="AV5" s="170">
        <f>CdTrp1!B16</f>
        <v>73.755102040816325</v>
      </c>
      <c r="AW5" s="170">
        <f>CdTrp1!C16</f>
        <v>65.244897959183675</v>
      </c>
      <c r="AX5" s="170">
        <f>CdTrp1!D16</f>
        <v>56.734693877551024</v>
      </c>
      <c r="AY5" s="170">
        <f>CdTrp1!E16</f>
        <v>48.224489795918366</v>
      </c>
      <c r="AZ5" s="170">
        <f>CdTrp1!F16</f>
        <v>39.714285714285715</v>
      </c>
      <c r="BA5" s="170">
        <f>CdTrp1!G16</f>
        <v>31.771428571428572</v>
      </c>
      <c r="BB5" s="170">
        <f>CdTrp1!H16</f>
        <v>23.828571428571429</v>
      </c>
      <c r="BC5" s="170">
        <f>CdTrp1!I16</f>
        <v>15.885714285714286</v>
      </c>
      <c r="BD5" s="170">
        <f>CdTrp1!J16</f>
        <v>7.9428571428571431</v>
      </c>
      <c r="BE5" s="170">
        <f>CdTrp1!K16</f>
        <v>0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0</v>
      </c>
      <c r="BR5" s="170">
        <f>CdTrp1!X16</f>
        <v>73.755102040816325</v>
      </c>
      <c r="BS5" s="170">
        <f>CdTrp1!Y16</f>
        <v>73.755102040816325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588</v>
      </c>
      <c r="F6" s="170">
        <f>IF(Troupeau!B3="OL",SUM(G6:AD6)*0.6,SUM(G6:AD6))</f>
        <v>0</v>
      </c>
      <c r="G6" s="170">
        <f>CB117</f>
        <v>0</v>
      </c>
      <c r="H6" s="170">
        <f t="shared" ref="H6:AD6" si="2">CC117</f>
        <v>0</v>
      </c>
      <c r="I6" s="170">
        <f t="shared" si="2"/>
        <v>0</v>
      </c>
      <c r="J6" s="170">
        <f t="shared" si="2"/>
        <v>0</v>
      </c>
      <c r="K6" s="170">
        <f t="shared" si="2"/>
        <v>0</v>
      </c>
      <c r="L6" s="170">
        <f t="shared" si="2"/>
        <v>0</v>
      </c>
      <c r="M6" s="170">
        <f t="shared" si="2"/>
        <v>0</v>
      </c>
      <c r="N6" s="170">
        <f t="shared" si="2"/>
        <v>0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0</v>
      </c>
      <c r="Z6" s="170">
        <f t="shared" si="2"/>
        <v>0</v>
      </c>
      <c r="AA6" s="170">
        <f t="shared" si="2"/>
        <v>0</v>
      </c>
      <c r="AB6" s="170">
        <f t="shared" si="2"/>
        <v>0</v>
      </c>
      <c r="AC6" s="170">
        <f t="shared" si="2"/>
        <v>0</v>
      </c>
      <c r="AD6" s="170">
        <f t="shared" si="2"/>
        <v>0</v>
      </c>
      <c r="AR6" s="183" t="s">
        <v>782</v>
      </c>
      <c r="AT6" s="184" t="str">
        <f t="shared" si="1"/>
        <v>Brebis vides</v>
      </c>
      <c r="AU6" s="169"/>
      <c r="AV6" s="170">
        <f>CdTrp1!B17</f>
        <v>14.183673469387756</v>
      </c>
      <c r="AW6" s="170">
        <f>CdTrp1!C17</f>
        <v>14.183673469387756</v>
      </c>
      <c r="AX6" s="170">
        <f>CdTrp1!D17</f>
        <v>14.183673469387756</v>
      </c>
      <c r="AY6" s="170">
        <f>CdTrp1!E17</f>
        <v>14.183673469387756</v>
      </c>
      <c r="AZ6" s="170">
        <f>CdTrp1!F17</f>
        <v>14.183673469387756</v>
      </c>
      <c r="BA6" s="170">
        <f>CdTrp1!G17</f>
        <v>14.183673469387756</v>
      </c>
      <c r="BB6" s="170">
        <f>CdTrp1!H17</f>
        <v>14.183673469387756</v>
      </c>
      <c r="BC6" s="170">
        <f>CdTrp1!I17</f>
        <v>14.183673469387756</v>
      </c>
      <c r="BD6" s="170">
        <f>CdTrp1!J17</f>
        <v>14.183673469387756</v>
      </c>
      <c r="BE6" s="170">
        <f>CdTrp1!K17</f>
        <v>14.183673469387756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14.183673469387756</v>
      </c>
      <c r="BR6" s="170">
        <f>CdTrp1!X17</f>
        <v>14.183673469387756</v>
      </c>
      <c r="BS6" s="170">
        <f>CdTrp1!Y17</f>
        <v>14.183673469387756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595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782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786</v>
      </c>
      <c r="B8" s="2"/>
      <c r="C8" s="2"/>
      <c r="D8" s="23"/>
      <c r="E8" s="23"/>
      <c r="AR8" s="183" t="s">
        <v>782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574</v>
      </c>
      <c r="F9" s="170">
        <f>SUM(G9:AD9)</f>
        <v>1223.7457142857145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51.231000000000002</v>
      </c>
      <c r="P9" s="30">
        <f t="shared" si="4"/>
        <v>51.191285714285712</v>
      </c>
      <c r="Q9" s="30">
        <f t="shared" si="4"/>
        <v>50.694857142857146</v>
      </c>
      <c r="R9" s="30">
        <f t="shared" si="4"/>
        <v>50.694857142857146</v>
      </c>
      <c r="S9" s="30">
        <f t="shared" si="4"/>
        <v>50.694857142857146</v>
      </c>
      <c r="T9" s="30">
        <f t="shared" si="4"/>
        <v>50.694857142857146</v>
      </c>
      <c r="U9" s="30">
        <f t="shared" si="4"/>
        <v>50.694857142857146</v>
      </c>
      <c r="V9" s="30">
        <f t="shared" si="4"/>
        <v>50.694857142857146</v>
      </c>
      <c r="W9" s="30">
        <f t="shared" si="4"/>
        <v>50.694857142857146</v>
      </c>
      <c r="X9" s="30">
        <f t="shared" si="4"/>
        <v>50.198428571428572</v>
      </c>
      <c r="Y9" s="30">
        <f t="shared" si="4"/>
        <v>50.198428571428572</v>
      </c>
      <c r="Z9" s="30">
        <f t="shared" si="4"/>
        <v>50.198428571428572</v>
      </c>
      <c r="AA9" s="30">
        <f t="shared" si="4"/>
        <v>50.198428571428572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782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588</v>
      </c>
      <c r="F10" s="170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3" t="s">
        <v>782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595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782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782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787</v>
      </c>
      <c r="F13" s="170">
        <f t="shared" si="5"/>
        <v>2231.7457142857152</v>
      </c>
      <c r="G13" s="30">
        <f>SUM(G5:G11)</f>
        <v>94.144428571428563</v>
      </c>
      <c r="H13" s="30">
        <f t="shared" ref="H13:AD13" si="8">SUM(H5:H11)</f>
        <v>94.084857142857146</v>
      </c>
      <c r="I13" s="30">
        <f t="shared" si="8"/>
        <v>94.025285714285715</v>
      </c>
      <c r="J13" s="30">
        <f t="shared" si="8"/>
        <v>93.489142857142866</v>
      </c>
      <c r="K13" s="30">
        <f t="shared" si="8"/>
        <v>93.429571428571421</v>
      </c>
      <c r="L13" s="30">
        <f t="shared" si="8"/>
        <v>93.37</v>
      </c>
      <c r="M13" s="30">
        <f t="shared" si="8"/>
        <v>93.310428571428574</v>
      </c>
      <c r="N13" s="30">
        <f t="shared" si="8"/>
        <v>93.270714285714291</v>
      </c>
      <c r="O13" s="30">
        <f t="shared" si="8"/>
        <v>93.230999999999995</v>
      </c>
      <c r="P13" s="30">
        <f t="shared" si="8"/>
        <v>93.191285714285712</v>
      </c>
      <c r="Q13" s="30">
        <f t="shared" si="8"/>
        <v>92.694857142857146</v>
      </c>
      <c r="R13" s="30">
        <f t="shared" si="8"/>
        <v>92.694857142857146</v>
      </c>
      <c r="S13" s="30">
        <f t="shared" si="8"/>
        <v>92.694857142857146</v>
      </c>
      <c r="T13" s="30">
        <f t="shared" si="8"/>
        <v>92.694857142857146</v>
      </c>
      <c r="U13" s="30">
        <f t="shared" si="8"/>
        <v>92.694857142857146</v>
      </c>
      <c r="V13" s="30">
        <f t="shared" si="8"/>
        <v>92.694857142857146</v>
      </c>
      <c r="W13" s="30">
        <f t="shared" si="8"/>
        <v>92.694857142857146</v>
      </c>
      <c r="X13" s="30">
        <f t="shared" si="8"/>
        <v>92.198428571428565</v>
      </c>
      <c r="Y13" s="30">
        <f t="shared" si="8"/>
        <v>92.198428571428565</v>
      </c>
      <c r="Z13" s="30">
        <f t="shared" si="8"/>
        <v>92.198428571428565</v>
      </c>
      <c r="AA13" s="30">
        <f t="shared" si="8"/>
        <v>92.198428571428565</v>
      </c>
      <c r="AB13" s="30">
        <f t="shared" si="8"/>
        <v>92.198428571428565</v>
      </c>
      <c r="AC13" s="30">
        <f t="shared" si="8"/>
        <v>92.198428571428565</v>
      </c>
      <c r="AD13" s="30">
        <f t="shared" si="8"/>
        <v>94.144428571428563</v>
      </c>
      <c r="AR13" s="183" t="s">
        <v>782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782</v>
      </c>
      <c r="AT14" s="2" t="s">
        <v>788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788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788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789</v>
      </c>
      <c r="B15" s="168" t="s">
        <v>790</v>
      </c>
      <c r="C15" s="168" t="s">
        <v>791</v>
      </c>
      <c r="D15" s="169" t="s">
        <v>792</v>
      </c>
      <c r="E15" s="169" t="s">
        <v>793</v>
      </c>
      <c r="F15" s="168" t="s">
        <v>794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574</v>
      </c>
      <c r="B16" s="185">
        <f>Scénario!K56</f>
        <v>3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0</v>
      </c>
      <c r="F16" s="170">
        <f>IF(B16&gt;0,D16*E16/B16,0)</f>
        <v>0</v>
      </c>
      <c r="H16" t="s">
        <v>795</v>
      </c>
      <c r="AR16" s="183"/>
      <c r="AT16" s="184" t="str">
        <f t="shared" ref="AT16:AT24" si="14">AT27</f>
        <v>Brebis laitières tardives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0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0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588</v>
      </c>
      <c r="B17" s="185">
        <f>Scénario!K63</f>
        <v>0</v>
      </c>
      <c r="C17" s="185">
        <f>VALUE(LEFT(Scénario!K64,1))</f>
        <v>1</v>
      </c>
      <c r="D17" s="185">
        <f>IF(B17&gt;0,VLOOKUP(C17,[1]Trav!$A$86:$D$90,4),0)</f>
        <v>0</v>
      </c>
      <c r="E17" s="185">
        <f>Scénario!K61*2</f>
        <v>0</v>
      </c>
      <c r="F17" s="170">
        <f t="shared" ref="F17:F18" si="15">IF(B17&gt;0,D17*E17/B17,0)</f>
        <v>0</v>
      </c>
      <c r="AR17" s="183"/>
      <c r="AT17" s="184" t="str">
        <f t="shared" si="14"/>
        <v>Brebis vides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595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796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574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588</v>
      </c>
      <c r="B21" s="168"/>
      <c r="C21" s="168"/>
      <c r="D21" s="185">
        <f>[1]Trav!$D$92</f>
        <v>12</v>
      </c>
      <c r="E21" s="185">
        <f>Scénario!K79*2</f>
        <v>0</v>
      </c>
      <c r="F21" s="170">
        <f t="shared" ref="F21:F22" si="16">D21*E21</f>
        <v>0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595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797</v>
      </c>
      <c r="AU25" s="179"/>
      <c r="BZ25" s="186" t="s">
        <v>797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797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798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Brebis laitières tardives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644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782</v>
      </c>
      <c r="AT28" s="184" t="str">
        <f>CdTrp1!A17</f>
        <v>Brebis vides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645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782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799</v>
      </c>
      <c r="B30" s="188" t="s">
        <v>800</v>
      </c>
      <c r="C30" s="188" t="s">
        <v>801</v>
      </c>
      <c r="D30" s="189"/>
      <c r="E30" s="189"/>
      <c r="AR30" s="183" t="s">
        <v>782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574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782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782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595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782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802</v>
      </c>
      <c r="B34" s="188" t="s">
        <v>803</v>
      </c>
      <c r="C34" s="188" t="s">
        <v>804</v>
      </c>
      <c r="D34" s="188" t="s">
        <v>805</v>
      </c>
      <c r="E34" s="189"/>
      <c r="F34" s="33"/>
      <c r="AR34" s="183" t="s">
        <v>782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574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782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588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782</v>
      </c>
      <c r="AT36" s="2" t="s">
        <v>758</v>
      </c>
      <c r="BZ36" s="2" t="s">
        <v>758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758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595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782</v>
      </c>
      <c r="AT37" s="184" t="str">
        <f>CdTrp1!$A52</f>
        <v>Brebis laitières lot princ</v>
      </c>
      <c r="AU37" s="32"/>
      <c r="AV37" s="170">
        <f>IF(CdTrp1!B52=1,3,IF(CdTrp1!B52=0.5,2,IF(CdTrp1!B52=0,1,0)))</f>
        <v>3</v>
      </c>
      <c r="AW37" s="170">
        <f>IF(CdTrp1!C52=1,3,IF(CdTrp1!C52=0.5,2,IF(CdTrp1!C52=0,1,0)))</f>
        <v>3</v>
      </c>
      <c r="AX37" s="170">
        <f>IF(CdTrp1!D52=1,3,IF(CdTrp1!D52=0.5,2,IF(CdTrp1!D52=0,1,0)))</f>
        <v>3</v>
      </c>
      <c r="AY37" s="170">
        <f>IF(CdTrp1!E52=1,3,IF(CdTrp1!E52=0.5,2,IF(CdTrp1!E52=0,1,0)))</f>
        <v>3</v>
      </c>
      <c r="AZ37" s="170">
        <f>IF(CdTrp1!F52=1,3,IF(CdTrp1!F52=0.5,2,IF(CdTrp1!F52=0,1,0)))</f>
        <v>3</v>
      </c>
      <c r="BA37" s="170">
        <f>IF(CdTrp1!G52=1,3,IF(CdTrp1!G52=0.5,2,IF(CdTrp1!G52=0,1,0)))</f>
        <v>3</v>
      </c>
      <c r="BB37" s="170">
        <f>IF(CdTrp1!H52=1,3,IF(CdTrp1!H52=0.5,2,IF(CdTrp1!H52=0,1,0)))</f>
        <v>3</v>
      </c>
      <c r="BC37" s="170">
        <f>IF(CdTrp1!I52=1,3,IF(CdTrp1!I52=0.5,2,IF(CdTrp1!I52=0,1,0)))</f>
        <v>3</v>
      </c>
      <c r="BD37" s="170">
        <f>IF(CdTrp1!J52=1,3,IF(CdTrp1!J52=0.5,2,IF(CdTrp1!J52=0,1,0)))</f>
        <v>3</v>
      </c>
      <c r="BE37" s="170">
        <f>IF(CdTrp1!K52=1,3,IF(CdTrp1!K52=0.5,2,IF(CdTrp1!K52=0,1,0)))</f>
        <v>3</v>
      </c>
      <c r="BF37" s="170">
        <f>IF(CdTrp1!L52=1,3,IF(CdTrp1!L52=0.5,2,IF(CdTrp1!L52=0,1,0)))</f>
        <v>3</v>
      </c>
      <c r="BG37" s="170">
        <f>IF(CdTrp1!M52=1,3,IF(CdTrp1!M52=0.5,2,IF(CdTrp1!M52=0,1,0)))</f>
        <v>3</v>
      </c>
      <c r="BH37" s="170">
        <f>IF(CdTrp1!N52=1,3,IF(CdTrp1!N52=0.5,2,IF(CdTrp1!N52=0,1,0)))</f>
        <v>3</v>
      </c>
      <c r="BI37" s="170">
        <f>IF(CdTrp1!O52=1,3,IF(CdTrp1!O52=0.5,2,IF(CdTrp1!O52=0,1,0)))</f>
        <v>3</v>
      </c>
      <c r="BJ37" s="170">
        <f>IF(CdTrp1!P52=1,3,IF(CdTrp1!P52=0.5,2,IF(CdTrp1!P52=0,1,0)))</f>
        <v>3</v>
      </c>
      <c r="BK37" s="170">
        <f>IF(CdTrp1!Q52=1,3,IF(CdTrp1!Q52=0.5,2,IF(CdTrp1!Q52=0,1,0)))</f>
        <v>3</v>
      </c>
      <c r="BL37" s="170">
        <f>IF(CdTrp1!R52=1,3,IF(CdTrp1!R52=0.5,2,IF(CdTrp1!R52=0,1,0)))</f>
        <v>3</v>
      </c>
      <c r="BM37" s="170">
        <f>IF(CdTrp1!S52=1,3,IF(CdTrp1!S52=0.5,2,IF(CdTrp1!S52=0,1,0)))</f>
        <v>3</v>
      </c>
      <c r="BN37" s="170">
        <f>IF(CdTrp1!T52=1,3,IF(CdTrp1!T52=0.5,2,IF(CdTrp1!T52=0,1,0)))</f>
        <v>3</v>
      </c>
      <c r="BO37" s="170">
        <f>IF(CdTrp1!U52=1,3,IF(CdTrp1!U52=0.5,2,IF(CdTrp1!U52=0,1,0)))</f>
        <v>3</v>
      </c>
      <c r="BP37" s="170">
        <f>IF(CdTrp1!V52=1,3,IF(CdTrp1!V52=0.5,2,IF(CdTrp1!V52=0,1,0)))</f>
        <v>3</v>
      </c>
      <c r="BQ37" s="170">
        <f>IF(CdTrp1!W52=1,3,IF(CdTrp1!W52=0.5,2,IF(CdTrp1!W52=0,1,0)))</f>
        <v>3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806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3</v>
      </c>
      <c r="CF37" s="170">
        <f>IF(CdTrp2!F52=1,3,IF(CdTrp2!F52=0.5,2,IF(CdTrp2!F52=0,1,0)))</f>
        <v>3</v>
      </c>
      <c r="CG37" s="170">
        <f>IF(CdTrp2!G52=1,3,IF(CdTrp2!G52=0.5,2,IF(CdTrp2!G52=0,1,0)))</f>
        <v>3</v>
      </c>
      <c r="CH37" s="170">
        <f>IF(CdTrp2!H52=1,3,IF(CdTrp2!H52=0.5,2,IF(CdTrp2!H52=0,1,0)))</f>
        <v>3</v>
      </c>
      <c r="CI37" s="170">
        <f>IF(CdTrp2!I52=1,3,IF(CdTrp2!I52=0.5,2,IF(CdTrp2!I52=0,1,0)))</f>
        <v>3</v>
      </c>
      <c r="CJ37" s="170">
        <f>IF(CdTrp2!J52=1,3,IF(CdTrp2!J52=0.5,2,IF(CdTrp2!J52=0,1,0)))</f>
        <v>3</v>
      </c>
      <c r="CK37" s="170">
        <f>IF(CdTrp2!K52=1,3,IF(CdTrp2!K52=0.5,2,IF(CdTrp2!K52=0,1,0)))</f>
        <v>3</v>
      </c>
      <c r="CL37" s="170">
        <f>IF(CdTrp2!L52=1,3,IF(CdTrp2!L52=0.5,2,IF(CdTrp2!L52=0,1,0)))</f>
        <v>3</v>
      </c>
      <c r="CM37" s="170">
        <f>IF(CdTrp2!M52=1,3,IF(CdTrp2!M52=0.5,2,IF(CdTrp2!M52=0,1,0)))</f>
        <v>3</v>
      </c>
      <c r="CN37" s="170">
        <f>IF(CdTrp2!N52=1,3,IF(CdTrp2!N52=0.5,2,IF(CdTrp2!N52=0,1,0)))</f>
        <v>3</v>
      </c>
      <c r="CO37" s="170">
        <f>IF(CdTrp2!O52=1,3,IF(CdTrp2!O52=0.5,2,IF(CdTrp2!O52=0,1,0)))</f>
        <v>3</v>
      </c>
      <c r="CP37" s="170">
        <f>IF(CdTrp2!P52=1,3,IF(CdTrp2!P52=0.5,2,IF(CdTrp2!P52=0,1,0)))</f>
        <v>3</v>
      </c>
      <c r="CQ37" s="170">
        <f>IF(CdTrp2!Q52=1,3,IF(CdTrp2!Q52=0.5,2,IF(CdTrp2!Q52=0,1,0)))</f>
        <v>3</v>
      </c>
      <c r="CR37" s="170">
        <f>IF(CdTrp2!R52=1,3,IF(CdTrp2!R52=0.5,2,IF(CdTrp2!R52=0,1,0)))</f>
        <v>3</v>
      </c>
      <c r="CS37" s="170">
        <f>IF(CdTrp2!S52=1,3,IF(CdTrp2!S52=0.5,2,IF(CdTrp2!S52=0,1,0)))</f>
        <v>3</v>
      </c>
      <c r="CT37" s="170">
        <f>IF(CdTrp2!T52=1,3,IF(CdTrp2!T52=0.5,2,IF(CdTrp2!T52=0,1,0)))</f>
        <v>3</v>
      </c>
      <c r="CU37" s="170">
        <f>IF(CdTrp2!U52=1,3,IF(CdTrp2!U52=0.5,2,IF(CdTrp2!U52=0,1,0)))</f>
        <v>3</v>
      </c>
      <c r="CV37" s="170">
        <f>IF(CdTrp2!V52=1,3,IF(CdTrp2!V52=0.5,2,IF(CdTrp2!V52=0,1,0)))</f>
        <v>3</v>
      </c>
      <c r="CW37" s="170">
        <f>IF(CdTrp2!W52=1,3,IF(CdTrp2!W52=0.5,2,IF(CdTrp2!W52=0,1,0)))</f>
        <v>3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807</v>
      </c>
      <c r="B38" s="190" t="s">
        <v>808</v>
      </c>
      <c r="C38" s="190" t="s">
        <v>809</v>
      </c>
      <c r="D38" s="189"/>
      <c r="E38" s="189"/>
      <c r="F38" s="33"/>
      <c r="AR38" s="183" t="s">
        <v>782</v>
      </c>
      <c r="AT38" s="259" t="str">
        <f>CdTrp1!$A53</f>
        <v>Brebis laitières tardives</v>
      </c>
      <c r="AU38" s="32"/>
      <c r="AV38" s="170">
        <f>IF(CdTrp1!B53=1,3,IF(CdTrp1!B53=0.5,2,IF(CdTrp1!B53=0,1,0)))</f>
        <v>3</v>
      </c>
      <c r="AW38" s="170">
        <f>IF(CdTrp1!C53=1,3,IF(CdTrp1!C53=0.5,2,IF(CdTrp1!C53=0,1,0)))</f>
        <v>3</v>
      </c>
      <c r="AX38" s="170">
        <f>IF(CdTrp1!D53=1,3,IF(CdTrp1!D53=0.5,2,IF(CdTrp1!D53=0,1,0)))</f>
        <v>3</v>
      </c>
      <c r="AY38" s="170">
        <f>IF(CdTrp1!E53=1,3,IF(CdTrp1!E53=0.5,2,IF(CdTrp1!E53=0,1,0)))</f>
        <v>3</v>
      </c>
      <c r="AZ38" s="170">
        <f>IF(CdTrp1!F53=1,3,IF(CdTrp1!F53=0.5,2,IF(CdTrp1!F53=0,1,0)))</f>
        <v>3</v>
      </c>
      <c r="BA38" s="170">
        <f>IF(CdTrp1!G53=1,3,IF(CdTrp1!G53=0.5,2,IF(CdTrp1!G53=0,1,0)))</f>
        <v>3</v>
      </c>
      <c r="BB38" s="170">
        <f>IF(CdTrp1!H53=1,3,IF(CdTrp1!H53=0.5,2,IF(CdTrp1!H53=0,1,0)))</f>
        <v>3</v>
      </c>
      <c r="BC38" s="170">
        <f>IF(CdTrp1!I53=1,3,IF(CdTrp1!I53=0.5,2,IF(CdTrp1!I53=0,1,0)))</f>
        <v>3</v>
      </c>
      <c r="BD38" s="170">
        <f>IF(CdTrp1!J53=1,3,IF(CdTrp1!J53=0.5,2,IF(CdTrp1!J53=0,1,0)))</f>
        <v>3</v>
      </c>
      <c r="BE38" s="170">
        <f>IF(CdTrp1!K53=1,3,IF(CdTrp1!K53=0.5,2,IF(CdTrp1!K53=0,1,0)))</f>
        <v>0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0</v>
      </c>
      <c r="BR38" s="170">
        <f>IF(CdTrp1!X53=1,3,IF(CdTrp1!X53=0.5,2,IF(CdTrp1!X53=0,1,0)))</f>
        <v>3</v>
      </c>
      <c r="BS38" s="170">
        <f>IF(CdTrp1!Y53=1,3,IF(CdTrp1!Y53=0.5,2,IF(CdTrp1!Y53=0,1,0)))</f>
        <v>3</v>
      </c>
      <c r="BU38">
        <v>2</v>
      </c>
      <c r="BV38" t="s">
        <v>810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3</v>
      </c>
      <c r="CE38" s="170">
        <f>IF(CdTrp2!E53=1,3,IF(CdTrp2!E53=0.5,2,IF(CdTrp2!E53=0,1,0)))</f>
        <v>3</v>
      </c>
      <c r="CF38" s="170">
        <f>IF(CdTrp2!F53=1,3,IF(CdTrp2!F53=0.5,2,IF(CdTrp2!F53=0,1,0)))</f>
        <v>3</v>
      </c>
      <c r="CG38" s="170">
        <f>IF(CdTrp2!G53=1,3,IF(CdTrp2!G53=0.5,2,IF(CdTrp2!G53=0,1,0)))</f>
        <v>3</v>
      </c>
      <c r="CH38" s="170">
        <f>IF(CdTrp2!H53=1,3,IF(CdTrp2!H53=0.5,2,IF(CdTrp2!H53=0,1,0)))</f>
        <v>3</v>
      </c>
      <c r="CI38" s="170">
        <f>IF(CdTrp2!I53=1,3,IF(CdTrp2!I53=0.5,2,IF(CdTrp2!I53=0,1,0)))</f>
        <v>3</v>
      </c>
      <c r="CJ38" s="170">
        <f>IF(CdTrp2!J53=1,3,IF(CdTrp2!J53=0.5,2,IF(CdTrp2!J53=0,1,0)))</f>
        <v>3</v>
      </c>
      <c r="CK38" s="170">
        <f>IF(CdTrp2!K53=1,3,IF(CdTrp2!K53=0.5,2,IF(CdTrp2!K53=0,1,0)))</f>
        <v>3</v>
      </c>
      <c r="CL38" s="170">
        <f>IF(CdTrp2!L53=1,3,IF(CdTrp2!L53=0.5,2,IF(CdTrp2!L53=0,1,0)))</f>
        <v>3</v>
      </c>
      <c r="CM38" s="170">
        <f>IF(CdTrp2!M53=1,3,IF(CdTrp2!M53=0.5,2,IF(CdTrp2!M53=0,1,0)))</f>
        <v>3</v>
      </c>
      <c r="CN38" s="170">
        <f>IF(CdTrp2!N53=1,3,IF(CdTrp2!N53=0.5,2,IF(CdTrp2!N53=0,1,0)))</f>
        <v>3</v>
      </c>
      <c r="CO38" s="170">
        <f>IF(CdTrp2!O53=1,3,IF(CdTrp2!O53=0.5,2,IF(CdTrp2!O53=0,1,0)))</f>
        <v>3</v>
      </c>
      <c r="CP38" s="170">
        <f>IF(CdTrp2!P53=1,3,IF(CdTrp2!P53=0.5,2,IF(CdTrp2!P53=0,1,0)))</f>
        <v>3</v>
      </c>
      <c r="CQ38" s="170">
        <f>IF(CdTrp2!Q53=1,3,IF(CdTrp2!Q53=0.5,2,IF(CdTrp2!Q53=0,1,0)))</f>
        <v>3</v>
      </c>
      <c r="CR38" s="170">
        <f>IF(CdTrp2!R53=1,3,IF(CdTrp2!R53=0.5,2,IF(CdTrp2!R53=0,1,0)))</f>
        <v>3</v>
      </c>
      <c r="CS38" s="170">
        <f>IF(CdTrp2!S53=1,3,IF(CdTrp2!S53=0.5,2,IF(CdTrp2!S53=0,1,0)))</f>
        <v>3</v>
      </c>
      <c r="CT38" s="170">
        <f>IF(CdTrp2!T53=1,3,IF(CdTrp2!T53=0.5,2,IF(CdTrp2!T53=0,1,0)))</f>
        <v>3</v>
      </c>
      <c r="CU38" s="170">
        <f>IF(CdTrp2!U53=1,3,IF(CdTrp2!U53=0.5,2,IF(CdTrp2!U53=0,1,0)))</f>
        <v>3</v>
      </c>
      <c r="CV38" s="170">
        <f>IF(CdTrp2!V53=1,3,IF(CdTrp2!V53=0.5,2,IF(CdTrp2!V53=0,1,0)))</f>
        <v>3</v>
      </c>
      <c r="CW38" s="170">
        <f>IF(CdTrp2!W53=1,3,IF(CdTrp2!W53=0.5,2,IF(CdTrp2!W53=0,1,0)))</f>
        <v>3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574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782</v>
      </c>
      <c r="AT39" s="259" t="str">
        <f>CdTrp1!$A54</f>
        <v>Brebis vides</v>
      </c>
      <c r="AU39" s="32"/>
      <c r="AV39" s="170">
        <f>IF(CdTrp1!B54=1,3,IF(CdTrp1!B54=0.5,2,IF(CdTrp1!B54=0,1,0)))</f>
        <v>3</v>
      </c>
      <c r="AW39" s="170">
        <f>IF(CdTrp1!C54=1,3,IF(CdTrp1!C54=0.5,2,IF(CdTrp1!C54=0,1,0)))</f>
        <v>3</v>
      </c>
      <c r="AX39" s="170">
        <f>IF(CdTrp1!D54=1,3,IF(CdTrp1!D54=0.5,2,IF(CdTrp1!D54=0,1,0)))</f>
        <v>3</v>
      </c>
      <c r="AY39" s="170">
        <f>IF(CdTrp1!E54=1,3,IF(CdTrp1!E54=0.5,2,IF(CdTrp1!E54=0,1,0)))</f>
        <v>3</v>
      </c>
      <c r="AZ39" s="170">
        <f>IF(CdTrp1!F54=1,3,IF(CdTrp1!F54=0.5,2,IF(CdTrp1!F54=0,1,0)))</f>
        <v>3</v>
      </c>
      <c r="BA39" s="170">
        <f>IF(CdTrp1!G54=1,3,IF(CdTrp1!G54=0.5,2,IF(CdTrp1!G54=0,1,0)))</f>
        <v>3</v>
      </c>
      <c r="BB39" s="170">
        <f>IF(CdTrp1!H54=1,3,IF(CdTrp1!H54=0.5,2,IF(CdTrp1!H54=0,1,0)))</f>
        <v>3</v>
      </c>
      <c r="BC39" s="170">
        <f>IF(CdTrp1!I54=1,3,IF(CdTrp1!I54=0.5,2,IF(CdTrp1!I54=0,1,0)))</f>
        <v>3</v>
      </c>
      <c r="BD39" s="170">
        <f>IF(CdTrp1!J54=1,3,IF(CdTrp1!J54=0.5,2,IF(CdTrp1!J54=0,1,0)))</f>
        <v>3</v>
      </c>
      <c r="BE39" s="170">
        <f>IF(CdTrp1!K54=1,3,IF(CdTrp1!K54=0.5,2,IF(CdTrp1!K54=0,1,0)))</f>
        <v>3</v>
      </c>
      <c r="BF39" s="170">
        <f>IF(CdTrp1!L54=1,3,IF(CdTrp1!L54=0.5,2,IF(CdTrp1!L54=0,1,0)))</f>
        <v>0</v>
      </c>
      <c r="BG39" s="170">
        <f>IF(CdTrp1!M54=1,3,IF(CdTrp1!M54=0.5,2,IF(CdTrp1!M54=0,1,0)))</f>
        <v>0</v>
      </c>
      <c r="BH39" s="170">
        <f>IF(CdTrp1!N54=1,3,IF(CdTrp1!N54=0.5,2,IF(CdTrp1!N54=0,1,0)))</f>
        <v>0</v>
      </c>
      <c r="BI39" s="170">
        <f>IF(CdTrp1!O54=1,3,IF(CdTrp1!O54=0.5,2,IF(CdTrp1!O54=0,1,0)))</f>
        <v>0</v>
      </c>
      <c r="BJ39" s="170">
        <f>IF(CdTrp1!P54=1,3,IF(CdTrp1!P54=0.5,2,IF(CdTrp1!P54=0,1,0)))</f>
        <v>0</v>
      </c>
      <c r="BK39" s="170">
        <f>IF(CdTrp1!Q54=1,3,IF(CdTrp1!Q54=0.5,2,IF(CdTrp1!Q54=0,1,0)))</f>
        <v>0</v>
      </c>
      <c r="BL39" s="170">
        <f>IF(CdTrp1!R54=1,3,IF(CdTrp1!R54=0.5,2,IF(CdTrp1!R54=0,1,0)))</f>
        <v>0</v>
      </c>
      <c r="BM39" s="170">
        <f>IF(CdTrp1!S54=1,3,IF(CdTrp1!S54=0.5,2,IF(CdTrp1!S54=0,1,0)))</f>
        <v>0</v>
      </c>
      <c r="BN39" s="170">
        <f>IF(CdTrp1!T54=1,3,IF(CdTrp1!T54=0.5,2,IF(CdTrp1!T54=0,1,0)))</f>
        <v>0</v>
      </c>
      <c r="BO39" s="170">
        <f>IF(CdTrp1!U54=1,3,IF(CdTrp1!U54=0.5,2,IF(CdTrp1!U54=0,1,0)))</f>
        <v>0</v>
      </c>
      <c r="BP39" s="170">
        <f>IF(CdTrp1!V54=1,3,IF(CdTrp1!V54=0.5,2,IF(CdTrp1!V54=0,1,0)))</f>
        <v>0</v>
      </c>
      <c r="BQ39" s="170">
        <f>IF(CdTrp1!W54=1,3,IF(CdTrp1!W54=0.5,2,IF(CdTrp1!W54=0,1,0)))</f>
        <v>3</v>
      </c>
      <c r="BR39" s="170">
        <f>IF(CdTrp1!X54=1,3,IF(CdTrp1!X54=0.5,2,IF(CdTrp1!X54=0,1,0)))</f>
        <v>3</v>
      </c>
      <c r="BS39" s="170">
        <f>IF(CdTrp1!Y54=1,3,IF(CdTrp1!Y54=0.5,2,IF(CdTrp1!Y54=0,1,0)))</f>
        <v>3</v>
      </c>
      <c r="BU39">
        <v>1</v>
      </c>
      <c r="BV39" t="s">
        <v>811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782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3</v>
      </c>
      <c r="BE40" s="170">
        <f>IF(CdTrp1!K55=1,3,IF(CdTrp1!K55=0.5,2,IF(CdTrp1!K55=0,1,0)))</f>
        <v>3</v>
      </c>
      <c r="BF40" s="170">
        <f>IF(CdTrp1!L55=1,3,IF(CdTrp1!L55=0.5,2,IF(CdTrp1!L55=0,1,0)))</f>
        <v>3</v>
      </c>
      <c r="BG40" s="170">
        <f>IF(CdTrp1!M55=1,3,IF(CdTrp1!M55=0.5,2,IF(CdTrp1!M55=0,1,0)))</f>
        <v>3</v>
      </c>
      <c r="BH40" s="170">
        <f>IF(CdTrp1!N55=1,3,IF(CdTrp1!N55=0.5,2,IF(CdTrp1!N55=0,1,0)))</f>
        <v>3</v>
      </c>
      <c r="BI40" s="170">
        <f>IF(CdTrp1!O55=1,3,IF(CdTrp1!O55=0.5,2,IF(CdTrp1!O55=0,1,0)))</f>
        <v>3</v>
      </c>
      <c r="BJ40" s="170">
        <f>IF(CdTrp1!P55=1,3,IF(CdTrp1!P55=0.5,2,IF(CdTrp1!P55=0,1,0)))</f>
        <v>3</v>
      </c>
      <c r="BK40" s="170">
        <f>IF(CdTrp1!Q55=1,3,IF(CdTrp1!Q55=0.5,2,IF(CdTrp1!Q55=0,1,0)))</f>
        <v>3</v>
      </c>
      <c r="BL40" s="170">
        <f>IF(CdTrp1!R55=1,3,IF(CdTrp1!R55=0.5,2,IF(CdTrp1!R55=0,1,0)))</f>
        <v>3</v>
      </c>
      <c r="BM40" s="170">
        <f>IF(CdTrp1!S55=1,3,IF(CdTrp1!S55=0.5,2,IF(CdTrp1!S55=0,1,0)))</f>
        <v>3</v>
      </c>
      <c r="BN40" s="170">
        <f>IF(CdTrp1!T55=1,3,IF(CdTrp1!T55=0.5,2,IF(CdTrp1!T55=0,1,0)))</f>
        <v>3</v>
      </c>
      <c r="BO40" s="170">
        <f>IF(CdTrp1!U55=1,3,IF(CdTrp1!U55=0.5,2,IF(CdTrp1!U55=0,1,0)))</f>
        <v>3</v>
      </c>
      <c r="BP40" s="170">
        <f>IF(CdTrp1!V55=1,3,IF(CdTrp1!V55=0.5,2,IF(CdTrp1!V55=0,1,0)))</f>
        <v>3</v>
      </c>
      <c r="BQ40" s="170">
        <f>IF(CdTrp1!W55=1,3,IF(CdTrp1!W55=0.5,2,IF(CdTrp1!W55=0,1,0)))</f>
        <v>3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782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3</v>
      </c>
      <c r="BA41" s="170">
        <f>IF(CdTrp1!G56=1,3,IF(CdTrp1!G56=0.5,2,IF(CdTrp1!G56=0,1,0)))</f>
        <v>3</v>
      </c>
      <c r="BB41" s="170">
        <f>IF(CdTrp1!H56=1,3,IF(CdTrp1!H56=0.5,2,IF(CdTrp1!H56=0,1,0)))</f>
        <v>3</v>
      </c>
      <c r="BC41" s="170">
        <f>IF(CdTrp1!I56=1,3,IF(CdTrp1!I56=0.5,2,IF(CdTrp1!I56=0,1,0)))</f>
        <v>3</v>
      </c>
      <c r="BD41" s="170">
        <f>IF(CdTrp1!J56=1,3,IF(CdTrp1!J56=0.5,2,IF(CdTrp1!J56=0,1,0)))</f>
        <v>3</v>
      </c>
      <c r="BE41" s="170">
        <f>IF(CdTrp1!K56=1,3,IF(CdTrp1!K56=0.5,2,IF(CdTrp1!K56=0,1,0)))</f>
        <v>3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812</v>
      </c>
      <c r="B42" s="2"/>
      <c r="F42" s="33"/>
      <c r="AR42" s="183" t="s">
        <v>782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574</v>
      </c>
      <c r="AR43" s="183" t="s">
        <v>782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588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782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595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782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782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782</v>
      </c>
      <c r="AT47" s="2" t="s">
        <v>813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813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813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814</v>
      </c>
      <c r="AR48" s="183" t="s">
        <v>782</v>
      </c>
      <c r="AT48" s="184" t="str">
        <f>AT37</f>
        <v>Brebis laitières lot princ</v>
      </c>
      <c r="AU48" s="32"/>
      <c r="AV48" s="170">
        <f>IF(CdTrp1!B76=1,1,IF(CdTrp1!B76=2,2,IF(CdTrp1!B76=3,2,0)))</f>
        <v>0</v>
      </c>
      <c r="AW48" s="170">
        <f>IF(CdTrp1!C76=1,1,IF(CdTrp1!C76=2,2,IF(CdTrp1!C76=3,2,0)))</f>
        <v>0</v>
      </c>
      <c r="AX48" s="170">
        <f>IF(CdTrp1!D76=1,1,IF(CdTrp1!D76=2,2,IF(CdTrp1!D76=3,2,0)))</f>
        <v>0</v>
      </c>
      <c r="AY48" s="170">
        <f>IF(CdTrp1!E76=1,1,IF(CdTrp1!E76=2,2,IF(CdTrp1!E76=3,2,0)))</f>
        <v>0</v>
      </c>
      <c r="AZ48" s="170">
        <f>IF(CdTrp1!F76=1,1,IF(CdTrp1!F76=2,2,IF(CdTrp1!F76=3,2,0)))</f>
        <v>0</v>
      </c>
      <c r="BA48" s="170">
        <f>IF(CdTrp1!G76=1,1,IF(CdTrp1!G76=2,2,IF(CdTrp1!G76=3,2,0)))</f>
        <v>0</v>
      </c>
      <c r="BB48" s="170">
        <f>IF(CdTrp1!H76=1,1,IF(CdTrp1!H76=2,2,IF(CdTrp1!H76=3,2,0)))</f>
        <v>0</v>
      </c>
      <c r="BC48" s="170">
        <f>IF(CdTrp1!I76=1,1,IF(CdTrp1!I76=2,2,IF(CdTrp1!I76=3,2,0)))</f>
        <v>0</v>
      </c>
      <c r="BD48" s="170">
        <f>IF(CdTrp1!J76=1,1,IF(CdTrp1!J76=2,2,IF(CdTrp1!J76=3,2,0)))</f>
        <v>0</v>
      </c>
      <c r="BE48" s="170">
        <f>IF(CdTrp1!K76=1,1,IF(CdTrp1!K76=2,2,IF(CdTrp1!K76=3,2,0)))</f>
        <v>0</v>
      </c>
      <c r="BF48" s="170">
        <f>IF(CdTrp1!L76=1,1,IF(CdTrp1!L76=2,2,IF(CdTrp1!L76=3,2,0)))</f>
        <v>0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0</v>
      </c>
      <c r="BN48" s="170">
        <f>IF(CdTrp1!T76=1,1,IF(CdTrp1!T76=2,2,IF(CdTrp1!T76=3,2,0)))</f>
        <v>0</v>
      </c>
      <c r="BO48" s="170">
        <f>IF(CdTrp1!U76=1,1,IF(CdTrp1!U76=2,2,IF(CdTrp1!U76=3,2,0)))</f>
        <v>0</v>
      </c>
      <c r="BP48" s="170">
        <f>IF(CdTrp1!V76=1,1,IF(CdTrp1!V76=2,2,IF(CdTrp1!V76=3,2,0)))</f>
        <v>0</v>
      </c>
      <c r="BQ48" s="170">
        <f>IF(CdTrp1!W76=1,1,IF(CdTrp1!W76=2,2,IF(CdTrp1!W76=3,2,0)))</f>
        <v>0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0</v>
      </c>
      <c r="CF48" s="170">
        <f>IF(CdTrp2!F76=1,1,IF(CdTrp2!F76=2,2,IF(CdTrp2!F76=3,2,0)))</f>
        <v>0</v>
      </c>
      <c r="CG48" s="170">
        <f>IF(CdTrp2!G76=1,1,IF(CdTrp2!G76=2,2,IF(CdTrp2!G76=3,2,0)))</f>
        <v>0</v>
      </c>
      <c r="CH48" s="170">
        <f>IF(CdTrp2!H76=1,1,IF(CdTrp2!H76=2,2,IF(CdTrp2!H76=3,2,0)))</f>
        <v>0</v>
      </c>
      <c r="CI48" s="170">
        <f>IF(CdTrp2!I76=1,1,IF(CdTrp2!I76=2,2,IF(CdTrp2!I76=3,2,0)))</f>
        <v>0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0</v>
      </c>
      <c r="CU48" s="170">
        <f>IF(CdTrp2!U76=1,1,IF(CdTrp2!U76=2,2,IF(CdTrp2!U76=3,2,0)))</f>
        <v>0</v>
      </c>
      <c r="CV48" s="170">
        <f>IF(CdTrp2!V76=1,1,IF(CdTrp2!V76=2,2,IF(CdTrp2!V76=3,2,0)))</f>
        <v>0</v>
      </c>
      <c r="CW48" s="170">
        <f>IF(CdTrp2!W76=1,1,IF(CdTrp2!W76=2,2,IF(CdTrp2!W76=3,2,0)))</f>
        <v>0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815</v>
      </c>
      <c r="B49" s="168" t="s">
        <v>51</v>
      </c>
      <c r="C49" t="s">
        <v>816</v>
      </c>
      <c r="AR49" s="183" t="s">
        <v>782</v>
      </c>
      <c r="AT49" s="184" t="str">
        <f t="shared" ref="AT49:AT57" si="31">AT38</f>
        <v>Brebis laitières tardives</v>
      </c>
      <c r="AU49" s="32"/>
      <c r="AV49" s="170">
        <f>IF(CdTrp1!B77=1,1,IF(CdTrp1!B77=2,2,IF(CdTrp1!B77=3,2,0)))</f>
        <v>0</v>
      </c>
      <c r="AW49" s="170">
        <f>IF(CdTrp1!C77=1,1,IF(CdTrp1!C77=2,2,IF(CdTrp1!C77=3,2,0)))</f>
        <v>0</v>
      </c>
      <c r="AX49" s="170">
        <f>IF(CdTrp1!D77=1,1,IF(CdTrp1!D77=2,2,IF(CdTrp1!D77=3,2,0)))</f>
        <v>0</v>
      </c>
      <c r="AY49" s="170">
        <f>IF(CdTrp1!E77=1,1,IF(CdTrp1!E77=2,2,IF(CdTrp1!E77=3,2,0)))</f>
        <v>0</v>
      </c>
      <c r="AZ49" s="170">
        <f>IF(CdTrp1!F77=1,1,IF(CdTrp1!F77=2,2,IF(CdTrp1!F77=3,2,0)))</f>
        <v>0</v>
      </c>
      <c r="BA49" s="170">
        <f>IF(CdTrp1!G77=1,1,IF(CdTrp1!G77=2,2,IF(CdTrp1!G77=3,2,0)))</f>
        <v>0</v>
      </c>
      <c r="BB49" s="170">
        <f>IF(CdTrp1!H77=1,1,IF(CdTrp1!H77=2,2,IF(CdTrp1!H77=3,2,0)))</f>
        <v>0</v>
      </c>
      <c r="BC49" s="170">
        <f>IF(CdTrp1!I77=1,1,IF(CdTrp1!I77=2,2,IF(CdTrp1!I77=3,2,0)))</f>
        <v>0</v>
      </c>
      <c r="BD49" s="170">
        <f>IF(CdTrp1!J77=1,1,IF(CdTrp1!J77=2,2,IF(CdTrp1!J77=3,2,0)))</f>
        <v>0</v>
      </c>
      <c r="BE49" s="170">
        <f>IF(CdTrp1!K77=1,1,IF(CdTrp1!K77=2,2,IF(CdTrp1!K77=3,2,0)))</f>
        <v>0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0</v>
      </c>
      <c r="BR49" s="170">
        <f>IF(CdTrp1!X77=1,1,IF(CdTrp1!X77=2,2,IF(CdTrp1!X77=3,2,0)))</f>
        <v>0</v>
      </c>
      <c r="BS49" s="170">
        <f>IF(CdTrp1!Y77=1,1,IF(CdTrp1!Y77=2,2,IF(CdTrp1!Y77=3,2,0)))</f>
        <v>0</v>
      </c>
      <c r="BU49">
        <v>2</v>
      </c>
      <c r="BV49" t="s">
        <v>817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0</v>
      </c>
      <c r="CE49" s="170">
        <f>IF(CdTrp2!E77=1,1,IF(CdTrp2!E77=2,2,IF(CdTrp2!E77=3,2,0)))</f>
        <v>0</v>
      </c>
      <c r="CF49" s="170">
        <f>IF(CdTrp2!F77=1,1,IF(CdTrp2!F77=2,2,IF(CdTrp2!F77=3,2,0)))</f>
        <v>0</v>
      </c>
      <c r="CG49" s="170">
        <f>IF(CdTrp2!G77=1,1,IF(CdTrp2!G77=2,2,IF(CdTrp2!G77=3,2,0)))</f>
        <v>0</v>
      </c>
      <c r="CH49" s="170">
        <f>IF(CdTrp2!H77=1,1,IF(CdTrp2!H77=2,2,IF(CdTrp2!H77=3,2,0)))</f>
        <v>0</v>
      </c>
      <c r="CI49" s="170">
        <f>IF(CdTrp2!I77=1,1,IF(CdTrp2!I77=2,2,IF(CdTrp2!I77=3,2,0)))</f>
        <v>0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0</v>
      </c>
      <c r="CU49" s="170">
        <f>IF(CdTrp2!U77=1,1,IF(CdTrp2!U77=2,2,IF(CdTrp2!U77=3,2,0)))</f>
        <v>0</v>
      </c>
      <c r="CV49" s="170">
        <f>IF(CdTrp2!V77=1,1,IF(CdTrp2!V77=2,2,IF(CdTrp2!V77=3,2,0)))</f>
        <v>0</v>
      </c>
      <c r="CW49" s="170">
        <f>IF(CdTrp2!W77=1,1,IF(CdTrp2!W77=2,2,IF(CdTrp2!W77=3,2,0)))</f>
        <v>0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818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782</v>
      </c>
      <c r="AT50" s="184" t="str">
        <f t="shared" si="31"/>
        <v>Brebis vides</v>
      </c>
      <c r="AU50" s="32"/>
      <c r="AV50" s="170">
        <f>IF(CdTrp1!B78=1,1,IF(CdTrp1!B78=2,2,IF(CdTrp1!B78=3,2,0)))</f>
        <v>0</v>
      </c>
      <c r="AW50" s="170">
        <f>IF(CdTrp1!C78=1,1,IF(CdTrp1!C78=2,2,IF(CdTrp1!C78=3,2,0)))</f>
        <v>0</v>
      </c>
      <c r="AX50" s="170">
        <f>IF(CdTrp1!D78=1,1,IF(CdTrp1!D78=2,2,IF(CdTrp1!D78=3,2,0)))</f>
        <v>0</v>
      </c>
      <c r="AY50" s="170">
        <f>IF(CdTrp1!E78=1,1,IF(CdTrp1!E78=2,2,IF(CdTrp1!E78=3,2,0)))</f>
        <v>0</v>
      </c>
      <c r="AZ50" s="170">
        <f>IF(CdTrp1!F78=1,1,IF(CdTrp1!F78=2,2,IF(CdTrp1!F78=3,2,0)))</f>
        <v>0</v>
      </c>
      <c r="BA50" s="170">
        <f>IF(CdTrp1!G78=1,1,IF(CdTrp1!G78=2,2,IF(CdTrp1!G78=3,2,0)))</f>
        <v>0</v>
      </c>
      <c r="BB50" s="170">
        <f>IF(CdTrp1!H78=1,1,IF(CdTrp1!H78=2,2,IF(CdTrp1!H78=3,2,0)))</f>
        <v>0</v>
      </c>
      <c r="BC50" s="170">
        <f>IF(CdTrp1!I78=1,1,IF(CdTrp1!I78=2,2,IF(CdTrp1!I78=3,2,0)))</f>
        <v>0</v>
      </c>
      <c r="BD50" s="170">
        <f>IF(CdTrp1!J78=1,1,IF(CdTrp1!J78=2,2,IF(CdTrp1!J78=3,2,0)))</f>
        <v>0</v>
      </c>
      <c r="BE50" s="170">
        <f>IF(CdTrp1!K78=1,1,IF(CdTrp1!K78=2,2,IF(CdTrp1!K78=3,2,0)))</f>
        <v>0</v>
      </c>
      <c r="BF50" s="170">
        <f>IF(CdTrp1!L78=1,1,IF(CdTrp1!L78=2,2,IF(CdTrp1!L78=3,2,0)))</f>
        <v>0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0</v>
      </c>
      <c r="BR50" s="170">
        <f>IF(CdTrp1!X78=1,1,IF(CdTrp1!X78=2,2,IF(CdTrp1!X78=3,2,0)))</f>
        <v>0</v>
      </c>
      <c r="BS50" s="170">
        <f>IF(CdTrp1!Y78=1,1,IF(CdTrp1!Y78=2,2,IF(CdTrp1!Y78=3,2,0)))</f>
        <v>0</v>
      </c>
      <c r="BU50" s="191">
        <v>4</v>
      </c>
      <c r="BV50" t="s">
        <v>819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820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782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0</v>
      </c>
      <c r="BE51" s="170">
        <f>IF(CdTrp1!K79=1,1,IF(CdTrp1!K79=2,2,IF(CdTrp1!K79=3,2,0)))</f>
        <v>0</v>
      </c>
      <c r="BF51" s="170">
        <f>IF(CdTrp1!L79=1,1,IF(CdTrp1!L79=2,2,IF(CdTrp1!L79=3,2,0)))</f>
        <v>0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0</v>
      </c>
      <c r="BN51" s="170">
        <f>IF(CdTrp1!T79=1,1,IF(CdTrp1!T79=2,2,IF(CdTrp1!T79=3,2,0)))</f>
        <v>0</v>
      </c>
      <c r="BO51" s="170">
        <f>IF(CdTrp1!U79=1,1,IF(CdTrp1!U79=2,2,IF(CdTrp1!U79=3,2,0)))</f>
        <v>0</v>
      </c>
      <c r="BP51" s="170">
        <f>IF(CdTrp1!V79=1,1,IF(CdTrp1!V79=2,2,IF(CdTrp1!V79=3,2,0)))</f>
        <v>0</v>
      </c>
      <c r="BQ51" s="170">
        <f>IF(CdTrp1!W79=1,1,IF(CdTrp1!W79=2,2,IF(CdTrp1!W79=3,2,0)))</f>
        <v>0</v>
      </c>
      <c r="BR51" s="170">
        <f>IF(CdTrp1!X79=1,1,IF(CdTrp1!X79=2,2,IF(CdTrp1!X79=3,2,0)))</f>
        <v>0</v>
      </c>
      <c r="BS51" s="170">
        <f>IF(CdTrp1!Y79=1,1,IF(CdTrp1!Y79=2,2,IF(CdTrp1!Y79=3,2,0)))</f>
        <v>0</v>
      </c>
      <c r="BU51">
        <v>0</v>
      </c>
      <c r="BV51" t="s">
        <v>821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822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782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0</v>
      </c>
      <c r="BA52" s="170">
        <f>IF(CdTrp1!G80=1,1,IF(CdTrp1!G80=2,2,IF(CdTrp1!G80=3,2,0)))</f>
        <v>0</v>
      </c>
      <c r="BB52" s="170">
        <f>IF(CdTrp1!H80=1,1,IF(CdTrp1!H80=2,2,IF(CdTrp1!H80=3,2,0)))</f>
        <v>0</v>
      </c>
      <c r="BC52" s="170">
        <f>IF(CdTrp1!I80=1,1,IF(CdTrp1!I80=2,2,IF(CdTrp1!I80=3,2,0)))</f>
        <v>0</v>
      </c>
      <c r="BD52" s="170">
        <f>IF(CdTrp1!J80=1,1,IF(CdTrp1!J80=2,2,IF(CdTrp1!J80=3,2,0)))</f>
        <v>0</v>
      </c>
      <c r="BE52" s="170">
        <f>IF(CdTrp1!K80=1,1,IF(CdTrp1!K80=2,2,IF(CdTrp1!K80=3,2,0)))</f>
        <v>0</v>
      </c>
      <c r="BF52" s="170">
        <f>IF(CdTrp1!L80=1,1,IF(CdTrp1!L80=2,2,IF(CdTrp1!L80=3,2,0)))</f>
        <v>0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823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782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824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782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825</v>
      </c>
      <c r="B55" s="170">
        <f>Scénario!M28*(1-Scénario!K31/100)</f>
        <v>22.8</v>
      </c>
      <c r="C55" s="185">
        <f>IF(B55&gt;[1]Trav!E121,[1]Trav!C121,[1]Trav!B121)</f>
        <v>7.2</v>
      </c>
      <c r="D55"/>
      <c r="E55" s="169"/>
      <c r="F55" s="170">
        <f t="shared" si="32"/>
        <v>164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782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826</v>
      </c>
      <c r="B56" s="170">
        <f>Scénario!M29</f>
        <v>28.5</v>
      </c>
      <c r="C56" s="185">
        <f>IF(B56&gt;[1]Trav!E121,[1]Trav!C121,[1]Trav!B121)</f>
        <v>7.2</v>
      </c>
      <c r="D56"/>
      <c r="E56" s="169"/>
      <c r="F56" s="170">
        <f t="shared" si="32"/>
        <v>205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782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827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782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828</v>
      </c>
      <c r="B58" s="174">
        <f>Scénario!M28-Travail!B55</f>
        <v>5.6999999999999993</v>
      </c>
      <c r="C58" s="185">
        <f>IF(B58&gt;[1]Trav!E122,[1]Trav!C122,[1]Trav!B122)</f>
        <v>4.4000000000000004</v>
      </c>
      <c r="E58" s="169"/>
      <c r="F58" s="170">
        <f t="shared" si="32"/>
        <v>25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782</v>
      </c>
      <c r="AT58" s="40" t="s">
        <v>829</v>
      </c>
      <c r="AU58" s="14"/>
      <c r="BZ58" s="40" t="s">
        <v>829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829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830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782</v>
      </c>
      <c r="AT59" s="14" t="s">
        <v>831</v>
      </c>
      <c r="AU59" s="30">
        <f>VALUE(CONCATENATE(Scénario!K8,Travail!AU2))</f>
        <v>21</v>
      </c>
      <c r="BZ59" s="14" t="s">
        <v>831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831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832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782</v>
      </c>
      <c r="AT60" s="184" t="str">
        <f>+AT48</f>
        <v>Brebis laitières lot princ</v>
      </c>
      <c r="AV60" s="170">
        <f>IF(AV15=0,0,IF(AV37=3,0,VALUE(CONCATENATE(Travail!AV26,Travail!AV37,Travail!AV48))))</f>
        <v>0</v>
      </c>
      <c r="AW60" s="170">
        <f>IF(AW15=0,0,IF(AW37=3,0,VALUE(CONCATENATE(Travail!AW26,Travail!AW37,Travail!AW48))))</f>
        <v>0</v>
      </c>
      <c r="AX60" s="170">
        <f>IF(AX15=0,0,IF(AX37=3,0,VALUE(CONCATENATE(Travail!AX26,Travail!AX37,Travail!AX48))))</f>
        <v>0</v>
      </c>
      <c r="AY60" s="170">
        <f>IF(AY15=0,0,IF(AY37=3,0,VALUE(CONCATENATE(Travail!AY26,Travail!AY37,Travail!AY48))))</f>
        <v>0</v>
      </c>
      <c r="AZ60" s="170">
        <f>IF(AZ15=0,0,IF(AZ37=3,0,VALUE(CONCATENATE(Travail!AZ26,Travail!AZ37,Travail!AZ48))))</f>
        <v>0</v>
      </c>
      <c r="BA60" s="170">
        <f>IF(BA15=0,0,IF(BA37=3,0,VALUE(CONCATENATE(Travail!BA26,Travail!BA37,Travail!BA48))))</f>
        <v>0</v>
      </c>
      <c r="BB60" s="170">
        <f>IF(BB15=0,0,IF(BB37=3,0,VALUE(CONCATENATE(Travail!BB26,Travail!BB37,Travail!BB48))))</f>
        <v>0</v>
      </c>
      <c r="BC60" s="170">
        <f>IF(BC15=0,0,IF(BC37=3,0,VALUE(CONCATENATE(Travail!BC26,Travail!BC37,Travail!BC48))))</f>
        <v>0</v>
      </c>
      <c r="BD60" s="170">
        <f>IF(BD15=0,0,IF(BD37=3,0,VALUE(CONCATENATE(Travail!BD26,Travail!BD37,Travail!BD48))))</f>
        <v>0</v>
      </c>
      <c r="BE60" s="170">
        <f>IF(BE15=0,0,IF(BE37=3,0,VALUE(CONCATENATE(Travail!BE26,Travail!BE37,Travail!BE48))))</f>
        <v>0</v>
      </c>
      <c r="BF60" s="170">
        <f>IF(BF15=0,0,IF(BF37=3,0,VALUE(CONCATENATE(Travail!BF26,Travail!BF37,Travail!BF48))))</f>
        <v>0</v>
      </c>
      <c r="BG60" s="170">
        <f>IF(BG15=0,0,IF(BG37=3,0,VALUE(CONCATENATE(Travail!BG26,Travail!BG37,Travail!BG48))))</f>
        <v>0</v>
      </c>
      <c r="BH60" s="170">
        <f>IF(BH15=0,0,IF(BH37=3,0,VALUE(CONCATENATE(Travail!BH26,Travail!BH37,Travail!BH48))))</f>
        <v>0</v>
      </c>
      <c r="BI60" s="170">
        <f>IF(BI15=0,0,IF(BI37=3,0,VALUE(CONCATENATE(Travail!BI26,Travail!BI37,Travail!BI48))))</f>
        <v>0</v>
      </c>
      <c r="BJ60" s="170">
        <f>IF(BJ15=0,0,IF(BJ37=3,0,VALUE(CONCATENATE(Travail!BJ26,Travail!BJ37,Travail!BJ48))))</f>
        <v>0</v>
      </c>
      <c r="BK60" s="170">
        <f>IF(BK15=0,0,IF(BK37=3,0,VALUE(CONCATENATE(Travail!BK26,Travail!BK37,Travail!BK48))))</f>
        <v>0</v>
      </c>
      <c r="BL60" s="170">
        <f>IF(BL15=0,0,IF(BL37=3,0,VALUE(CONCATENATE(Travail!BL26,Travail!BL37,Travail!BL48))))</f>
        <v>0</v>
      </c>
      <c r="BM60" s="170">
        <f>IF(BM15=0,0,IF(BM37=3,0,VALUE(CONCATENATE(Travail!BM26,Travail!BM37,Travail!BM48))))</f>
        <v>0</v>
      </c>
      <c r="BN60" s="170">
        <f>IF(BN15=0,0,IF(BN37=3,0,VALUE(CONCATENATE(Travail!BN26,Travail!BN37,Travail!BN48))))</f>
        <v>0</v>
      </c>
      <c r="BO60" s="170">
        <f>IF(BO15=0,0,IF(BO37=3,0,VALUE(CONCATENATE(Travail!BO26,Travail!BO37,Travail!BO48))))</f>
        <v>0</v>
      </c>
      <c r="BP60" s="170">
        <f>IF(BP15=0,0,IF(BP37=3,0,VALUE(CONCATENATE(Travail!BP26,Travail!BP37,Travail!BP48))))</f>
        <v>0</v>
      </c>
      <c r="BQ60" s="170">
        <f>IF(BQ15=0,0,IF(BQ37=3,0,VALUE(CONCATENATE(Travail!BQ26,Travail!BQ37,Travail!BQ48))))</f>
        <v>0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833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0</v>
      </c>
      <c r="CF60" s="170">
        <f>IF(CF15=0,0,IF(CF37=3,0,VALUE(CONCATENATE(Travail!CF26,Travail!CF37,Travail!CF48))))</f>
        <v>0</v>
      </c>
      <c r="CG60" s="170">
        <f>IF(CG15=0,0,IF(CG37=3,0,VALUE(CONCATENATE(Travail!CG26,Travail!CG37,Travail!CG48))))</f>
        <v>0</v>
      </c>
      <c r="CH60" s="170">
        <f>IF(CH15=0,0,IF(CH37=3,0,VALUE(CONCATENATE(Travail!CH26,Travail!CH37,Travail!CH48))))</f>
        <v>0</v>
      </c>
      <c r="CI60" s="170">
        <f>IF(CI15=0,0,IF(CI37=3,0,VALUE(CONCATENATE(Travail!CI26,Travail!CI37,Travail!CI48))))</f>
        <v>0</v>
      </c>
      <c r="CJ60" s="170">
        <f>IF(CJ15=0,0,IF(CJ37=3,0,VALUE(CONCATENATE(Travail!CJ26,Travail!CJ37,Travail!CJ48))))</f>
        <v>0</v>
      </c>
      <c r="CK60" s="170">
        <f>IF(CK15=0,0,IF(CK37=3,0,VALUE(CONCATENATE(Travail!CK26,Travail!CK37,Travail!CK48))))</f>
        <v>0</v>
      </c>
      <c r="CL60" s="170">
        <f>IF(CL15=0,0,IF(CL37=3,0,VALUE(CONCATENATE(Travail!CL26,Travail!CL37,Travail!CL48))))</f>
        <v>0</v>
      </c>
      <c r="CM60" s="170">
        <f>IF(CM15=0,0,IF(CM37=3,0,VALUE(CONCATENATE(Travail!CM26,Travail!CM37,Travail!CM48))))</f>
        <v>0</v>
      </c>
      <c r="CN60" s="170">
        <f>IF(CN15=0,0,IF(CN37=3,0,VALUE(CONCATENATE(Travail!CN26,Travail!CN37,Travail!CN48))))</f>
        <v>0</v>
      </c>
      <c r="CO60" s="170">
        <f>IF(CO15=0,0,IF(CO37=3,0,VALUE(CONCATENATE(Travail!CO26,Travail!CO37,Travail!CO48))))</f>
        <v>0</v>
      </c>
      <c r="CP60" s="170">
        <f>IF(CP15=0,0,IF(CP37=3,0,VALUE(CONCATENATE(Travail!CP26,Travail!CP37,Travail!CP48))))</f>
        <v>0</v>
      </c>
      <c r="CQ60" s="170">
        <f>IF(CQ15=0,0,IF(CQ37=3,0,VALUE(CONCATENATE(Travail!CQ26,Travail!CQ37,Travail!CQ48))))</f>
        <v>0</v>
      </c>
      <c r="CR60" s="170">
        <f>IF(CR15=0,0,IF(CR37=3,0,VALUE(CONCATENATE(Travail!CR26,Travail!CR37,Travail!CR48))))</f>
        <v>0</v>
      </c>
      <c r="CS60" s="170">
        <f>IF(CS15=0,0,IF(CS37=3,0,VALUE(CONCATENATE(Travail!CS26,Travail!CS37,Travail!CS48))))</f>
        <v>0</v>
      </c>
      <c r="CT60" s="170">
        <f>IF(CT15=0,0,IF(CT37=3,0,VALUE(CONCATENATE(Travail!CT26,Travail!CT37,Travail!CT48))))</f>
        <v>0</v>
      </c>
      <c r="CU60" s="170">
        <f>IF(CU15=0,0,IF(CU37=3,0,VALUE(CONCATENATE(Travail!CU26,Travail!CU37,Travail!CU48))))</f>
        <v>0</v>
      </c>
      <c r="CV60" s="170">
        <f>IF(CV15=0,0,IF(CV37=3,0,VALUE(CONCATENATE(Travail!CV26,Travail!CV37,Travail!CV48))))</f>
        <v>0</v>
      </c>
      <c r="CW60" s="170">
        <f>IF(CW15=0,0,IF(CW37=3,0,VALUE(CONCATENATE(Travail!CW26,Travail!CW37,Travail!CW48))))</f>
        <v>0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834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782</v>
      </c>
      <c r="AT61" s="184" t="str">
        <f>+AT49</f>
        <v>Brebis laitières tardives</v>
      </c>
      <c r="AV61" s="170">
        <f>IF(AV16=0,0,IF(AV38=3,0,VALUE(CONCATENATE(Travail!AV27,Travail!AV38,Travail!AV49))))</f>
        <v>0</v>
      </c>
      <c r="AW61" s="170">
        <f>IF(AW16=0,0,IF(AW38=3,0,VALUE(CONCATENATE(Travail!AW27,Travail!AW38,Travail!AW49))))</f>
        <v>0</v>
      </c>
      <c r="AX61" s="170">
        <f>IF(AX16=0,0,IF(AX38=3,0,VALUE(CONCATENATE(Travail!AX27,Travail!AX38,Travail!AX49))))</f>
        <v>0</v>
      </c>
      <c r="AY61" s="170">
        <f>IF(AY16=0,0,IF(AY38=3,0,VALUE(CONCATENATE(Travail!AY27,Travail!AY38,Travail!AY49))))</f>
        <v>0</v>
      </c>
      <c r="AZ61" s="170">
        <f>IF(AZ16=0,0,IF(AZ38=3,0,VALUE(CONCATENATE(Travail!AZ27,Travail!AZ38,Travail!AZ49))))</f>
        <v>0</v>
      </c>
      <c r="BA61" s="170">
        <f>IF(BA16=0,0,IF(BA38=3,0,VALUE(CONCATENATE(Travail!BA27,Travail!BA38,Travail!BA49))))</f>
        <v>0</v>
      </c>
      <c r="BB61" s="170">
        <f>IF(BB16=0,0,IF(BB38=3,0,VALUE(CONCATENATE(Travail!BB27,Travail!BB38,Travail!BB49))))</f>
        <v>0</v>
      </c>
      <c r="BC61" s="170">
        <f>IF(BC16=0,0,IF(BC38=3,0,VALUE(CONCATENATE(Travail!BC27,Travail!BC38,Travail!BC49))))</f>
        <v>0</v>
      </c>
      <c r="BD61" s="170">
        <f>IF(BD16=0,0,IF(BD38=3,0,VALUE(CONCATENATE(Travail!BD27,Travail!BD38,Travail!BD49))))</f>
        <v>0</v>
      </c>
      <c r="BE61" s="170">
        <f>IF(BE16=0,0,IF(BE38=3,0,VALUE(CONCATENATE(Travail!BE27,Travail!BE38,Travail!BE49))))</f>
        <v>0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0</v>
      </c>
      <c r="BS61" s="170">
        <f>IF(BS16=0,0,IF(BS38=3,0,VALUE(CONCATENATE(Travail!BS27,Travail!BS38,Travail!BS49))))</f>
        <v>0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0</v>
      </c>
      <c r="CE61" s="170">
        <f>IF(CE16=0,0,IF(CE38=3,0,VALUE(CONCATENATE(Travail!CE27,Travail!CE38,Travail!CE49))))</f>
        <v>0</v>
      </c>
      <c r="CF61" s="170">
        <f>IF(CF16=0,0,IF(CF38=3,0,VALUE(CONCATENATE(Travail!CF27,Travail!CF38,Travail!CF49))))</f>
        <v>0</v>
      </c>
      <c r="CG61" s="170">
        <f>IF(CG16=0,0,IF(CG38=3,0,VALUE(CONCATENATE(Travail!CG27,Travail!CG38,Travail!CG49))))</f>
        <v>0</v>
      </c>
      <c r="CH61" s="170">
        <f>IF(CH16=0,0,IF(CH38=3,0,VALUE(CONCATENATE(Travail!CH27,Travail!CH38,Travail!CH49))))</f>
        <v>0</v>
      </c>
      <c r="CI61" s="170">
        <f>IF(CI16=0,0,IF(CI38=3,0,VALUE(CONCATENATE(Travail!CI27,Travail!CI38,Travail!CI49))))</f>
        <v>0</v>
      </c>
      <c r="CJ61" s="170">
        <f>IF(CJ16=0,0,IF(CJ38=3,0,VALUE(CONCATENATE(Travail!CJ27,Travail!CJ38,Travail!CJ49))))</f>
        <v>0</v>
      </c>
      <c r="CK61" s="170">
        <f>IF(CK16=0,0,IF(CK38=3,0,VALUE(CONCATENATE(Travail!CK27,Travail!CK38,Travail!CK49))))</f>
        <v>0</v>
      </c>
      <c r="CL61" s="170">
        <f>IF(CL16=0,0,IF(CL38=3,0,VALUE(CONCATENATE(Travail!CL27,Travail!CL38,Travail!CL49))))</f>
        <v>0</v>
      </c>
      <c r="CM61" s="170">
        <f>IF(CM16=0,0,IF(CM38=3,0,VALUE(CONCATENATE(Travail!CM27,Travail!CM38,Travail!CM49))))</f>
        <v>0</v>
      </c>
      <c r="CN61" s="170">
        <f>IF(CN16=0,0,IF(CN38=3,0,VALUE(CONCATENATE(Travail!CN27,Travail!CN38,Travail!CN49))))</f>
        <v>0</v>
      </c>
      <c r="CO61" s="170">
        <f>IF(CO16=0,0,IF(CO38=3,0,VALUE(CONCATENATE(Travail!CO27,Travail!CO38,Travail!CO49))))</f>
        <v>0</v>
      </c>
      <c r="CP61" s="170">
        <f>IF(CP16=0,0,IF(CP38=3,0,VALUE(CONCATENATE(Travail!CP27,Travail!CP38,Travail!CP49))))</f>
        <v>0</v>
      </c>
      <c r="CQ61" s="170">
        <f>IF(CQ16=0,0,IF(CQ38=3,0,VALUE(CONCATENATE(Travail!CQ27,Travail!CQ38,Travail!CQ49))))</f>
        <v>0</v>
      </c>
      <c r="CR61" s="170">
        <f>IF(CR16=0,0,IF(CR38=3,0,VALUE(CONCATENATE(Travail!CR27,Travail!CR38,Travail!CR49))))</f>
        <v>0</v>
      </c>
      <c r="CS61" s="170">
        <f>IF(CS16=0,0,IF(CS38=3,0,VALUE(CONCATENATE(Travail!CS27,Travail!CS38,Travail!CS49))))</f>
        <v>0</v>
      </c>
      <c r="CT61" s="170">
        <f>IF(CT16=0,0,IF(CT38=3,0,VALUE(CONCATENATE(Travail!CT27,Travail!CT38,Travail!CT49))))</f>
        <v>0</v>
      </c>
      <c r="CU61" s="170">
        <f>IF(CU16=0,0,IF(CU38=3,0,VALUE(CONCATENATE(Travail!CU27,Travail!CU38,Travail!CU49))))</f>
        <v>0</v>
      </c>
      <c r="CV61" s="170">
        <f>IF(CV16=0,0,IF(CV38=3,0,VALUE(CONCATENATE(Travail!CV27,Travail!CV38,Travail!CV49))))</f>
        <v>0</v>
      </c>
      <c r="CW61" s="170">
        <f>IF(CW16=0,0,IF(CW38=3,0,VALUE(CONCATENATE(Travail!CW27,Travail!CW38,Travail!CW49))))</f>
        <v>0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835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782</v>
      </c>
      <c r="AS62" s="17"/>
      <c r="AT62" s="184" t="str">
        <f>+AT50</f>
        <v>Brebis vides</v>
      </c>
      <c r="AV62" s="170">
        <f>IF(AV17=0,0,IF(AV39=3,0,VALUE(CONCATENATE(Travail!AV28,Travail!AV39,Travail!AV50))))</f>
        <v>0</v>
      </c>
      <c r="AW62" s="170">
        <f>IF(AW17=0,0,IF(AW39=3,0,VALUE(CONCATENATE(Travail!AW28,Travail!AW39,Travail!AW50))))</f>
        <v>0</v>
      </c>
      <c r="AX62" s="170">
        <f>IF(AX17=0,0,IF(AX39=3,0,VALUE(CONCATENATE(Travail!AX28,Travail!AX39,Travail!AX50))))</f>
        <v>0</v>
      </c>
      <c r="AY62" s="170">
        <f>IF(AY17=0,0,IF(AY39=3,0,VALUE(CONCATENATE(Travail!AY28,Travail!AY39,Travail!AY50))))</f>
        <v>0</v>
      </c>
      <c r="AZ62" s="170">
        <f>IF(AZ17=0,0,IF(AZ39=3,0,VALUE(CONCATENATE(Travail!AZ28,Travail!AZ39,Travail!AZ50))))</f>
        <v>0</v>
      </c>
      <c r="BA62" s="170">
        <f>IF(BA17=0,0,IF(BA39=3,0,VALUE(CONCATENATE(Travail!BA28,Travail!BA39,Travail!BA50))))</f>
        <v>0</v>
      </c>
      <c r="BB62" s="170">
        <f>IF(BB17=0,0,IF(BB39=3,0,VALUE(CONCATENATE(Travail!BB28,Travail!BB39,Travail!BB50))))</f>
        <v>0</v>
      </c>
      <c r="BC62" s="170">
        <f>IF(BC17=0,0,IF(BC39=3,0,VALUE(CONCATENATE(Travail!BC28,Travail!BC39,Travail!BC50))))</f>
        <v>0</v>
      </c>
      <c r="BD62" s="170">
        <f>IF(BD17=0,0,IF(BD39=3,0,VALUE(CONCATENATE(Travail!BD28,Travail!BD39,Travail!BD50))))</f>
        <v>0</v>
      </c>
      <c r="BE62" s="170">
        <f>IF(BE17=0,0,IF(BE39=3,0,VALUE(CONCATENATE(Travail!BE28,Travail!BE39,Travail!BE50))))</f>
        <v>0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0</v>
      </c>
      <c r="BR62" s="170">
        <f>IF(BR17=0,0,IF(BR39=3,0,VALUE(CONCATENATE(Travail!BR28,Travail!BR39,Travail!BR50))))</f>
        <v>0</v>
      </c>
      <c r="BS62" s="170">
        <f>IF(BS17=0,0,IF(BS39=3,0,VALUE(CONCATENATE(Travail!BS28,Travail!BS39,Travail!BS50))))</f>
        <v>0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836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782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0</v>
      </c>
      <c r="BE63" s="170">
        <f>IF(BE18=0,0,IF(BE40=3,0,VALUE(CONCATENATE(Travail!BE29,Travail!BE40,Travail!BE51))))</f>
        <v>0</v>
      </c>
      <c r="BF63" s="170">
        <f>IF(BF18=0,0,IF(BF40=3,0,VALUE(CONCATENATE(Travail!BF29,Travail!BF40,Travail!BF51))))</f>
        <v>0</v>
      </c>
      <c r="BG63" s="170">
        <f>IF(BG18=0,0,IF(BG40=3,0,VALUE(CONCATENATE(Travail!BG29,Travail!BG40,Travail!BG51))))</f>
        <v>0</v>
      </c>
      <c r="BH63" s="170">
        <f>IF(BH18=0,0,IF(BH40=3,0,VALUE(CONCATENATE(Travail!BH29,Travail!BH40,Travail!BH51))))</f>
        <v>0</v>
      </c>
      <c r="BI63" s="170">
        <f>IF(BI18=0,0,IF(BI40=3,0,VALUE(CONCATENATE(Travail!BI29,Travail!BI40,Travail!BI51))))</f>
        <v>0</v>
      </c>
      <c r="BJ63" s="170">
        <f>IF(BJ18=0,0,IF(BJ40=3,0,VALUE(CONCATENATE(Travail!BJ29,Travail!BJ40,Travail!BJ51))))</f>
        <v>0</v>
      </c>
      <c r="BK63" s="170">
        <f>IF(BK18=0,0,IF(BK40=3,0,VALUE(CONCATENATE(Travail!BK29,Travail!BK40,Travail!BK51))))</f>
        <v>0</v>
      </c>
      <c r="BL63" s="170">
        <f>IF(BL18=0,0,IF(BL40=3,0,VALUE(CONCATENATE(Travail!BL29,Travail!BL40,Travail!BL51))))</f>
        <v>0</v>
      </c>
      <c r="BM63" s="170">
        <f>IF(BM18=0,0,IF(BM40=3,0,VALUE(CONCATENATE(Travail!BM29,Travail!BM40,Travail!BM51))))</f>
        <v>0</v>
      </c>
      <c r="BN63" s="170">
        <f>IF(BN18=0,0,IF(BN40=3,0,VALUE(CONCATENATE(Travail!BN29,Travail!BN40,Travail!BN51))))</f>
        <v>0</v>
      </c>
      <c r="BO63" s="170">
        <f>IF(BO18=0,0,IF(BO40=3,0,VALUE(CONCATENATE(Travail!BO29,Travail!BO40,Travail!BO51))))</f>
        <v>0</v>
      </c>
      <c r="BP63" s="170">
        <f>IF(BP18=0,0,IF(BP40=3,0,VALUE(CONCATENATE(Travail!BP29,Travail!BP40,Travail!BP51))))</f>
        <v>0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837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0</v>
      </c>
      <c r="BA64" s="170">
        <f>IF(BA19=0,0,IF(BA41=3,0,VALUE(CONCATENATE(Travail!BA30,Travail!BA41,Travail!BA52))))</f>
        <v>0</v>
      </c>
      <c r="BB64" s="170">
        <f>IF(BB19=0,0,IF(BB41=3,0,VALUE(CONCATENATE(Travail!BB30,Travail!BB41,Travail!BB52))))</f>
        <v>0</v>
      </c>
      <c r="BC64" s="170">
        <f>IF(BC19=0,0,IF(BC41=3,0,VALUE(CONCATENATE(Travail!BC30,Travail!BC41,Travail!BC52))))</f>
        <v>0</v>
      </c>
      <c r="BD64" s="170">
        <f>IF(BD19=0,0,IF(BD41=3,0,VALUE(CONCATENATE(Travail!BD30,Travail!BD41,Travail!BD52))))</f>
        <v>0</v>
      </c>
      <c r="BE64" s="170">
        <f>IF(BE19=0,0,IF(BE41=3,0,VALUE(CONCATENATE(Travail!BE30,Travail!BE41,Travail!BE52))))</f>
        <v>0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838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782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782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839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782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840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782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841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782</v>
      </c>
      <c r="AT70" s="40" t="s">
        <v>842</v>
      </c>
      <c r="BZ70" s="40" t="s">
        <v>842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842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843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782</v>
      </c>
      <c r="AT71" s="184" t="str">
        <f>AT60</f>
        <v>Brebis laitières lot princ</v>
      </c>
      <c r="AV71" s="170">
        <f t="shared" ref="AV71:BS80" si="36">IF(AV15=0,0,VALUE(CONCATENATE(AV26,AV37)))</f>
        <v>23</v>
      </c>
      <c r="AW71" s="170">
        <f t="shared" si="36"/>
        <v>23</v>
      </c>
      <c r="AX71" s="170">
        <f t="shared" si="36"/>
        <v>23</v>
      </c>
      <c r="AY71" s="170">
        <f t="shared" si="36"/>
        <v>23</v>
      </c>
      <c r="AZ71" s="170">
        <f t="shared" si="36"/>
        <v>23</v>
      </c>
      <c r="BA71" s="170">
        <f t="shared" si="36"/>
        <v>23</v>
      </c>
      <c r="BB71" s="170">
        <f t="shared" si="36"/>
        <v>23</v>
      </c>
      <c r="BC71" s="170">
        <f t="shared" si="36"/>
        <v>23</v>
      </c>
      <c r="BD71" s="170">
        <f t="shared" si="36"/>
        <v>23</v>
      </c>
      <c r="BE71" s="170">
        <f t="shared" si="36"/>
        <v>23</v>
      </c>
      <c r="BF71" s="170">
        <f t="shared" si="36"/>
        <v>23</v>
      </c>
      <c r="BG71" s="170">
        <f t="shared" si="36"/>
        <v>23</v>
      </c>
      <c r="BH71" s="170">
        <f t="shared" si="36"/>
        <v>23</v>
      </c>
      <c r="BI71" s="170">
        <f t="shared" si="36"/>
        <v>23</v>
      </c>
      <c r="BJ71" s="170">
        <f t="shared" si="36"/>
        <v>23</v>
      </c>
      <c r="BK71" s="170">
        <f t="shared" si="36"/>
        <v>23</v>
      </c>
      <c r="BL71" s="170">
        <f t="shared" si="36"/>
        <v>23</v>
      </c>
      <c r="BM71" s="170">
        <f t="shared" si="36"/>
        <v>23</v>
      </c>
      <c r="BN71" s="170">
        <f t="shared" si="36"/>
        <v>23</v>
      </c>
      <c r="BO71" s="170">
        <f t="shared" si="36"/>
        <v>23</v>
      </c>
      <c r="BP71" s="170">
        <f t="shared" si="36"/>
        <v>23</v>
      </c>
      <c r="BQ71" s="170">
        <f t="shared" si="36"/>
        <v>23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23</v>
      </c>
      <c r="CF71" s="170">
        <f t="shared" si="37"/>
        <v>23</v>
      </c>
      <c r="CG71" s="170">
        <f t="shared" si="37"/>
        <v>23</v>
      </c>
      <c r="CH71" s="170">
        <f t="shared" si="37"/>
        <v>23</v>
      </c>
      <c r="CI71" s="170">
        <f t="shared" si="37"/>
        <v>23</v>
      </c>
      <c r="CJ71" s="170">
        <f t="shared" si="37"/>
        <v>23</v>
      </c>
      <c r="CK71" s="170">
        <f t="shared" si="37"/>
        <v>23</v>
      </c>
      <c r="CL71" s="170">
        <f t="shared" si="37"/>
        <v>23</v>
      </c>
      <c r="CM71" s="170">
        <f t="shared" si="37"/>
        <v>23</v>
      </c>
      <c r="CN71" s="170">
        <f t="shared" si="37"/>
        <v>23</v>
      </c>
      <c r="CO71" s="170">
        <f t="shared" si="37"/>
        <v>23</v>
      </c>
      <c r="CP71" s="170">
        <f t="shared" si="37"/>
        <v>23</v>
      </c>
      <c r="CQ71" s="170">
        <f t="shared" si="37"/>
        <v>23</v>
      </c>
      <c r="CR71" s="170">
        <f t="shared" si="37"/>
        <v>23</v>
      </c>
      <c r="CS71" s="170">
        <f t="shared" si="37"/>
        <v>23</v>
      </c>
      <c r="CT71" s="170">
        <f t="shared" si="37"/>
        <v>23</v>
      </c>
      <c r="CU71" s="170">
        <f t="shared" si="37"/>
        <v>23</v>
      </c>
      <c r="CV71" s="170">
        <f t="shared" si="37"/>
        <v>23</v>
      </c>
      <c r="CW71" s="170">
        <f t="shared" si="37"/>
        <v>23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844</v>
      </c>
      <c r="B72" s="5"/>
      <c r="C72" s="5"/>
      <c r="F72" s="170">
        <f t="shared" ref="F72:F73" si="39">ROUND(SUM(G72:AD72),0)</f>
        <v>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782</v>
      </c>
      <c r="AT72" s="184" t="str">
        <f t="shared" ref="AT72:AT80" si="40">AT61</f>
        <v>Brebis laitières tardives</v>
      </c>
      <c r="AV72" s="170">
        <f t="shared" si="36"/>
        <v>23</v>
      </c>
      <c r="AW72" s="170">
        <f t="shared" si="36"/>
        <v>23</v>
      </c>
      <c r="AX72" s="170">
        <f t="shared" si="36"/>
        <v>23</v>
      </c>
      <c r="AY72" s="170">
        <f t="shared" si="36"/>
        <v>23</v>
      </c>
      <c r="AZ72" s="170">
        <f t="shared" si="36"/>
        <v>23</v>
      </c>
      <c r="BA72" s="170">
        <f t="shared" si="36"/>
        <v>23</v>
      </c>
      <c r="BB72" s="170">
        <f t="shared" si="36"/>
        <v>23</v>
      </c>
      <c r="BC72" s="170">
        <f t="shared" si="36"/>
        <v>23</v>
      </c>
      <c r="BD72" s="170">
        <f t="shared" si="36"/>
        <v>23</v>
      </c>
      <c r="BE72" s="170">
        <f t="shared" si="36"/>
        <v>0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0</v>
      </c>
      <c r="BR72" s="170">
        <f t="shared" si="36"/>
        <v>23</v>
      </c>
      <c r="BS72" s="170">
        <f t="shared" si="36"/>
        <v>23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13</v>
      </c>
      <c r="CE72" s="170">
        <f t="shared" si="37"/>
        <v>13</v>
      </c>
      <c r="CF72" s="170">
        <f t="shared" si="37"/>
        <v>13</v>
      </c>
      <c r="CG72" s="170">
        <f t="shared" si="37"/>
        <v>13</v>
      </c>
      <c r="CH72" s="170">
        <f t="shared" si="37"/>
        <v>13</v>
      </c>
      <c r="CI72" s="170">
        <f t="shared" si="37"/>
        <v>13</v>
      </c>
      <c r="CJ72" s="170">
        <f t="shared" si="37"/>
        <v>13</v>
      </c>
      <c r="CK72" s="170">
        <f t="shared" si="37"/>
        <v>13</v>
      </c>
      <c r="CL72" s="170">
        <f t="shared" si="37"/>
        <v>13</v>
      </c>
      <c r="CM72" s="170">
        <f t="shared" si="37"/>
        <v>13</v>
      </c>
      <c r="CN72" s="170">
        <f t="shared" si="37"/>
        <v>13</v>
      </c>
      <c r="CO72" s="170">
        <f t="shared" si="37"/>
        <v>13</v>
      </c>
      <c r="CP72" s="170">
        <f t="shared" si="37"/>
        <v>13</v>
      </c>
      <c r="CQ72" s="170">
        <f t="shared" si="37"/>
        <v>13</v>
      </c>
      <c r="CR72" s="170">
        <f t="shared" si="37"/>
        <v>13</v>
      </c>
      <c r="CS72" s="170">
        <f t="shared" si="37"/>
        <v>13</v>
      </c>
      <c r="CT72" s="170">
        <f t="shared" si="37"/>
        <v>13</v>
      </c>
      <c r="CU72" s="170">
        <f t="shared" si="37"/>
        <v>13</v>
      </c>
      <c r="CV72" s="170">
        <f t="shared" si="37"/>
        <v>13</v>
      </c>
      <c r="CW72" s="170">
        <f t="shared" si="37"/>
        <v>13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845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782</v>
      </c>
      <c r="AT73" s="184" t="str">
        <f t="shared" si="40"/>
        <v>Brebis vides</v>
      </c>
      <c r="AV73" s="170">
        <f t="shared" si="36"/>
        <v>23</v>
      </c>
      <c r="AW73" s="170">
        <f t="shared" si="36"/>
        <v>23</v>
      </c>
      <c r="AX73" s="170">
        <f t="shared" si="36"/>
        <v>23</v>
      </c>
      <c r="AY73" s="170">
        <f t="shared" si="36"/>
        <v>23</v>
      </c>
      <c r="AZ73" s="170">
        <f t="shared" si="36"/>
        <v>23</v>
      </c>
      <c r="BA73" s="170">
        <f t="shared" si="36"/>
        <v>23</v>
      </c>
      <c r="BB73" s="170">
        <f t="shared" si="36"/>
        <v>23</v>
      </c>
      <c r="BC73" s="170">
        <f t="shared" si="36"/>
        <v>23</v>
      </c>
      <c r="BD73" s="170">
        <f t="shared" si="36"/>
        <v>23</v>
      </c>
      <c r="BE73" s="170">
        <f t="shared" si="36"/>
        <v>23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23</v>
      </c>
      <c r="BR73" s="170">
        <f t="shared" si="36"/>
        <v>23</v>
      </c>
      <c r="BS73" s="170">
        <f t="shared" si="36"/>
        <v>23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846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782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23</v>
      </c>
      <c r="BE74" s="170">
        <f t="shared" si="36"/>
        <v>23</v>
      </c>
      <c r="BF74" s="170">
        <f t="shared" si="36"/>
        <v>23</v>
      </c>
      <c r="BG74" s="170">
        <f t="shared" si="36"/>
        <v>23</v>
      </c>
      <c r="BH74" s="170">
        <f t="shared" si="36"/>
        <v>23</v>
      </c>
      <c r="BI74" s="170">
        <f t="shared" si="36"/>
        <v>23</v>
      </c>
      <c r="BJ74" s="170">
        <f t="shared" si="36"/>
        <v>23</v>
      </c>
      <c r="BK74" s="170">
        <f t="shared" si="36"/>
        <v>23</v>
      </c>
      <c r="BL74" s="170">
        <f t="shared" si="36"/>
        <v>23</v>
      </c>
      <c r="BM74" s="170">
        <f t="shared" si="36"/>
        <v>23</v>
      </c>
      <c r="BN74" s="170">
        <f t="shared" si="36"/>
        <v>23</v>
      </c>
      <c r="BO74" s="170">
        <f t="shared" si="36"/>
        <v>23</v>
      </c>
      <c r="BP74" s="170">
        <f t="shared" si="36"/>
        <v>23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847</v>
      </c>
      <c r="F75" s="193">
        <f>IF(Protection!$AJ$8=0,0,SUM(G75:AD75))</f>
        <v>84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23</v>
      </c>
      <c r="BA75" s="170">
        <f t="shared" si="36"/>
        <v>23</v>
      </c>
      <c r="BB75" s="170">
        <f t="shared" si="36"/>
        <v>23</v>
      </c>
      <c r="BC75" s="170">
        <f t="shared" si="36"/>
        <v>23</v>
      </c>
      <c r="BD75" s="170">
        <f t="shared" si="36"/>
        <v>23</v>
      </c>
      <c r="BE75" s="170">
        <f t="shared" si="36"/>
        <v>23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848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0</v>
      </c>
      <c r="S76" s="193">
        <f>IF(Protection!O196=0,0,[1]Protect!$B$9*Protection!O196*14)</f>
        <v>0</v>
      </c>
      <c r="T76" s="193">
        <f>IF(Protection!P196=0,0,[1]Protect!$B$9*Protection!P196*14)</f>
        <v>0</v>
      </c>
      <c r="U76" s="193">
        <f>IF(Protection!Q196=0,0,[1]Protect!$B$9*Protection!Q196*14)</f>
        <v>0</v>
      </c>
      <c r="V76" s="193">
        <f>IF(Protection!R196=0,0,[1]Protect!$B$9*Protection!R196*14)</f>
        <v>0</v>
      </c>
      <c r="W76" s="193">
        <f>IF(Protection!S196=0,0,[1]Protect!$B$9*Protection!S196*14)</f>
        <v>0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782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84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3" t="s">
        <v>782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782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849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782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850</v>
      </c>
      <c r="B80" s="168" t="s">
        <v>851</v>
      </c>
      <c r="C80" s="168" t="s">
        <v>852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782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853</v>
      </c>
      <c r="B81" s="174">
        <f>ROUND(Protection!AJ8/[1]Protect!$B$11,2)</f>
        <v>0.28999999999999998</v>
      </c>
      <c r="C81" s="185">
        <f>[1]Protect!$B$10</f>
        <v>4</v>
      </c>
      <c r="D81" s="169"/>
      <c r="E81" s="169"/>
      <c r="F81" s="170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782</v>
      </c>
      <c r="AT81" s="19" t="s">
        <v>854</v>
      </c>
      <c r="AV81" s="170">
        <f>COUNTIF(AV$71:AV$80,23)</f>
        <v>5</v>
      </c>
      <c r="AW81" s="170">
        <f t="shared" ref="AW81:BS81" si="44">COUNTIF(AW$71:AW$80,23)</f>
        <v>5</v>
      </c>
      <c r="AX81" s="170">
        <f t="shared" si="44"/>
        <v>5</v>
      </c>
      <c r="AY81" s="170">
        <f t="shared" si="44"/>
        <v>5</v>
      </c>
      <c r="AZ81" s="170">
        <f t="shared" si="44"/>
        <v>5</v>
      </c>
      <c r="BA81" s="170">
        <f t="shared" si="44"/>
        <v>5</v>
      </c>
      <c r="BB81" s="170">
        <f t="shared" si="44"/>
        <v>5</v>
      </c>
      <c r="BC81" s="170">
        <f t="shared" si="44"/>
        <v>5</v>
      </c>
      <c r="BD81" s="170">
        <f t="shared" si="44"/>
        <v>5</v>
      </c>
      <c r="BE81" s="170">
        <f t="shared" si="44"/>
        <v>4</v>
      </c>
      <c r="BF81" s="170">
        <f t="shared" si="44"/>
        <v>2</v>
      </c>
      <c r="BG81" s="170">
        <f t="shared" si="44"/>
        <v>2</v>
      </c>
      <c r="BH81" s="170">
        <f t="shared" si="44"/>
        <v>2</v>
      </c>
      <c r="BI81" s="170">
        <f t="shared" si="44"/>
        <v>2</v>
      </c>
      <c r="BJ81" s="170">
        <f t="shared" si="44"/>
        <v>2</v>
      </c>
      <c r="BK81" s="170">
        <f t="shared" si="44"/>
        <v>2</v>
      </c>
      <c r="BL81" s="170">
        <f t="shared" si="44"/>
        <v>2</v>
      </c>
      <c r="BM81" s="170">
        <f t="shared" si="44"/>
        <v>2</v>
      </c>
      <c r="BN81" s="170">
        <f t="shared" si="44"/>
        <v>2</v>
      </c>
      <c r="BO81" s="170">
        <f t="shared" si="44"/>
        <v>2</v>
      </c>
      <c r="BP81" s="170">
        <f t="shared" si="44"/>
        <v>2</v>
      </c>
      <c r="BQ81" s="170">
        <f t="shared" si="44"/>
        <v>3</v>
      </c>
      <c r="BR81" s="170">
        <f t="shared" si="44"/>
        <v>4</v>
      </c>
      <c r="BS81" s="170">
        <f t="shared" si="44"/>
        <v>5</v>
      </c>
      <c r="BZ81" s="19" t="s">
        <v>854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1</v>
      </c>
      <c r="CF81" s="170">
        <f t="shared" si="45"/>
        <v>1</v>
      </c>
      <c r="CG81" s="170">
        <f t="shared" si="45"/>
        <v>1</v>
      </c>
      <c r="CH81" s="170">
        <f t="shared" si="45"/>
        <v>1</v>
      </c>
      <c r="CI81" s="170">
        <f t="shared" si="45"/>
        <v>1</v>
      </c>
      <c r="CJ81" s="170">
        <f t="shared" si="45"/>
        <v>1</v>
      </c>
      <c r="CK81" s="170">
        <f t="shared" si="45"/>
        <v>1</v>
      </c>
      <c r="CL81" s="170">
        <f t="shared" si="45"/>
        <v>1</v>
      </c>
      <c r="CM81" s="170">
        <f t="shared" si="45"/>
        <v>1</v>
      </c>
      <c r="CN81" s="170">
        <f t="shared" si="45"/>
        <v>1</v>
      </c>
      <c r="CO81" s="170">
        <f t="shared" si="45"/>
        <v>1</v>
      </c>
      <c r="CP81" s="170">
        <f t="shared" si="45"/>
        <v>1</v>
      </c>
      <c r="CQ81" s="170">
        <f t="shared" si="45"/>
        <v>1</v>
      </c>
      <c r="CR81" s="170">
        <f t="shared" si="45"/>
        <v>1</v>
      </c>
      <c r="CS81" s="170">
        <f t="shared" si="45"/>
        <v>1</v>
      </c>
      <c r="CT81" s="170">
        <f t="shared" si="45"/>
        <v>1</v>
      </c>
      <c r="CU81" s="170">
        <f t="shared" si="45"/>
        <v>1</v>
      </c>
      <c r="CV81" s="170">
        <f t="shared" si="45"/>
        <v>1</v>
      </c>
      <c r="CW81" s="170">
        <f t="shared" si="45"/>
        <v>1</v>
      </c>
      <c r="CX81" s="170">
        <f t="shared" si="45"/>
        <v>1</v>
      </c>
      <c r="CY81" s="170">
        <f t="shared" si="45"/>
        <v>1</v>
      </c>
      <c r="DC81" s="19" t="s">
        <v>854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855</v>
      </c>
      <c r="C82" t="s">
        <v>856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782</v>
      </c>
      <c r="AT82" s="19" t="s">
        <v>857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857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1</v>
      </c>
      <c r="CE82" s="170">
        <f t="shared" si="48"/>
        <v>1</v>
      </c>
      <c r="CF82" s="170">
        <f t="shared" si="48"/>
        <v>1</v>
      </c>
      <c r="CG82" s="170">
        <f t="shared" si="48"/>
        <v>1</v>
      </c>
      <c r="CH82" s="170">
        <f t="shared" si="48"/>
        <v>1</v>
      </c>
      <c r="CI82" s="170">
        <f t="shared" si="48"/>
        <v>1</v>
      </c>
      <c r="CJ82" s="170">
        <f t="shared" si="48"/>
        <v>1</v>
      </c>
      <c r="CK82" s="170">
        <f t="shared" si="48"/>
        <v>1</v>
      </c>
      <c r="CL82" s="170">
        <f t="shared" si="48"/>
        <v>1</v>
      </c>
      <c r="CM82" s="170">
        <f t="shared" si="48"/>
        <v>1</v>
      </c>
      <c r="CN82" s="170">
        <f t="shared" si="48"/>
        <v>1</v>
      </c>
      <c r="CO82" s="170">
        <f t="shared" si="48"/>
        <v>1</v>
      </c>
      <c r="CP82" s="170">
        <f t="shared" si="48"/>
        <v>1</v>
      </c>
      <c r="CQ82" s="170">
        <f t="shared" si="48"/>
        <v>1</v>
      </c>
      <c r="CR82" s="170">
        <f t="shared" si="48"/>
        <v>1</v>
      </c>
      <c r="CS82" s="170">
        <f t="shared" si="48"/>
        <v>1</v>
      </c>
      <c r="CT82" s="170">
        <f t="shared" si="48"/>
        <v>1</v>
      </c>
      <c r="CU82" s="170">
        <f t="shared" si="48"/>
        <v>1</v>
      </c>
      <c r="CV82" s="170">
        <f t="shared" si="48"/>
        <v>1</v>
      </c>
      <c r="CW82" s="170">
        <f t="shared" si="48"/>
        <v>1</v>
      </c>
      <c r="CX82" s="170">
        <f t="shared" si="48"/>
        <v>1</v>
      </c>
      <c r="CY82" s="170">
        <f t="shared" si="48"/>
        <v>1</v>
      </c>
      <c r="DC82" s="19" t="s">
        <v>857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858</v>
      </c>
      <c r="B83" s="174">
        <f>Protection!AK25/1000</f>
        <v>0</v>
      </c>
      <c r="C83" s="185">
        <f>[1]Protect!$B$24+[1]Protect!$B$26</f>
        <v>0.33</v>
      </c>
      <c r="D83" s="169"/>
      <c r="E83" s="169"/>
      <c r="F83" s="170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782</v>
      </c>
      <c r="AT83" s="19" t="s">
        <v>859</v>
      </c>
      <c r="AV83" s="170">
        <f>COUNTIF(AV$71:AV$80,22)</f>
        <v>0</v>
      </c>
      <c r="AW83" s="170">
        <f t="shared" ref="AW83:BS83" si="50">COUNTIF(AW$71:AW$80,22)</f>
        <v>0</v>
      </c>
      <c r="AX83" s="170">
        <f t="shared" si="50"/>
        <v>0</v>
      </c>
      <c r="AY83" s="170">
        <f t="shared" si="50"/>
        <v>0</v>
      </c>
      <c r="AZ83" s="170">
        <f t="shared" si="50"/>
        <v>0</v>
      </c>
      <c r="BA83" s="170">
        <f t="shared" si="50"/>
        <v>0</v>
      </c>
      <c r="BB83" s="170">
        <f t="shared" si="50"/>
        <v>0</v>
      </c>
      <c r="BC83" s="170">
        <f t="shared" si="50"/>
        <v>0</v>
      </c>
      <c r="BD83" s="170">
        <f t="shared" si="50"/>
        <v>0</v>
      </c>
      <c r="BE83" s="170">
        <f t="shared" si="50"/>
        <v>0</v>
      </c>
      <c r="BF83" s="170">
        <f t="shared" si="50"/>
        <v>0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0</v>
      </c>
      <c r="BM83" s="170">
        <f t="shared" si="50"/>
        <v>0</v>
      </c>
      <c r="BN83" s="170">
        <f t="shared" si="50"/>
        <v>0</v>
      </c>
      <c r="BO83" s="170">
        <f t="shared" si="50"/>
        <v>0</v>
      </c>
      <c r="BP83" s="170">
        <f t="shared" si="50"/>
        <v>0</v>
      </c>
      <c r="BQ83" s="170">
        <f t="shared" si="50"/>
        <v>0</v>
      </c>
      <c r="BR83" s="170">
        <f t="shared" si="50"/>
        <v>0</v>
      </c>
      <c r="BS83" s="170">
        <f t="shared" si="50"/>
        <v>0</v>
      </c>
      <c r="BZ83" s="19" t="s">
        <v>859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0</v>
      </c>
      <c r="CF83" s="170">
        <f t="shared" si="51"/>
        <v>0</v>
      </c>
      <c r="CG83" s="170">
        <f t="shared" si="51"/>
        <v>0</v>
      </c>
      <c r="CH83" s="170">
        <f t="shared" si="51"/>
        <v>0</v>
      </c>
      <c r="CI83" s="170">
        <f t="shared" si="51"/>
        <v>0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859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860</v>
      </c>
      <c r="B84" s="5"/>
      <c r="C84" s="185">
        <f>[1]Protect!$B$25*8</f>
        <v>8</v>
      </c>
      <c r="D84" s="169"/>
      <c r="E84" s="169"/>
      <c r="F84" s="170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782</v>
      </c>
      <c r="AT84" s="19" t="s">
        <v>861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861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0</v>
      </c>
      <c r="CE84" s="170">
        <f t="shared" si="54"/>
        <v>0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861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862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782</v>
      </c>
      <c r="AT85" s="40" t="s">
        <v>863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863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863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864</v>
      </c>
      <c r="B86" s="174">
        <f>IF(Scénario!K94=0,0,Scénario!K94/Scénario!K56*Scénario!K54)</f>
        <v>0</v>
      </c>
      <c r="C86" s="173"/>
      <c r="D86" s="173"/>
      <c r="E86" s="173"/>
      <c r="F86" s="170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782</v>
      </c>
      <c r="AT86" s="40" t="s">
        <v>865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42</v>
      </c>
      <c r="BE86" s="185">
        <f>IF(BE85=0,0,HLOOKUP(BE85,[1]Trav!$C$39:$G$59,$AU$105))</f>
        <v>42</v>
      </c>
      <c r="BF86" s="185">
        <f>IF(BF85=0,0,HLOOKUP(BF85,[1]Trav!$C$39:$G$59,$AU$105))</f>
        <v>42</v>
      </c>
      <c r="BG86" s="185">
        <f>IF(BG85=0,0,HLOOKUP(BG85,[1]Trav!$C$39:$G$59,$AU$105))</f>
        <v>42</v>
      </c>
      <c r="BH86" s="185">
        <f>IF(BH85=0,0,HLOOKUP(BH85,[1]Trav!$C$39:$G$59,$AU$105))</f>
        <v>42</v>
      </c>
      <c r="BI86" s="185">
        <f>IF(BI85=0,0,HLOOKUP(BI85,[1]Trav!$C$39:$G$59,$AU$105))</f>
        <v>42</v>
      </c>
      <c r="BJ86" s="185">
        <f>IF(BJ85=0,0,HLOOKUP(BJ85,[1]Trav!$C$39:$G$59,$AU$105))</f>
        <v>42</v>
      </c>
      <c r="BK86" s="185">
        <f>IF(BK85=0,0,HLOOKUP(BK85,[1]Trav!$C$39:$G$59,$AU$105))</f>
        <v>42</v>
      </c>
      <c r="BL86" s="185">
        <f>IF(BL85=0,0,HLOOKUP(BL85,[1]Trav!$C$39:$G$59,$AU$105))</f>
        <v>42</v>
      </c>
      <c r="BM86" s="185">
        <f>IF(BM85=0,0,HLOOKUP(BM85,[1]Trav!$C$39:$G$59,$AU$105))</f>
        <v>42</v>
      </c>
      <c r="BN86" s="185">
        <f>IF(BN85=0,0,HLOOKUP(BN85,[1]Trav!$C$39:$G$59,$AU$105))</f>
        <v>42</v>
      </c>
      <c r="BO86" s="185">
        <f>IF(BO85=0,0,HLOOKUP(BO85,[1]Trav!$C$39:$G$59,$AU$105))</f>
        <v>42</v>
      </c>
      <c r="BP86" s="185">
        <f>IF(BP85=0,0,HLOOKUP(BP85,[1]Trav!$C$39:$G$59,$AU$105))</f>
        <v>42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865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42</v>
      </c>
      <c r="CF86" s="185">
        <f>IF(CF85=0,0,HLOOKUP(CF85,[1]Trav!$C$39:$G$59,$AU$105))</f>
        <v>42</v>
      </c>
      <c r="CG86" s="185">
        <f>IF(CG85=0,0,HLOOKUP(CG85,[1]Trav!$C$39:$G$59,$AU$105))</f>
        <v>42</v>
      </c>
      <c r="CH86" s="185">
        <f>IF(CH85=0,0,HLOOKUP(CH85,[1]Trav!$C$39:$G$59,$AU$105))</f>
        <v>42</v>
      </c>
      <c r="CI86" s="185">
        <f>IF(CI85=0,0,HLOOKUP(CI85,[1]Trav!$C$39:$G$59,$AU$105))</f>
        <v>42</v>
      </c>
      <c r="CJ86" s="185">
        <f>IF(CJ85=0,0,HLOOKUP(CJ85,[1]Trav!$C$39:$G$59,$AU$105))</f>
        <v>42</v>
      </c>
      <c r="CK86" s="185">
        <f>IF(CK85=0,0,HLOOKUP(CK85,[1]Trav!$C$39:$G$59,$AU$105))</f>
        <v>42</v>
      </c>
      <c r="CL86" s="185">
        <f>IF(CL85=0,0,HLOOKUP(CL85,[1]Trav!$C$39:$G$59,$AU$105))</f>
        <v>42</v>
      </c>
      <c r="CM86" s="185">
        <f>IF(CM85=0,0,HLOOKUP(CM85,[1]Trav!$C$39:$G$59,$AU$105))</f>
        <v>42</v>
      </c>
      <c r="CN86" s="185">
        <f>IF(CN85=0,0,HLOOKUP(CN85,[1]Trav!$C$39:$G$59,$AU$105))</f>
        <v>42</v>
      </c>
      <c r="CO86" s="185">
        <f>IF(CO85=0,0,HLOOKUP(CO85,[1]Trav!$C$39:$G$59,$AU$105))</f>
        <v>42</v>
      </c>
      <c r="CP86" s="185">
        <f>IF(CP85=0,0,HLOOKUP(CP85,[1]Trav!$C$39:$G$59,$AU$105))</f>
        <v>42</v>
      </c>
      <c r="CQ86" s="185">
        <f>IF(CQ85=0,0,HLOOKUP(CQ85,[1]Trav!$C$39:$G$59,$AU$105))</f>
        <v>42</v>
      </c>
      <c r="CR86" s="185">
        <f>IF(CR85=0,0,HLOOKUP(CR85,[1]Trav!$C$39:$G$59,$AU$105))</f>
        <v>42</v>
      </c>
      <c r="CS86" s="185">
        <f>IF(CS85=0,0,HLOOKUP(CS85,[1]Trav!$C$39:$G$59,$AU$105))</f>
        <v>42</v>
      </c>
      <c r="CT86" s="185">
        <f>IF(CT85=0,0,HLOOKUP(CT85,[1]Trav!$C$39:$G$59,$AU$105))</f>
        <v>42</v>
      </c>
      <c r="CU86" s="185">
        <f>IF(CU85=0,0,HLOOKUP(CU85,[1]Trav!$C$39:$G$59,$AU$105))</f>
        <v>42</v>
      </c>
      <c r="CV86" s="185">
        <f>IF(CV85=0,0,HLOOKUP(CV85,[1]Trav!$C$39:$G$59,$AU$105))</f>
        <v>42</v>
      </c>
      <c r="CW86" s="185">
        <f>IF(CW85=0,0,HLOOKUP(CW85,[1]Trav!$C$39:$G$59,$AU$105))</f>
        <v>42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865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866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782</v>
      </c>
      <c r="AT87" s="40" t="s">
        <v>867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1.75</v>
      </c>
      <c r="BH87" s="185">
        <f>IF(BH85=0,0,HLOOKUP(BH85,[1]Trav!$C$62:$G$82,$AU$105))</f>
        <v>1.75</v>
      </c>
      <c r="BI87" s="185">
        <f>IF(BI85=0,0,HLOOKUP(BI85,[1]Trav!$C$62:$G$82,$AU$105))</f>
        <v>1.75</v>
      </c>
      <c r="BJ87" s="185">
        <f>IF(BJ85=0,0,HLOOKUP(BJ85,[1]Trav!$C$62:$G$82,$AU$105))</f>
        <v>1.75</v>
      </c>
      <c r="BK87" s="185">
        <f>IF(BK85=0,0,HLOOKUP(BK85,[1]Trav!$C$62:$G$82,$AU$105))</f>
        <v>1.75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867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1.75</v>
      </c>
      <c r="CK87" s="185">
        <f>IF(CK85=0,0,HLOOKUP(CK85,[1]Trav!$C$62:$G$82,$AU$105))</f>
        <v>1.75</v>
      </c>
      <c r="CL87" s="185">
        <f>IF(CL85=0,0,HLOOKUP(CL85,[1]Trav!$C$62:$G$82,$AU$105))</f>
        <v>1.75</v>
      </c>
      <c r="CM87" s="185">
        <f>IF(CM85=0,0,HLOOKUP(CM85,[1]Trav!$C$62:$G$82,$AU$105))</f>
        <v>1.75</v>
      </c>
      <c r="CN87" s="185">
        <f>IF(CN85=0,0,HLOOKUP(CN85,[1]Trav!$C$62:$G$82,$AU$105))</f>
        <v>1.75</v>
      </c>
      <c r="CO87" s="185">
        <f>IF(CO85=0,0,HLOOKUP(CO85,[1]Trav!$C$62:$G$82,$AU$105))</f>
        <v>1.75</v>
      </c>
      <c r="CP87" s="185">
        <f>IF(CP85=0,0,HLOOKUP(CP85,[1]Trav!$C$62:$G$82,$AU$105))</f>
        <v>1.75</v>
      </c>
      <c r="CQ87" s="185">
        <f>IF(CQ85=0,0,HLOOKUP(CQ85,[1]Trav!$C$62:$G$82,$AU$105))</f>
        <v>1.75</v>
      </c>
      <c r="CR87" s="185">
        <f>IF(CR85=0,0,HLOOKUP(CR85,[1]Trav!$C$62:$G$82,$AU$105))</f>
        <v>1.75</v>
      </c>
      <c r="CS87" s="185">
        <f>IF(CS85=0,0,HLOOKUP(CS85,[1]Trav!$C$62:$G$82,$AU$105))</f>
        <v>1.75</v>
      </c>
      <c r="CT87" s="185">
        <f>IF(CT85=0,0,HLOOKUP(CT85,[1]Trav!$C$62:$G$82,$AU$105))</f>
        <v>1.75</v>
      </c>
      <c r="CU87" s="185">
        <f>IF(CU85=0,0,HLOOKUP(CU85,[1]Trav!$C$62:$G$82,$AU$105))</f>
        <v>1.75</v>
      </c>
      <c r="CV87" s="185">
        <f>IF(CV85=0,0,HLOOKUP(CV85,[1]Trav!$C$62:$G$82,$AU$105))</f>
        <v>1.75</v>
      </c>
      <c r="CW87" s="185">
        <f>IF(CW85=0,0,HLOOKUP(CW85,[1]Trav!$C$62:$G$82,$AU$105))</f>
        <v>1.75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867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868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868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868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869</v>
      </c>
      <c r="B90" s="5" t="s">
        <v>870</v>
      </c>
      <c r="C90" s="5"/>
      <c r="D90" s="5" t="s">
        <v>871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242.82448979591837</v>
      </c>
      <c r="BH90" s="170">
        <f t="shared" si="60"/>
        <v>242.82448979591837</v>
      </c>
      <c r="BI90" s="170">
        <f t="shared" si="60"/>
        <v>242.82448979591837</v>
      </c>
      <c r="BJ90" s="170">
        <f t="shared" si="60"/>
        <v>242.82448979591837</v>
      </c>
      <c r="BK90" s="170">
        <f t="shared" si="60"/>
        <v>242.82448979591837</v>
      </c>
      <c r="BL90" s="170">
        <f t="shared" si="60"/>
        <v>242.82448979591837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16.666666666666668</v>
      </c>
      <c r="CK90" s="170">
        <f t="shared" si="62"/>
        <v>16.666666666666668</v>
      </c>
      <c r="CL90" s="170">
        <f t="shared" si="62"/>
        <v>16.666666666666668</v>
      </c>
      <c r="CM90" s="170">
        <f t="shared" si="62"/>
        <v>16.666666666666668</v>
      </c>
      <c r="CN90" s="170">
        <f t="shared" si="62"/>
        <v>16.666666666666668</v>
      </c>
      <c r="CO90" s="170">
        <f t="shared" si="62"/>
        <v>16.666666666666668</v>
      </c>
      <c r="CP90" s="170">
        <f t="shared" si="62"/>
        <v>16.666666666666668</v>
      </c>
      <c r="CQ90" s="170">
        <f t="shared" si="62"/>
        <v>16.666666666666668</v>
      </c>
      <c r="CR90" s="170">
        <f t="shared" si="62"/>
        <v>16.666666666666668</v>
      </c>
      <c r="CS90" s="170">
        <f t="shared" si="62"/>
        <v>16.666666666666668</v>
      </c>
      <c r="CT90" s="170">
        <f t="shared" si="62"/>
        <v>11.666666666666666</v>
      </c>
      <c r="CU90" s="170">
        <f t="shared" si="62"/>
        <v>11.666666666666666</v>
      </c>
      <c r="CV90" s="170">
        <f t="shared" si="62"/>
        <v>11.666666666666666</v>
      </c>
      <c r="CW90" s="170">
        <f t="shared" si="62"/>
        <v>11.666666666666666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872</v>
      </c>
      <c r="B91" s="197">
        <f>F5+F9</f>
        <v>1223.7457142857145</v>
      </c>
      <c r="C91" s="5"/>
      <c r="D91" s="198">
        <f>B91/Troupeau!$B$17</f>
        <v>4.4019630010277497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Brebis laitières tardives</v>
      </c>
      <c r="AV91" s="170">
        <f t="shared" si="60"/>
        <v>73.755102040816325</v>
      </c>
      <c r="AW91" s="170">
        <f t="shared" si="60"/>
        <v>65.244897959183675</v>
      </c>
      <c r="AX91" s="170">
        <f t="shared" si="60"/>
        <v>56.734693877551024</v>
      </c>
      <c r="AY91" s="170">
        <f t="shared" si="60"/>
        <v>48.224489795918366</v>
      </c>
      <c r="AZ91" s="170">
        <f t="shared" si="60"/>
        <v>39.714285714285715</v>
      </c>
      <c r="BA91" s="170">
        <f t="shared" si="60"/>
        <v>31.771428571428572</v>
      </c>
      <c r="BB91" s="170">
        <f t="shared" si="60"/>
        <v>23.828571428571429</v>
      </c>
      <c r="BC91" s="170">
        <f t="shared" si="60"/>
        <v>15.885714285714286</v>
      </c>
      <c r="BD91" s="170">
        <f t="shared" si="60"/>
        <v>7.9428571428571431</v>
      </c>
      <c r="BE91" s="170">
        <f t="shared" si="60"/>
        <v>0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0</v>
      </c>
      <c r="BR91" s="170">
        <f t="shared" si="60"/>
        <v>73.755102040816325</v>
      </c>
      <c r="BS91" s="170">
        <f t="shared" si="60"/>
        <v>73.755102040816325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6.666666666666667</v>
      </c>
      <c r="CG91" s="170">
        <f t="shared" si="62"/>
        <v>6.666666666666667</v>
      </c>
      <c r="CH91" s="170">
        <f t="shared" si="62"/>
        <v>6.666666666666667</v>
      </c>
      <c r="CI91" s="170">
        <f t="shared" si="62"/>
        <v>6.666666666666667</v>
      </c>
      <c r="CJ91" s="170">
        <f t="shared" si="62"/>
        <v>8.3333333333333339</v>
      </c>
      <c r="CK91" s="170">
        <f t="shared" si="62"/>
        <v>8.3333333333333339</v>
      </c>
      <c r="CL91" s="170">
        <f t="shared" si="62"/>
        <v>10</v>
      </c>
      <c r="CM91" s="170">
        <f t="shared" si="62"/>
        <v>10</v>
      </c>
      <c r="CN91" s="170">
        <f t="shared" si="62"/>
        <v>10</v>
      </c>
      <c r="CO91" s="170">
        <f t="shared" si="62"/>
        <v>10</v>
      </c>
      <c r="CP91" s="170">
        <f t="shared" si="62"/>
        <v>10</v>
      </c>
      <c r="CQ91" s="170">
        <f t="shared" si="62"/>
        <v>10</v>
      </c>
      <c r="CR91" s="170">
        <f t="shared" si="62"/>
        <v>10</v>
      </c>
      <c r="CS91" s="170">
        <f t="shared" si="62"/>
        <v>10</v>
      </c>
      <c r="CT91" s="170">
        <f t="shared" si="62"/>
        <v>15</v>
      </c>
      <c r="CU91" s="170">
        <f t="shared" si="62"/>
        <v>15</v>
      </c>
      <c r="CV91" s="170">
        <f t="shared" si="62"/>
        <v>13.333333333333334</v>
      </c>
      <c r="CW91" s="170">
        <f t="shared" si="62"/>
        <v>13.333333333333334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873</v>
      </c>
      <c r="B92" s="197">
        <f>F6+F10</f>
        <v>1008</v>
      </c>
      <c r="C92" s="5"/>
      <c r="D92" s="198">
        <f>IF(B92=0,0,B92/Troupeau!$C$17)</f>
        <v>50.4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Brebis vides</v>
      </c>
      <c r="AV92" s="170">
        <f t="shared" si="60"/>
        <v>14.183673469387756</v>
      </c>
      <c r="AW92" s="170">
        <f t="shared" si="60"/>
        <v>14.183673469387756</v>
      </c>
      <c r="AX92" s="170">
        <f t="shared" si="60"/>
        <v>14.183673469387756</v>
      </c>
      <c r="AY92" s="170">
        <f t="shared" si="60"/>
        <v>14.183673469387756</v>
      </c>
      <c r="AZ92" s="170">
        <f t="shared" si="60"/>
        <v>14.183673469387756</v>
      </c>
      <c r="BA92" s="170">
        <f t="shared" si="60"/>
        <v>14.183673469387756</v>
      </c>
      <c r="BB92" s="170">
        <f t="shared" si="60"/>
        <v>14.183673469387756</v>
      </c>
      <c r="BC92" s="170">
        <f t="shared" si="60"/>
        <v>14.183673469387756</v>
      </c>
      <c r="BD92" s="170">
        <f t="shared" si="60"/>
        <v>14.183673469387756</v>
      </c>
      <c r="BE92" s="170">
        <f t="shared" si="60"/>
        <v>14.183673469387756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14.183673469387756</v>
      </c>
      <c r="BR92" s="170">
        <f t="shared" si="60"/>
        <v>14.183673469387756</v>
      </c>
      <c r="BS92" s="170">
        <f t="shared" si="60"/>
        <v>14.183673469387756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874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55.6</v>
      </c>
      <c r="BH93" s="170">
        <f t="shared" si="60"/>
        <v>55.6</v>
      </c>
      <c r="BI93" s="170">
        <f t="shared" si="60"/>
        <v>55.6</v>
      </c>
      <c r="BJ93" s="170">
        <f t="shared" si="60"/>
        <v>55.6</v>
      </c>
      <c r="BK93" s="170">
        <f t="shared" si="60"/>
        <v>55.6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875</v>
      </c>
      <c r="B94" s="199">
        <f>SUM(B91:B93)</f>
        <v>2231.7457142857147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876</v>
      </c>
      <c r="B95" s="30">
        <f>F16+F20</f>
        <v>0</v>
      </c>
      <c r="C95" s="5"/>
      <c r="D95" s="198">
        <f>B95/Troupeau!$B$17</f>
        <v>0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877</v>
      </c>
      <c r="B96" s="30">
        <f>F17+F21</f>
        <v>0</v>
      </c>
      <c r="C96" s="5"/>
      <c r="D96" s="198">
        <f>IF(B96=0,0,B96/Troupeau!$C$17)</f>
        <v>0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878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879</v>
      </c>
      <c r="B98" s="46">
        <f>SUM(B95:B97)</f>
        <v>0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880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338.13877551020414</v>
      </c>
      <c r="AX99" s="62">
        <f t="shared" si="68"/>
        <v>336.43673469387761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314.87755102040819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298.42448979591836</v>
      </c>
      <c r="BH99" s="62">
        <f t="shared" si="68"/>
        <v>298.42448979591836</v>
      </c>
      <c r="BI99" s="62">
        <f t="shared" si="68"/>
        <v>298.42448979591836</v>
      </c>
      <c r="BJ99" s="62">
        <f t="shared" si="68"/>
        <v>298.42448979591836</v>
      </c>
      <c r="BK99" s="62">
        <f t="shared" si="68"/>
        <v>298.42448979591836</v>
      </c>
      <c r="BL99" s="62">
        <f t="shared" si="68"/>
        <v>298.42448979591836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881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882</v>
      </c>
      <c r="AV100" s="170">
        <f>IF($AT$2="OL",AV99/50,AV99/10)</f>
        <v>6.7968163265306121</v>
      </c>
      <c r="AW100" s="170">
        <f t="shared" ref="AW100:BS100" si="71">IF($AT$2="OL",AW99/50,AW99/10)</f>
        <v>6.762775510204083</v>
      </c>
      <c r="AX100" s="170">
        <f t="shared" si="71"/>
        <v>6.7287346938775521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6.2975510204081635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5.9684897959183676</v>
      </c>
      <c r="BH100" s="170">
        <f t="shared" si="71"/>
        <v>5.9684897959183676</v>
      </c>
      <c r="BI100" s="170">
        <f t="shared" si="71"/>
        <v>5.9684897959183676</v>
      </c>
      <c r="BJ100" s="170">
        <f t="shared" si="71"/>
        <v>5.9684897959183676</v>
      </c>
      <c r="BK100" s="170">
        <f t="shared" si="71"/>
        <v>5.9684897959183676</v>
      </c>
      <c r="BL100" s="170">
        <f t="shared" si="71"/>
        <v>5.9684897959183676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882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882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883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884</v>
      </c>
      <c r="AV101" s="170">
        <f>IF(AV100&gt;1,AV100-1,0)</f>
        <v>5.7968163265306121</v>
      </c>
      <c r="AW101" s="170">
        <f t="shared" ref="AW101:BS101" si="74">IF(AW100&gt;1,AW100-1,0)</f>
        <v>5.762775510204083</v>
      </c>
      <c r="AX101" s="170">
        <f t="shared" si="74"/>
        <v>5.7287346938775521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5.2975510204081635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4.9684897959183676</v>
      </c>
      <c r="BH101" s="170">
        <f t="shared" si="74"/>
        <v>4.9684897959183676</v>
      </c>
      <c r="BI101" s="170">
        <f t="shared" si="74"/>
        <v>4.9684897959183676</v>
      </c>
      <c r="BJ101" s="170">
        <f t="shared" si="74"/>
        <v>4.9684897959183676</v>
      </c>
      <c r="BK101" s="170">
        <f t="shared" si="74"/>
        <v>4.9684897959183676</v>
      </c>
      <c r="BL101" s="170">
        <f t="shared" si="74"/>
        <v>4.9684897959183676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884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884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885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886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51.231000000000002</v>
      </c>
      <c r="BE102" s="62">
        <f t="shared" si="77"/>
        <v>51.191285714285712</v>
      </c>
      <c r="BF102" s="62">
        <f t="shared" si="77"/>
        <v>50.694857142857146</v>
      </c>
      <c r="BG102" s="62">
        <f t="shared" si="77"/>
        <v>50.694857142857146</v>
      </c>
      <c r="BH102" s="62">
        <f t="shared" si="77"/>
        <v>50.694857142857146</v>
      </c>
      <c r="BI102" s="62">
        <f t="shared" si="77"/>
        <v>50.694857142857146</v>
      </c>
      <c r="BJ102" s="62">
        <f t="shared" si="77"/>
        <v>50.694857142857146</v>
      </c>
      <c r="BK102" s="62">
        <f t="shared" si="77"/>
        <v>50.694857142857146</v>
      </c>
      <c r="BL102" s="62">
        <f t="shared" si="77"/>
        <v>50.694857142857146</v>
      </c>
      <c r="BM102" s="62">
        <f t="shared" si="77"/>
        <v>50.198428571428572</v>
      </c>
      <c r="BN102" s="62">
        <f t="shared" si="77"/>
        <v>50.198428571428572</v>
      </c>
      <c r="BO102" s="62">
        <f t="shared" si="77"/>
        <v>50.198428571428572</v>
      </c>
      <c r="BP102" s="62">
        <f t="shared" si="77"/>
        <v>50.198428571428572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886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886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887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888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889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890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891</v>
      </c>
      <c r="AU105" s="17">
        <f>VLOOKUP(AU59,[1]Trav!$B$12:$C$31,2)</f>
        <v>6</v>
      </c>
      <c r="BZ105" s="147" t="s">
        <v>891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891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892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0</v>
      </c>
      <c r="AW106" s="185">
        <f>IF(AW60&gt;0,HLOOKUP(AW60,[1]Trav!$C$11:$O$31,$AU$105),0)</f>
        <v>0</v>
      </c>
      <c r="AX106" s="185">
        <f>IF(AX60&gt;0,HLOOKUP(AX60,[1]Trav!$C$11:$O$31,$AU$105),0)</f>
        <v>0</v>
      </c>
      <c r="AY106" s="185">
        <f>IF(AY60&gt;0,HLOOKUP(AY60,[1]Trav!$C$11:$O$31,$AU$105),0)</f>
        <v>0</v>
      </c>
      <c r="AZ106" s="185">
        <f>IF(AZ60&gt;0,HLOOKUP(AZ60,[1]Trav!$C$11:$O$31,$AU$105),0)</f>
        <v>0</v>
      </c>
      <c r="BA106" s="185">
        <f>IF(BA60&gt;0,HLOOKUP(BA60,[1]Trav!$C$11:$O$31,$AU$105),0)</f>
        <v>0</v>
      </c>
      <c r="BB106" s="185">
        <f>IF(BB60&gt;0,HLOOKUP(BB60,[1]Trav!$C$11:$O$31,$AU$105),0)</f>
        <v>0</v>
      </c>
      <c r="BC106" s="185">
        <f>IF(BC60&gt;0,HLOOKUP(BC60,[1]Trav!$C$11:$O$31,$AU$105),0)</f>
        <v>0</v>
      </c>
      <c r="BD106" s="185">
        <f>IF(BD60&gt;0,HLOOKUP(BD60,[1]Trav!$C$11:$O$31,$AU$105),0)</f>
        <v>0</v>
      </c>
      <c r="BE106" s="185">
        <f>IF(BE60&gt;0,HLOOKUP(BE60,[1]Trav!$C$11:$O$31,$AU$105),0)</f>
        <v>0</v>
      </c>
      <c r="BF106" s="185">
        <f>IF(BF60&gt;0,HLOOKUP(BF60,[1]Trav!$C$11:$O$31,$AU$105),0)</f>
        <v>0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0</v>
      </c>
      <c r="BN106" s="185">
        <f>IF(BN60&gt;0,HLOOKUP(BN60,[1]Trav!$C$11:$O$31,$AU$105),0)</f>
        <v>0</v>
      </c>
      <c r="BO106" s="185">
        <f>IF(BO60&gt;0,HLOOKUP(BO60,[1]Trav!$C$11:$O$31,$AU$105),0)</f>
        <v>0</v>
      </c>
      <c r="BP106" s="185">
        <f>IF(BP60&gt;0,HLOOKUP(BP60,[1]Trav!$C$11:$O$31,$AU$105),0)</f>
        <v>0</v>
      </c>
      <c r="BQ106" s="185">
        <f>IF(BQ60&gt;0,HLOOKUP(BQ60,[1]Trav!$C$11:$O$31,$AU$105),0)</f>
        <v>0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0</v>
      </c>
      <c r="CF106" s="185">
        <f>IF(CF60&gt;0,HLOOKUP(CF60,[1]Trav!$C$11:$O$31,$CA$105),0)</f>
        <v>0</v>
      </c>
      <c r="CG106" s="185">
        <f>IF(CG60&gt;0,HLOOKUP(CG60,[1]Trav!$C$11:$O$31,$CA$105),0)</f>
        <v>0</v>
      </c>
      <c r="CH106" s="185">
        <f>IF(CH60&gt;0,HLOOKUP(CH60,[1]Trav!$C$11:$O$31,$CA$105),0)</f>
        <v>0</v>
      </c>
      <c r="CI106" s="185">
        <f>IF(CI60&gt;0,HLOOKUP(CI60,[1]Trav!$C$11:$O$31,$CA$105),0)</f>
        <v>0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0</v>
      </c>
      <c r="CU106" s="185">
        <f>IF(CU60&gt;0,HLOOKUP(CU60,[1]Trav!$C$11:$O$31,$CA$105),0)</f>
        <v>0</v>
      </c>
      <c r="CV106" s="185">
        <f>IF(CV60&gt;0,HLOOKUP(CV60,[1]Trav!$C$11:$O$31,$CA$105),0)</f>
        <v>0</v>
      </c>
      <c r="CW106" s="185">
        <f>IF(CW60&gt;0,HLOOKUP(CW60,[1]Trav!$C$11:$O$31,$CA$105),0)</f>
        <v>0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893</v>
      </c>
      <c r="B107" s="46">
        <f>SUM(F61:F64)</f>
        <v>600</v>
      </c>
      <c r="D107" s="192"/>
      <c r="AT107" s="184" t="str">
        <f t="shared" si="80"/>
        <v>Brebis laitières tardives</v>
      </c>
      <c r="AV107" s="185">
        <f>IF(AV61&gt;0,HLOOKUP(AV61,[1]Trav!$C$11:$O$31,$AU$105),0)</f>
        <v>0</v>
      </c>
      <c r="AW107" s="185">
        <f>IF(AW61&gt;0,HLOOKUP(AW61,[1]Trav!$C$11:$O$31,$AU$105),0)</f>
        <v>0</v>
      </c>
      <c r="AX107" s="185">
        <f>IF(AX61&gt;0,HLOOKUP(AX61,[1]Trav!$C$11:$O$31,$AU$105),0)</f>
        <v>0</v>
      </c>
      <c r="AY107" s="185">
        <f>IF(AY61&gt;0,HLOOKUP(AY61,[1]Trav!$C$11:$O$31,$AU$105),0)</f>
        <v>0</v>
      </c>
      <c r="AZ107" s="185">
        <f>IF(AZ61&gt;0,HLOOKUP(AZ61,[1]Trav!$C$11:$O$31,$AU$105),0)</f>
        <v>0</v>
      </c>
      <c r="BA107" s="185">
        <f>IF(BA61&gt;0,HLOOKUP(BA61,[1]Trav!$C$11:$O$31,$AU$105),0)</f>
        <v>0</v>
      </c>
      <c r="BB107" s="185">
        <f>IF(BB61&gt;0,HLOOKUP(BB61,[1]Trav!$C$11:$O$31,$AU$105),0)</f>
        <v>0</v>
      </c>
      <c r="BC107" s="185">
        <f>IF(BC61&gt;0,HLOOKUP(BC61,[1]Trav!$C$11:$O$31,$AU$105),0)</f>
        <v>0</v>
      </c>
      <c r="BD107" s="185">
        <f>IF(BD61&gt;0,HLOOKUP(BD61,[1]Trav!$C$11:$O$31,$AU$105),0)</f>
        <v>0</v>
      </c>
      <c r="BE107" s="185">
        <f>IF(BE61&gt;0,HLOOKUP(BE61,[1]Trav!$C$11:$O$31,$AU$105),0)</f>
        <v>0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0</v>
      </c>
      <c r="BR107" s="185">
        <f>IF(BR61&gt;0,HLOOKUP(BR61,[1]Trav!$C$11:$O$31,$AU$105),0)</f>
        <v>0</v>
      </c>
      <c r="BS107" s="185">
        <f>IF(BS61&gt;0,HLOOKUP(BS61,[1]Trav!$C$11:$O$31,$AU$105),0)</f>
        <v>0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0</v>
      </c>
      <c r="CE107" s="185">
        <f>IF(CE61&gt;0,HLOOKUP(CE61,[1]Trav!$C$11:$O$31,$CA$105),0)</f>
        <v>0</v>
      </c>
      <c r="CF107" s="185">
        <f>IF(CF61&gt;0,HLOOKUP(CF61,[1]Trav!$C$11:$O$31,$CA$105),0)</f>
        <v>0</v>
      </c>
      <c r="CG107" s="185">
        <f>IF(CG61&gt;0,HLOOKUP(CG61,[1]Trav!$C$11:$O$31,$CA$105),0)</f>
        <v>0</v>
      </c>
      <c r="CH107" s="185">
        <f>IF(CH61&gt;0,HLOOKUP(CH61,[1]Trav!$C$11:$O$31,$CA$105),0)</f>
        <v>0</v>
      </c>
      <c r="CI107" s="185">
        <f>IF(CI61&gt;0,HLOOKUP(CI61,[1]Trav!$C$11:$O$31,$CA$105),0)</f>
        <v>0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0</v>
      </c>
      <c r="CU107" s="185">
        <f>IF(CU61&gt;0,HLOOKUP(CU61,[1]Trav!$C$11:$O$31,$CA$105),0)</f>
        <v>0</v>
      </c>
      <c r="CV107" s="185">
        <f>IF(CV61&gt;0,HLOOKUP(CV61,[1]Trav!$C$11:$O$31,$CA$105),0)</f>
        <v>0</v>
      </c>
      <c r="CW107" s="185">
        <f>IF(CW61&gt;0,HLOOKUP(CW61,[1]Trav!$C$11:$O$31,$CA$105),0)</f>
        <v>0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894</v>
      </c>
      <c r="B108" s="46">
        <f>SUM(F50:F59)</f>
        <v>463</v>
      </c>
      <c r="D108" s="192"/>
      <c r="AT108" s="184" t="str">
        <f t="shared" si="80"/>
        <v>Brebis vides</v>
      </c>
      <c r="AV108" s="185">
        <f>IF(AV62&gt;0,HLOOKUP(AV62,[1]Trav!$C$11:$O$31,$AU$105),0)</f>
        <v>0</v>
      </c>
      <c r="AW108" s="185">
        <f>IF(AW62&gt;0,HLOOKUP(AW62,[1]Trav!$C$11:$O$31,$AU$105),0)</f>
        <v>0</v>
      </c>
      <c r="AX108" s="185">
        <f>IF(AX62&gt;0,HLOOKUP(AX62,[1]Trav!$C$11:$O$31,$AU$105),0)</f>
        <v>0</v>
      </c>
      <c r="AY108" s="185">
        <f>IF(AY62&gt;0,HLOOKUP(AY62,[1]Trav!$C$11:$O$31,$AU$105),0)</f>
        <v>0</v>
      </c>
      <c r="AZ108" s="185">
        <f>IF(AZ62&gt;0,HLOOKUP(AZ62,[1]Trav!$C$11:$O$31,$AU$105),0)</f>
        <v>0</v>
      </c>
      <c r="BA108" s="185">
        <f>IF(BA62&gt;0,HLOOKUP(BA62,[1]Trav!$C$11:$O$31,$AU$105),0)</f>
        <v>0</v>
      </c>
      <c r="BB108" s="185">
        <f>IF(BB62&gt;0,HLOOKUP(BB62,[1]Trav!$C$11:$O$31,$AU$105),0)</f>
        <v>0</v>
      </c>
      <c r="BC108" s="185">
        <f>IF(BC62&gt;0,HLOOKUP(BC62,[1]Trav!$C$11:$O$31,$AU$105),0)</f>
        <v>0</v>
      </c>
      <c r="BD108" s="185">
        <f>IF(BD62&gt;0,HLOOKUP(BD62,[1]Trav!$C$11:$O$31,$AU$105),0)</f>
        <v>0</v>
      </c>
      <c r="BE108" s="185">
        <f>IF(BE62&gt;0,HLOOKUP(BE62,[1]Trav!$C$11:$O$31,$AU$105),0)</f>
        <v>0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0</v>
      </c>
      <c r="BR108" s="185">
        <f>IF(BR62&gt;0,HLOOKUP(BR62,[1]Trav!$C$11:$O$31,$AU$105),0)</f>
        <v>0</v>
      </c>
      <c r="BS108" s="185">
        <f>IF(BS62&gt;0,HLOOKUP(BS62,[1]Trav!$C$11:$O$31,$AU$105),0)</f>
        <v>0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895</v>
      </c>
      <c r="B109" s="30">
        <f>F69+F72</f>
        <v>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0</v>
      </c>
      <c r="BE109" s="185">
        <f>IF(BE63&gt;0,HLOOKUP(BE63,[1]Trav!$C$11:$O$31,$AU$105),0)</f>
        <v>0</v>
      </c>
      <c r="BF109" s="185">
        <f>IF(BF63&gt;0,HLOOKUP(BF63,[1]Trav!$C$11:$O$31,$AU$105),0)</f>
        <v>0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0</v>
      </c>
      <c r="BN109" s="185">
        <f>IF(BN63&gt;0,HLOOKUP(BN63,[1]Trav!$C$11:$O$31,$AU$105),0)</f>
        <v>0</v>
      </c>
      <c r="BO109" s="185">
        <f>IF(BO63&gt;0,HLOOKUP(BO63,[1]Trav!$C$11:$O$31,$AU$105),0)</f>
        <v>0</v>
      </c>
      <c r="BP109" s="185">
        <f>IF(BP63&gt;0,HLOOKUP(BP63,[1]Trav!$C$11:$O$31,$AU$105),0)</f>
        <v>0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896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0</v>
      </c>
      <c r="BA110" s="185">
        <f>IF(BA64&gt;0,HLOOKUP(BA64,[1]Trav!$C$11:$O$31,$AU$105),0)</f>
        <v>0</v>
      </c>
      <c r="BB110" s="185">
        <f>IF(BB64&gt;0,HLOOKUP(BB64,[1]Trav!$C$11:$O$31,$AU$105),0)</f>
        <v>0</v>
      </c>
      <c r="BC110" s="185">
        <f>IF(BC64&gt;0,HLOOKUP(BC64,[1]Trav!$C$11:$O$31,$AU$105),0)</f>
        <v>0</v>
      </c>
      <c r="BD110" s="185">
        <f>IF(BD64&gt;0,HLOOKUP(BD64,[1]Trav!$C$11:$O$31,$AU$105),0)</f>
        <v>0</v>
      </c>
      <c r="BE110" s="185">
        <f>IF(BE64&gt;0,HLOOKUP(BE64,[1]Trav!$C$11:$O$31,$AU$105),0)</f>
        <v>0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897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898</v>
      </c>
      <c r="B112" s="46">
        <f>SUM(B109:B111)</f>
        <v>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899</v>
      </c>
      <c r="B113" s="30">
        <f>F76</f>
        <v>0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900</v>
      </c>
      <c r="B114" s="30">
        <f>F81</f>
        <v>9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901</v>
      </c>
      <c r="B115" s="30">
        <f>F83+F84</f>
        <v>0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902</v>
      </c>
      <c r="B116" s="30">
        <f>F86</f>
        <v>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903</v>
      </c>
      <c r="AV117" s="170">
        <f>SUM(AV106:AV115)</f>
        <v>0</v>
      </c>
      <c r="AW117" s="170">
        <f t="shared" ref="AW117:BS117" si="83">SUM(AW106:AW115)</f>
        <v>0</v>
      </c>
      <c r="AX117" s="170">
        <f t="shared" si="83"/>
        <v>0</v>
      </c>
      <c r="AY117" s="170">
        <f t="shared" si="83"/>
        <v>0</v>
      </c>
      <c r="AZ117" s="170">
        <f t="shared" si="83"/>
        <v>0</v>
      </c>
      <c r="BA117" s="170">
        <f t="shared" si="83"/>
        <v>0</v>
      </c>
      <c r="BB117" s="170">
        <f t="shared" si="83"/>
        <v>0</v>
      </c>
      <c r="BC117" s="170">
        <f t="shared" si="83"/>
        <v>0</v>
      </c>
      <c r="BD117" s="170">
        <f t="shared" si="83"/>
        <v>0</v>
      </c>
      <c r="BE117" s="170">
        <f t="shared" si="83"/>
        <v>0</v>
      </c>
      <c r="BF117" s="170">
        <f t="shared" si="83"/>
        <v>0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0</v>
      </c>
      <c r="BN117" s="170">
        <f t="shared" si="83"/>
        <v>0</v>
      </c>
      <c r="BO117" s="170">
        <f t="shared" si="83"/>
        <v>0</v>
      </c>
      <c r="BP117" s="170">
        <f t="shared" si="83"/>
        <v>0</v>
      </c>
      <c r="BQ117" s="170">
        <f t="shared" si="83"/>
        <v>0</v>
      </c>
      <c r="BR117" s="170">
        <f t="shared" si="83"/>
        <v>0</v>
      </c>
      <c r="BS117" s="170">
        <f t="shared" si="83"/>
        <v>0</v>
      </c>
      <c r="CA117" s="40" t="s">
        <v>903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0</v>
      </c>
      <c r="CE117" s="170">
        <f t="shared" si="84"/>
        <v>0</v>
      </c>
      <c r="CF117" s="170">
        <f t="shared" si="84"/>
        <v>0</v>
      </c>
      <c r="CG117" s="170">
        <f t="shared" si="84"/>
        <v>0</v>
      </c>
      <c r="CH117" s="170">
        <f t="shared" si="84"/>
        <v>0</v>
      </c>
      <c r="CI117" s="170">
        <f t="shared" si="84"/>
        <v>0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0</v>
      </c>
      <c r="CU117" s="170">
        <f t="shared" si="84"/>
        <v>0</v>
      </c>
      <c r="CV117" s="170">
        <f t="shared" si="84"/>
        <v>0</v>
      </c>
      <c r="CW117" s="170">
        <f t="shared" si="84"/>
        <v>0</v>
      </c>
      <c r="CX117" s="170">
        <f t="shared" si="84"/>
        <v>0</v>
      </c>
      <c r="CY117" s="170">
        <f t="shared" si="84"/>
        <v>0</v>
      </c>
      <c r="DD117" s="40" t="s">
        <v>903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904</v>
      </c>
      <c r="B118" s="197">
        <f>B91+B95+B99+B103</f>
        <v>3871.2457142857147</v>
      </c>
      <c r="D118" s="198">
        <f>B118/Troupeau!$B$17</f>
        <v>13.925344295991779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905</v>
      </c>
      <c r="B119" s="197">
        <f t="shared" ref="B119" si="86">B92+B96+B100+B104</f>
        <v>1098</v>
      </c>
      <c r="D119" s="198">
        <f>IF(B119=0,0,B119/Troupeau!$C$17)</f>
        <v>54.9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906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907</v>
      </c>
      <c r="B122" s="197">
        <f>SUM(B118:B120)</f>
        <v>4969.2457142857147</v>
      </c>
    </row>
    <row r="123" spans="1:132" x14ac:dyDescent="0.25">
      <c r="A123" s="2" t="s">
        <v>894</v>
      </c>
      <c r="B123" s="30">
        <f>B108</f>
        <v>463</v>
      </c>
    </row>
    <row r="124" spans="1:132" x14ac:dyDescent="0.25">
      <c r="A124" s="2" t="s">
        <v>908</v>
      </c>
      <c r="B124" s="30">
        <f>B107</f>
        <v>600</v>
      </c>
    </row>
    <row r="125" spans="1:132" x14ac:dyDescent="0.25">
      <c r="A125" s="2" t="s">
        <v>909</v>
      </c>
      <c r="B125" s="30">
        <f>B112+B113</f>
        <v>0</v>
      </c>
    </row>
    <row r="126" spans="1:132" x14ac:dyDescent="0.25">
      <c r="A126" s="2" t="s">
        <v>910</v>
      </c>
      <c r="B126" s="30">
        <f>B114+B115+B116</f>
        <v>9</v>
      </c>
    </row>
    <row r="128" spans="1:132" x14ac:dyDescent="0.25">
      <c r="A128" s="2" t="s">
        <v>911</v>
      </c>
      <c r="B128" s="197">
        <f>SUM(B122:B126)</f>
        <v>6041.2457142857147</v>
      </c>
    </row>
    <row r="129" spans="1:2" x14ac:dyDescent="0.25">
      <c r="A129" s="2" t="s">
        <v>912</v>
      </c>
      <c r="B129" s="30">
        <f>IF(Scénario!K129=1,Travail!F77+Travail!F86,F86)</f>
        <v>0</v>
      </c>
    </row>
    <row r="130" spans="1:2" x14ac:dyDescent="0.25">
      <c r="A130" s="2" t="s">
        <v>913</v>
      </c>
      <c r="B130" s="197">
        <f>ROUND((B128-B129)/(Scénario!K4+Scénario!K6),0)</f>
        <v>3021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915</v>
      </c>
      <c r="R2" s="23" t="s">
        <v>916</v>
      </c>
      <c r="S2" s="23"/>
      <c r="T2" t="s">
        <v>917</v>
      </c>
    </row>
    <row r="3" spans="1:59" ht="18.75" x14ac:dyDescent="0.3">
      <c r="A3" s="203"/>
      <c r="B3" s="33" t="s">
        <v>918</v>
      </c>
      <c r="C3" s="33" t="s">
        <v>919</v>
      </c>
      <c r="D3" s="33" t="s">
        <v>920</v>
      </c>
      <c r="E3" s="168"/>
      <c r="F3" s="33" t="s">
        <v>921</v>
      </c>
      <c r="G3" s="33" t="s">
        <v>922</v>
      </c>
      <c r="H3" s="33" t="s">
        <v>923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924</v>
      </c>
      <c r="U4" s="14"/>
      <c r="V4" s="14"/>
      <c r="W4" s="14"/>
      <c r="AB4" s="2" t="s">
        <v>925</v>
      </c>
    </row>
    <row r="5" spans="1:59" x14ac:dyDescent="0.25">
      <c r="A5" t="s">
        <v>926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927</v>
      </c>
      <c r="T5" s="30">
        <f>Scénario!K16</f>
        <v>100</v>
      </c>
      <c r="U5" s="14"/>
      <c r="V5" s="14"/>
      <c r="X5" s="14" t="s">
        <v>928</v>
      </c>
      <c r="Y5" s="30">
        <f>IF(Scénario!K17=1,[1]Eco!$B$51,[1]Eco!$B$52)</f>
        <v>1064</v>
      </c>
      <c r="AB5" t="s">
        <v>929</v>
      </c>
      <c r="AC5" t="s">
        <v>17</v>
      </c>
      <c r="AD5" t="s">
        <v>278</v>
      </c>
      <c r="AF5" s="168" t="s">
        <v>930</v>
      </c>
      <c r="AG5" s="168" t="s">
        <v>931</v>
      </c>
      <c r="AH5" s="168" t="s">
        <v>932</v>
      </c>
      <c r="AI5" s="168" t="s">
        <v>933</v>
      </c>
      <c r="AJ5" s="168" t="s">
        <v>934</v>
      </c>
    </row>
    <row r="6" spans="1:59" x14ac:dyDescent="0.25">
      <c r="A6" t="s">
        <v>935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936</v>
      </c>
      <c r="T6" s="30">
        <f>Troupeau!B35</f>
        <v>34750</v>
      </c>
      <c r="U6" s="14"/>
      <c r="V6" s="14"/>
      <c r="X6" s="14" t="s">
        <v>937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938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939</v>
      </c>
      <c r="T9" s="36" t="s">
        <v>924</v>
      </c>
      <c r="U9" s="168" t="s">
        <v>940</v>
      </c>
      <c r="V9" s="36" t="s">
        <v>941</v>
      </c>
      <c r="W9" s="168" t="s">
        <v>942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943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944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945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946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947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948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949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950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925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951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952</v>
      </c>
      <c r="S15" s="32" t="s">
        <v>953</v>
      </c>
      <c r="T15" s="5" t="s">
        <v>954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955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930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956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952</v>
      </c>
      <c r="AE17" s="170" t="s">
        <v>957</v>
      </c>
      <c r="AF17" s="170" t="s">
        <v>958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959</v>
      </c>
      <c r="B18" s="168"/>
      <c r="C18" s="36" t="s">
        <v>960</v>
      </c>
      <c r="D18" s="33" t="s">
        <v>961</v>
      </c>
      <c r="E18" s="169"/>
      <c r="F18" s="36" t="s">
        <v>962</v>
      </c>
      <c r="G18" s="36" t="s">
        <v>963</v>
      </c>
      <c r="H18" s="169"/>
      <c r="I18" s="169"/>
      <c r="J18" s="5"/>
      <c r="K18" s="5"/>
      <c r="L18" s="5"/>
      <c r="M18" s="5"/>
      <c r="N18" s="5"/>
      <c r="P18" s="5"/>
      <c r="Q18" s="5" t="s">
        <v>964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930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930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965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965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966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934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967</v>
      </c>
      <c r="AA22"/>
      <c r="AB22"/>
      <c r="AC22"/>
      <c r="AD22"/>
      <c r="AE22" t="s">
        <v>968</v>
      </c>
      <c r="AF22"/>
      <c r="AG22"/>
      <c r="AH22"/>
      <c r="AI22" t="s">
        <v>969</v>
      </c>
      <c r="AJ22"/>
      <c r="AK22"/>
      <c r="AM22"/>
      <c r="AN22" t="s">
        <v>970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971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972</v>
      </c>
      <c r="S24" s="18"/>
      <c r="T24" s="5" t="s">
        <v>973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974</v>
      </c>
      <c r="X26" t="s">
        <v>975</v>
      </c>
      <c r="AA26" s="168" t="s">
        <v>976</v>
      </c>
      <c r="AB26" s="168" t="s">
        <v>977</v>
      </c>
      <c r="AC26" s="168" t="s">
        <v>726</v>
      </c>
      <c r="AD26" s="5"/>
      <c r="AE26" s="168" t="s">
        <v>976</v>
      </c>
      <c r="AF26" s="168" t="s">
        <v>978</v>
      </c>
      <c r="AG26" s="168" t="s">
        <v>726</v>
      </c>
      <c r="AI26" s="168" t="s">
        <v>976</v>
      </c>
      <c r="AJ26" s="168" t="s">
        <v>979</v>
      </c>
      <c r="AK26" s="168" t="s">
        <v>726</v>
      </c>
      <c r="AL26" s="169"/>
      <c r="AN26" s="168" t="s">
        <v>976</v>
      </c>
      <c r="AO26" s="168" t="s">
        <v>980</v>
      </c>
      <c r="AP26" s="168" t="s">
        <v>726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924</v>
      </c>
      <c r="S27" s="168" t="s">
        <v>940</v>
      </c>
      <c r="T27" s="168" t="s">
        <v>941</v>
      </c>
      <c r="U27" s="168" t="s">
        <v>942</v>
      </c>
      <c r="V27" s="168" t="s">
        <v>13</v>
      </c>
      <c r="X27" s="15" t="s">
        <v>981</v>
      </c>
      <c r="Z27" s="209" t="s">
        <v>982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983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984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460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460</v>
      </c>
      <c r="X28" s="170">
        <f>V28/$T$25</f>
        <v>20</v>
      </c>
      <c r="Z28" s="14" t="s">
        <v>985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986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987</v>
      </c>
      <c r="AK28" s="62">
        <f>AK27*T25</f>
        <v>0</v>
      </c>
      <c r="AL28" s="36"/>
      <c r="AM28" s="14" t="s">
        <v>988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989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508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508</v>
      </c>
      <c r="X29" s="170">
        <f>V29/$T$25</f>
        <v>0</v>
      </c>
      <c r="Z29" s="14" t="s">
        <v>990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987</v>
      </c>
      <c r="AG29" s="62">
        <f>SUM(AG27:AG28)*T25</f>
        <v>6755.4000000000005</v>
      </c>
      <c r="AO29" s="40" t="s">
        <v>987</v>
      </c>
      <c r="AP29" s="62">
        <f>IF(Scénario!K10=1,'Calcul éco'!AP27,'Calcul éco'!AP28)*T25</f>
        <v>0</v>
      </c>
    </row>
    <row r="30" spans="1:143" x14ac:dyDescent="0.25">
      <c r="A30" s="15" t="s">
        <v>991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459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992</v>
      </c>
      <c r="X30" s="170">
        <f>(V30+V31)/$T$25</f>
        <v>278</v>
      </c>
      <c r="AB30" s="40" t="s">
        <v>987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993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1435</v>
      </c>
      <c r="AH31" s="277"/>
      <c r="AI31" s="277"/>
      <c r="AJ31" s="277" t="s">
        <v>1436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994</v>
      </c>
      <c r="Q32" s="14" t="s">
        <v>995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995</v>
      </c>
      <c r="X32" s="170">
        <f>V32/T25</f>
        <v>0</v>
      </c>
      <c r="AE32" s="276"/>
      <c r="AF32" s="276"/>
      <c r="AG32" s="276" t="s">
        <v>1437</v>
      </c>
      <c r="AH32" s="276" t="s">
        <v>1438</v>
      </c>
      <c r="AI32" s="276" t="s">
        <v>169</v>
      </c>
      <c r="AJ32" s="276" t="s">
        <v>1439</v>
      </c>
    </row>
    <row r="33" spans="1:143" x14ac:dyDescent="0.25">
      <c r="A33" s="2" t="s">
        <v>996</v>
      </c>
      <c r="Q33" s="168"/>
      <c r="R33" s="168"/>
      <c r="S33" s="168"/>
      <c r="T33" s="168"/>
      <c r="U33" s="168"/>
      <c r="X33" s="169"/>
      <c r="AE33" s="276"/>
      <c r="AF33" s="276" t="s">
        <v>460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997</v>
      </c>
      <c r="J34" s="170">
        <f>AC30</f>
        <v>3320</v>
      </c>
      <c r="K34" s="170"/>
      <c r="L34" s="170"/>
      <c r="M34" s="170"/>
      <c r="N34" s="170"/>
      <c r="O34" s="206"/>
      <c r="Q34" s="200" t="s">
        <v>998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508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999</v>
      </c>
      <c r="J35" s="170">
        <f>AP29</f>
        <v>0</v>
      </c>
      <c r="K35" s="170"/>
      <c r="L35" s="170"/>
      <c r="M35" s="170"/>
      <c r="N35" s="170"/>
      <c r="O35" s="206"/>
      <c r="X35" s="2" t="s">
        <v>1000</v>
      </c>
      <c r="Y35" s="14" t="s">
        <v>1001</v>
      </c>
      <c r="Z35" s="62" t="str">
        <f>Scénario!K9</f>
        <v>M1</v>
      </c>
      <c r="AE35" s="276"/>
      <c r="AF35" s="276" t="s">
        <v>459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1003</v>
      </c>
      <c r="Z36" s="62" t="str">
        <f>IF(Y53&gt;50,CONCATENATE(Z35,"O"),Z35)</f>
        <v>M1O</v>
      </c>
      <c r="AA36" s="5"/>
      <c r="AB36" s="14" t="s">
        <v>1004</v>
      </c>
      <c r="AC36" s="185">
        <f>VLOOKUP(Z36,[1]Eco!$A$36:$B$45,2)</f>
        <v>258</v>
      </c>
      <c r="AD36" s="5"/>
      <c r="AE36" s="276"/>
      <c r="AF36" s="278" t="s">
        <v>1043</v>
      </c>
      <c r="AG36" s="276"/>
      <c r="AH36" s="276"/>
      <c r="AI36" s="276">
        <f>SUM(AI33:AI35)</f>
        <v>66.199999999999989</v>
      </c>
      <c r="AJ36" s="278">
        <f>ROUND(AI36/V46,2)</f>
        <v>2.27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1005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1006</v>
      </c>
      <c r="T37" t="s">
        <v>1007</v>
      </c>
      <c r="U37" t="s">
        <v>1008</v>
      </c>
      <c r="V37" t="s">
        <v>1009</v>
      </c>
      <c r="X37" s="169"/>
      <c r="AB37" s="168" t="s">
        <v>1010</v>
      </c>
      <c r="AC37" s="168" t="s">
        <v>976</v>
      </c>
      <c r="AD37" s="168" t="s">
        <v>726</v>
      </c>
      <c r="AE37" s="279" t="s">
        <v>1440</v>
      </c>
      <c r="AF37" s="276"/>
      <c r="AG37" s="276"/>
      <c r="AH37" s="276"/>
      <c r="AI37" s="276"/>
      <c r="AJ37" s="277" t="s">
        <v>1441</v>
      </c>
    </row>
    <row r="38" spans="1:143" x14ac:dyDescent="0.25">
      <c r="A38" t="s">
        <v>1011</v>
      </c>
      <c r="J38" s="170">
        <f>AK28</f>
        <v>0</v>
      </c>
      <c r="K38" s="170"/>
      <c r="L38" s="170"/>
      <c r="M38" s="170"/>
      <c r="N38" s="170"/>
      <c r="O38" s="206"/>
      <c r="S38" s="14" t="s">
        <v>1012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1013</v>
      </c>
      <c r="Z38" s="30">
        <f>V46</f>
        <v>29.1</v>
      </c>
      <c r="AA38" s="14" t="s">
        <v>1014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7380</v>
      </c>
      <c r="AF38" s="276"/>
      <c r="AG38" s="276"/>
      <c r="AH38" s="276"/>
      <c r="AI38" s="280" t="s">
        <v>1442</v>
      </c>
      <c r="AJ38" s="278">
        <f>VLOOKUP(Z35,[1]Eco!$I$37:$K$41,2)</f>
        <v>1.7</v>
      </c>
    </row>
    <row r="39" spans="1:143" x14ac:dyDescent="0.25">
      <c r="A39" t="s">
        <v>1015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1016</v>
      </c>
      <c r="Z39" s="30">
        <f>Z38/T25</f>
        <v>29.1</v>
      </c>
      <c r="AA39" s="14" t="s">
        <v>1017</v>
      </c>
      <c r="AB39" s="170">
        <f>IF(Z39&gt;50,25,IF(Z39&gt;25,Z39-25,0))</f>
        <v>4.1000000000000014</v>
      </c>
      <c r="AC39" s="170">
        <f>AC40+0.66*AC36</f>
        <v>240.28</v>
      </c>
      <c r="AD39" s="170">
        <f t="shared" ref="AD39:AD40" si="21">AB39*AC39</f>
        <v>985.14800000000037</v>
      </c>
      <c r="AE39" s="278">
        <f>IF($AJ$40=0,AB39*$AC$40,AD39*$AJ$40/100)</f>
        <v>886.63320000000033</v>
      </c>
      <c r="AF39" s="276"/>
      <c r="AG39" s="276"/>
      <c r="AH39" s="276"/>
      <c r="AI39" s="280" t="s">
        <v>1443</v>
      </c>
      <c r="AJ39" s="278">
        <f>VLOOKUP(Z36,[1]Eco!$I$37:$K$41,3)</f>
        <v>2.5</v>
      </c>
    </row>
    <row r="40" spans="1:143" x14ac:dyDescent="0.25">
      <c r="A40" t="s">
        <v>564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1018</v>
      </c>
      <c r="AB40" s="170">
        <f>IF(Z39&gt;75,25,IF(Z39&gt;50,Z39-50,0))</f>
        <v>0</v>
      </c>
      <c r="AC40" s="185">
        <f>[1]Eco!$B$34</f>
        <v>70</v>
      </c>
      <c r="AD40" s="170">
        <f t="shared" si="21"/>
        <v>0</v>
      </c>
      <c r="AE40" s="278">
        <f>IF($AJ$40=0,AB40*$AC$40,AD40*$AJ$40/100)</f>
        <v>0</v>
      </c>
      <c r="AF40" s="276"/>
      <c r="AG40" s="276"/>
      <c r="AH40" s="276"/>
      <c r="AI40" s="280" t="s">
        <v>1444</v>
      </c>
      <c r="AJ40" s="278">
        <f>IF(AJ36&lt;=AJ38,100,IF(AJ36&lt;=AJ39,90,0))</f>
        <v>90</v>
      </c>
    </row>
    <row r="41" spans="1:143" x14ac:dyDescent="0.25">
      <c r="A41" s="23" t="s">
        <v>1019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987</v>
      </c>
      <c r="AD41" s="62">
        <f>SUM(AD38:AD40)*T25</f>
        <v>9185.148000000001</v>
      </c>
      <c r="AE41" s="281">
        <f>ROUND(SUM(AE38:AE40)*T25,0)</f>
        <v>8267</v>
      </c>
      <c r="AF41" s="276"/>
      <c r="AG41" s="276"/>
      <c r="AH41" s="276"/>
      <c r="AI41" s="276"/>
      <c r="AJ41" s="276"/>
    </row>
    <row r="42" spans="1:143" x14ac:dyDescent="0.25">
      <c r="A42" t="s">
        <v>1020</v>
      </c>
      <c r="B42" s="30">
        <f>V46</f>
        <v>29.1</v>
      </c>
      <c r="C42" s="211">
        <f>[1]Eco!$B$24</f>
        <v>97</v>
      </c>
      <c r="J42" s="170">
        <f>B42*C42</f>
        <v>2822.7000000000003</v>
      </c>
      <c r="K42" s="170"/>
      <c r="L42" s="170"/>
      <c r="M42" s="170"/>
      <c r="N42" s="170"/>
      <c r="O42" s="206"/>
      <c r="R42" s="212"/>
      <c r="S42" s="207" t="s">
        <v>1021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1022</v>
      </c>
      <c r="AG42" s="213" t="s">
        <v>1023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1024</v>
      </c>
      <c r="B43" s="30">
        <f>IF(Z39&gt;52,52,Z39)*T25</f>
        <v>29.1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1425.9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1025</v>
      </c>
      <c r="B44" s="30">
        <f>B42</f>
        <v>29.1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1949.7</v>
      </c>
      <c r="K44" s="170"/>
      <c r="L44" s="170"/>
      <c r="M44" s="170"/>
      <c r="N44" s="170"/>
      <c r="O44" s="206"/>
      <c r="U44" s="40" t="s">
        <v>1026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1027</v>
      </c>
      <c r="J45" s="170">
        <f>IF(Scénario!K9=0,0,AE41)</f>
        <v>8267</v>
      </c>
      <c r="K45" s="170"/>
      <c r="L45" s="170"/>
      <c r="M45" s="170"/>
      <c r="N45" s="170"/>
      <c r="O45" s="206"/>
      <c r="U45" s="14" t="s">
        <v>1028</v>
      </c>
      <c r="V45" s="170">
        <f>S55</f>
        <v>0</v>
      </c>
      <c r="X45" s="213" t="s">
        <v>1029</v>
      </c>
      <c r="Y45" s="213"/>
      <c r="Z45" s="213"/>
      <c r="AA45" s="213"/>
      <c r="AB45" s="213"/>
      <c r="AC45" s="213"/>
      <c r="AD45" s="213"/>
      <c r="AE45" s="213"/>
      <c r="AF45" s="215" t="s">
        <v>574</v>
      </c>
      <c r="AG45" s="213"/>
      <c r="AH45" s="213" t="s">
        <v>1030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588</v>
      </c>
      <c r="BH45" s="213"/>
      <c r="BI45" s="213" t="s">
        <v>1030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595</v>
      </c>
      <c r="CJ45" s="215"/>
      <c r="CK45" s="215" t="s">
        <v>1030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1031</v>
      </c>
      <c r="DL45" s="215"/>
      <c r="DM45" s="215" t="s">
        <v>1030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1032</v>
      </c>
      <c r="B46"/>
      <c r="C46"/>
      <c r="D46"/>
      <c r="E46"/>
      <c r="F46"/>
      <c r="G46"/>
      <c r="H46"/>
      <c r="I46"/>
      <c r="J46" s="170">
        <f>V263</f>
        <v>0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1033</v>
      </c>
      <c r="V46" s="62">
        <f>V44+V45</f>
        <v>29.1</v>
      </c>
      <c r="W46"/>
      <c r="X46" s="213"/>
      <c r="Y46" s="217" t="s">
        <v>924</v>
      </c>
      <c r="Z46" s="217" t="s">
        <v>940</v>
      </c>
      <c r="AA46" s="217" t="s">
        <v>941</v>
      </c>
      <c r="AB46" s="217" t="s">
        <v>942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460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1034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1034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1034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1034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1035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122451.69999999998</v>
      </c>
      <c r="K48" s="222"/>
      <c r="L48" s="222"/>
      <c r="M48" s="222"/>
      <c r="N48" s="222"/>
      <c r="O48" s="223"/>
      <c r="X48" s="214" t="s">
        <v>508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Brebis laitières tardives</v>
      </c>
      <c r="AH48" s="217">
        <f>CdTrp1!B40</f>
        <v>11.063265306122448</v>
      </c>
      <c r="AI48" s="217">
        <f>CdTrp1!C40</f>
        <v>9.7867346938775501</v>
      </c>
      <c r="AJ48" s="217">
        <f>CdTrp1!D40</f>
        <v>8.5102040816326525</v>
      </c>
      <c r="AK48" s="217">
        <f>CdTrp1!E40</f>
        <v>7.2336734693877549</v>
      </c>
      <c r="AL48" s="217">
        <f>CdTrp1!F40</f>
        <v>5.9571428571428573</v>
      </c>
      <c r="AM48" s="217">
        <f>CdTrp1!G40</f>
        <v>4.765714285714286</v>
      </c>
      <c r="AN48" s="217">
        <f>CdTrp1!H40</f>
        <v>3.5742857142857143</v>
      </c>
      <c r="AO48" s="217">
        <f>CdTrp1!I40</f>
        <v>2.382857142857143</v>
      </c>
      <c r="AP48" s="217">
        <f>CdTrp1!J40</f>
        <v>1.1914285714285715</v>
      </c>
      <c r="AQ48" s="217">
        <f>CdTrp1!K40</f>
        <v>0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0</v>
      </c>
      <c r="AW48" s="217">
        <f>IF(CdTrp1!C76=1,1,IF(CdTrp1!C76=2,2,IF(CdTrp1!C76=3,2,0)))</f>
        <v>0</v>
      </c>
      <c r="AX48" s="217">
        <f>IF(CdTrp1!D76=1,1,IF(CdTrp1!D76=2,2,IF(CdTrp1!D76=3,2,0)))</f>
        <v>0</v>
      </c>
      <c r="AY48" s="217">
        <f>IF(CdTrp1!E76=1,1,IF(CdTrp1!E76=2,2,IF(CdTrp1!E76=3,2,0)))</f>
        <v>0</v>
      </c>
      <c r="AZ48" s="217">
        <f>IF(CdTrp1!F76=1,1,IF(CdTrp1!F76=2,2,IF(CdTrp1!F76=3,2,0)))</f>
        <v>0</v>
      </c>
      <c r="BA48" s="217">
        <f>IF(CdTrp1!G76=1,1,IF(CdTrp1!G76=2,2,IF(CdTrp1!G76=3,2,0)))</f>
        <v>0</v>
      </c>
      <c r="BB48" s="217">
        <f>IF(CdTrp1!H76=1,1,IF(CdTrp1!H76=2,2,IF(CdTrp1!H76=3,2,0)))</f>
        <v>0</v>
      </c>
      <c r="BC48" s="217">
        <f>IF(CdTrp1!I76=1,1,IF(CdTrp1!I76=2,2,IF(CdTrp1!I76=3,2,0)))</f>
        <v>0</v>
      </c>
      <c r="BD48" s="217">
        <f>IF(CdTrp1!J76=1,1,IF(CdTrp1!J76=2,2,IF(CdTrp1!J76=3,2,0)))</f>
        <v>0</v>
      </c>
      <c r="BE48" s="217">
        <f>IF(CdTrp1!K76=1,1,IF(CdTrp1!K76=2,2,IF(CdTrp1!K76=3,2,0)))</f>
        <v>0</v>
      </c>
      <c r="BF48" s="217">
        <f>IF(CdTrp1!L76=1,1,IF(CdTrp1!L76=2,2,IF(CdTrp1!L76=3,2,0)))</f>
        <v>0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0</v>
      </c>
      <c r="BN48" s="217">
        <f>IF(CdTrp1!T76=1,1,IF(CdTrp1!T76=2,2,IF(CdTrp1!T76=3,2,0)))</f>
        <v>0</v>
      </c>
      <c r="BO48" s="217">
        <f>IF(CdTrp1!U76=1,1,IF(CdTrp1!U76=2,2,IF(CdTrp1!U76=3,2,0)))</f>
        <v>0</v>
      </c>
      <c r="BP48" s="217">
        <f>IF(CdTrp1!V76=1,1,IF(CdTrp1!V76=2,2,IF(CdTrp1!V76=3,2,0)))</f>
        <v>0</v>
      </c>
      <c r="BQ48" s="217">
        <f>IF(CdTrp1!W76=1,1,IF(CdTrp1!W76=2,2,IF(CdTrp1!W76=3,2,0)))</f>
        <v>0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0</v>
      </c>
      <c r="CF48" s="213">
        <f>IF(CdTrp2!F76=1,1,IF(CdTrp2!F76=2,2,IF(CdTrp2!F76=3,2,0)))</f>
        <v>0</v>
      </c>
      <c r="CG48" s="213">
        <f>IF(CdTrp2!G76=1,1,IF(CdTrp2!G76=2,2,IF(CdTrp2!G76=3,2,0)))</f>
        <v>0</v>
      </c>
      <c r="CH48" s="213">
        <f>IF(CdTrp2!H76=1,1,IF(CdTrp2!H76=2,2,IF(CdTrp2!H76=3,2,0)))</f>
        <v>0</v>
      </c>
      <c r="CI48" s="213">
        <f>IF(CdTrp2!I76=1,1,IF(CdTrp2!I76=2,2,IF(CdTrp2!I76=3,2,0)))</f>
        <v>0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0</v>
      </c>
      <c r="CU48" s="213">
        <f>IF(CdTrp2!U76=1,1,IF(CdTrp2!U76=2,2,IF(CdTrp2!U76=3,2,0)))</f>
        <v>0</v>
      </c>
      <c r="CV48" s="213">
        <f>IF(CdTrp2!V76=1,1,IF(CdTrp2!V76=2,2,IF(CdTrp2!V76=3,2,0)))</f>
        <v>0</v>
      </c>
      <c r="CW48" s="213">
        <f>IF(CdTrp2!W76=1,1,IF(CdTrp2!W76=2,2,IF(CdTrp2!W76=3,2,0)))</f>
        <v>0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1036</v>
      </c>
      <c r="X49" s="214" t="s">
        <v>459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Brebis vides</v>
      </c>
      <c r="AH49" s="217">
        <f>CdTrp1!B41</f>
        <v>2.1275510204081631</v>
      </c>
      <c r="AI49" s="217">
        <f>CdTrp1!C41</f>
        <v>2.1275510204081631</v>
      </c>
      <c r="AJ49" s="217">
        <f>CdTrp1!D41</f>
        <v>2.1275510204081631</v>
      </c>
      <c r="AK49" s="217">
        <f>CdTrp1!E41</f>
        <v>2.1275510204081631</v>
      </c>
      <c r="AL49" s="217">
        <f>CdTrp1!F41</f>
        <v>2.1275510204081631</v>
      </c>
      <c r="AM49" s="217">
        <f>CdTrp1!G41</f>
        <v>2.1275510204081631</v>
      </c>
      <c r="AN49" s="217">
        <f>CdTrp1!H41</f>
        <v>2.1275510204081631</v>
      </c>
      <c r="AO49" s="217">
        <f>CdTrp1!I41</f>
        <v>2.1275510204081631</v>
      </c>
      <c r="AP49" s="217">
        <f>CdTrp1!J41</f>
        <v>2.1275510204081631</v>
      </c>
      <c r="AQ49" s="217">
        <f>CdTrp1!K41</f>
        <v>2.1275510204081631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0</v>
      </c>
      <c r="AW49" s="217">
        <f>IF(CdTrp1!C77=1,1,IF(CdTrp1!C77=2,2,IF(CdTrp1!C77=3,2,0)))</f>
        <v>0</v>
      </c>
      <c r="AX49" s="217">
        <f>IF(CdTrp1!D77=1,1,IF(CdTrp1!D77=2,2,IF(CdTrp1!D77=3,2,0)))</f>
        <v>0</v>
      </c>
      <c r="AY49" s="217">
        <f>IF(CdTrp1!E77=1,1,IF(CdTrp1!E77=2,2,IF(CdTrp1!E77=3,2,0)))</f>
        <v>0</v>
      </c>
      <c r="AZ49" s="217">
        <f>IF(CdTrp1!F77=1,1,IF(CdTrp1!F77=2,2,IF(CdTrp1!F77=3,2,0)))</f>
        <v>0</v>
      </c>
      <c r="BA49" s="217">
        <f>IF(CdTrp1!G77=1,1,IF(CdTrp1!G77=2,2,IF(CdTrp1!G77=3,2,0)))</f>
        <v>0</v>
      </c>
      <c r="BB49" s="217">
        <f>IF(CdTrp1!H77=1,1,IF(CdTrp1!H77=2,2,IF(CdTrp1!H77=3,2,0)))</f>
        <v>0</v>
      </c>
      <c r="BC49" s="217">
        <f>IF(CdTrp1!I77=1,1,IF(CdTrp1!I77=2,2,IF(CdTrp1!I77=3,2,0)))</f>
        <v>0</v>
      </c>
      <c r="BD49" s="217">
        <f>IF(CdTrp1!J77=1,1,IF(CdTrp1!J77=2,2,IF(CdTrp1!J77=3,2,0)))</f>
        <v>0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0</v>
      </c>
      <c r="BS49" s="217">
        <f>IF(CdTrp1!Y77=1,1,IF(CdTrp1!Y77=2,2,IF(CdTrp1!Y77=3,2,0)))</f>
        <v>0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0</v>
      </c>
      <c r="CE49" s="213">
        <f>IF(CdTrp2!E77=1,1,IF(CdTrp2!E77=2,2,IF(CdTrp2!E77=3,2,0)))</f>
        <v>0</v>
      </c>
      <c r="CF49" s="213">
        <f>IF(CdTrp2!F77=1,1,IF(CdTrp2!F77=2,2,IF(CdTrp2!F77=3,2,0)))</f>
        <v>0</v>
      </c>
      <c r="CG49" s="213">
        <f>IF(CdTrp2!G77=1,1,IF(CdTrp2!G77=2,2,IF(CdTrp2!G77=3,2,0)))</f>
        <v>0</v>
      </c>
      <c r="CH49" s="213">
        <f>IF(CdTrp2!H77=1,1,IF(CdTrp2!H77=2,2,IF(CdTrp2!H77=3,2,0)))</f>
        <v>0</v>
      </c>
      <c r="CI49" s="213">
        <f>IF(CdTrp2!I77=1,1,IF(CdTrp2!I77=2,2,IF(CdTrp2!I77=3,2,0)))</f>
        <v>0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0</v>
      </c>
      <c r="CU49" s="213">
        <f>IF(CdTrp2!U77=1,1,IF(CdTrp2!U77=2,2,IF(CdTrp2!U77=3,2,0)))</f>
        <v>0</v>
      </c>
      <c r="CV49" s="213">
        <f>IF(CdTrp2!V77=1,1,IF(CdTrp2!V77=2,2,IF(CdTrp2!V77=3,2,0)))</f>
        <v>0</v>
      </c>
      <c r="CW49" s="213">
        <f>IF(CdTrp2!W77=1,1,IF(CdTrp2!W77=2,2,IF(CdTrp2!W77=3,2,0)))</f>
        <v>0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574</v>
      </c>
      <c r="R50" t="str">
        <f>Troupeau!B3</f>
        <v>OL</v>
      </c>
      <c r="S50" s="30">
        <f>Scénario!K54*Scénario!K55+Scénario!K76*Scénario!K77</f>
        <v>0</v>
      </c>
      <c r="X50" s="214" t="s">
        <v>993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588</v>
      </c>
      <c r="R51" s="219" t="str">
        <f>Troupeau!C3</f>
        <v>BV</v>
      </c>
      <c r="S51" s="48">
        <f>Scénario!K61*Scénario!K62+Scénario!K79*Scénario!K80</f>
        <v>0</v>
      </c>
      <c r="T51" s="219"/>
      <c r="U51" s="219"/>
      <c r="V51" s="219"/>
      <c r="W51" s="219"/>
      <c r="X51" s="214" t="s">
        <v>995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0</v>
      </c>
      <c r="BE51" s="217">
        <f>IF(CdTrp1!K79=1,1,IF(CdTrp1!K79=2,2,IF(CdTrp1!K79=3,2,0)))</f>
        <v>0</v>
      </c>
      <c r="BF51" s="217">
        <f>IF(CdTrp1!L79=1,1,IF(CdTrp1!L79=2,2,IF(CdTrp1!L79=3,2,0)))</f>
        <v>0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0</v>
      </c>
      <c r="BN51" s="217">
        <f>IF(CdTrp1!T79=1,1,IF(CdTrp1!T79=2,2,IF(CdTrp1!T79=3,2,0)))</f>
        <v>0</v>
      </c>
      <c r="BO51" s="217">
        <f>IF(CdTrp1!U79=1,1,IF(CdTrp1!U79=2,2,IF(CdTrp1!U79=3,2,0)))</f>
        <v>0</v>
      </c>
      <c r="BP51" s="217">
        <f>IF(CdTrp1!V79=1,1,IF(CdTrp1!V79=2,2,IF(CdTrp1!V79=3,2,0)))</f>
        <v>0</v>
      </c>
      <c r="BQ51" s="217">
        <f>IF(CdTrp1!W79=1,1,IF(CdTrp1!W79=2,2,IF(CdTrp1!W79=3,2,0)))</f>
        <v>0</v>
      </c>
      <c r="BR51" s="217">
        <f>IF(CdTrp1!X79=1,1,IF(CdTrp1!X79=2,2,IF(CdTrp1!X79=3,2,0)))</f>
        <v>0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595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1037</v>
      </c>
      <c r="Y53" s="213">
        <f>ROUND(SUM(AC49:AC51)/SUM(AC47:AC51)*100,0)</f>
        <v>70</v>
      </c>
      <c r="Z53" s="213" t="s">
        <v>455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1038</v>
      </c>
      <c r="S54" s="30">
        <f>SUM(S50:S53)</f>
        <v>0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1039</v>
      </c>
      <c r="S55" s="30">
        <f>S54*[1]Eco!$B$25</f>
        <v>0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1040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1040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0</v>
      </c>
      <c r="BR58" s="213">
        <f>IF(CdTrp2!K76=4,1,0)</f>
        <v>0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0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1040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1040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Brebis laitières tardives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0</v>
      </c>
      <c r="BR59" s="213">
        <f>IF(CdTrp2!K77=4,1,0)</f>
        <v>0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0</v>
      </c>
      <c r="BZ59" s="213">
        <f>IF(CdTrp2!S77=4,1,0)</f>
        <v>0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Brebis vides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1041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1041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0</v>
      </c>
      <c r="BR69" s="213">
        <f t="shared" si="28"/>
        <v>0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0</v>
      </c>
      <c r="BZ69" s="213">
        <f t="shared" si="28"/>
        <v>0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1041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1041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Brebis laitières tardives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0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0</v>
      </c>
      <c r="BZ70" s="213">
        <f t="shared" si="28"/>
        <v>0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Brebis vides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1042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1043</v>
      </c>
      <c r="AG79" s="215">
        <f>SUM(AH69:BE78)</f>
        <v>0</v>
      </c>
      <c r="AH79" s="213" t="s">
        <v>1044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1043</v>
      </c>
      <c r="BH79" s="213">
        <f>SUM(BI69:CF78)</f>
        <v>0</v>
      </c>
      <c r="BI79" s="213" t="s">
        <v>1044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1043</v>
      </c>
      <c r="CJ79" s="213">
        <f>SUM(CK69:DH78)</f>
        <v>0</v>
      </c>
      <c r="CK79" s="213" t="s">
        <v>1044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1043</v>
      </c>
      <c r="DL79" s="213">
        <f>SUM(DM69:EJ78)</f>
        <v>0</v>
      </c>
      <c r="DM79" s="213" t="s">
        <v>1044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1045</v>
      </c>
      <c r="D80" s="33" t="s">
        <v>1046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1047</v>
      </c>
      <c r="C81" s="36" t="s">
        <v>1048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1049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1050</v>
      </c>
      <c r="X83" s="14" t="s">
        <v>1051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1052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1053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1054</v>
      </c>
      <c r="AB87" t="s">
        <v>86</v>
      </c>
      <c r="AL87"/>
      <c r="BG87"/>
      <c r="BY87" t="s">
        <v>950</v>
      </c>
      <c r="CC87" t="s">
        <v>1055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1056</v>
      </c>
      <c r="Z88" t="s">
        <v>726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924</v>
      </c>
      <c r="BZ88" s="168" t="s">
        <v>940</v>
      </c>
      <c r="CA88" s="168" t="s">
        <v>941</v>
      </c>
      <c r="CB88" s="168"/>
      <c r="CC88" s="168" t="s">
        <v>924</v>
      </c>
      <c r="CD88" s="168" t="s">
        <v>940</v>
      </c>
      <c r="CE88" s="168" t="s">
        <v>941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1057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1058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1059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1060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1061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1062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1063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1064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1065</v>
      </c>
      <c r="B118" s="174">
        <f>IF('Alim -Surf'!K27&lt;0,-'Alim -Surf'!K27,0)</f>
        <v>142.80425</v>
      </c>
      <c r="C118" s="185">
        <f>IF(Scénario!$K$12="BV",[1]Eco!$B$78,IF(Scénario!$K$12="BL",[1]Eco!$B$77,[1]Eco!$B$76))</f>
        <v>223</v>
      </c>
      <c r="J118" s="170">
        <f>B118*C118</f>
        <v>31845.347750000001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1066</v>
      </c>
      <c r="B119" s="174">
        <f>IF('Alim -Surf'!K9&lt;0,-'Alim -Surf'!K9,0)</f>
        <v>104.74350000000001</v>
      </c>
      <c r="C119" s="185">
        <f>[1]Eco!$B$79</f>
        <v>80</v>
      </c>
      <c r="J119" s="170">
        <f>B119*C119</f>
        <v>8379.4800000000014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1067</v>
      </c>
      <c r="B121" t="s">
        <v>1068</v>
      </c>
      <c r="C121" t="s">
        <v>37</v>
      </c>
      <c r="D121" t="s">
        <v>1069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574</v>
      </c>
      <c r="U122" s="2" t="s">
        <v>588</v>
      </c>
      <c r="V122" s="2" t="s">
        <v>595</v>
      </c>
      <c r="W122" s="2" t="s">
        <v>1031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1070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1071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1072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574</v>
      </c>
      <c r="AG124" s="2" t="s">
        <v>588</v>
      </c>
      <c r="AH124" s="2" t="s">
        <v>595</v>
      </c>
      <c r="AI124" s="2" t="s">
        <v>1031</v>
      </c>
      <c r="AJ124" s="230" t="s">
        <v>1073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1074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1075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1076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1077</v>
      </c>
      <c r="AE126" t="s">
        <v>1078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1079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1080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1081</v>
      </c>
      <c r="AE128" t="s">
        <v>1082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1083</v>
      </c>
      <c r="AE129" t="s">
        <v>1078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574</v>
      </c>
      <c r="U130" s="2"/>
      <c r="V130" s="2" t="s">
        <v>588</v>
      </c>
      <c r="W130" s="2"/>
      <c r="X130" s="2" t="s">
        <v>595</v>
      </c>
      <c r="Y130" s="2"/>
      <c r="Z130" s="2" t="s">
        <v>1031</v>
      </c>
      <c r="AA130" s="2"/>
      <c r="AB130" s="204"/>
      <c r="AE130" t="s">
        <v>1080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1084</v>
      </c>
      <c r="U131" s="168" t="s">
        <v>1085</v>
      </c>
      <c r="V131" s="168" t="s">
        <v>1084</v>
      </c>
      <c r="W131" s="168" t="s">
        <v>1085</v>
      </c>
      <c r="X131" s="168" t="s">
        <v>1084</v>
      </c>
      <c r="Y131" s="168" t="s">
        <v>1085</v>
      </c>
      <c r="Z131" s="168" t="s">
        <v>1084</v>
      </c>
      <c r="AA131" s="168" t="s">
        <v>1085</v>
      </c>
      <c r="AB131" s="204" t="s">
        <v>1086</v>
      </c>
      <c r="AE131" t="s">
        <v>1082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1087</v>
      </c>
      <c r="B132" s="5"/>
      <c r="C132" s="170">
        <f>AH228</f>
        <v>0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0</v>
      </c>
      <c r="K132" s="169"/>
      <c r="L132" s="169"/>
      <c r="M132" s="169"/>
      <c r="N132" s="169"/>
      <c r="O132" s="229">
        <v>10</v>
      </c>
      <c r="S132" s="14" t="s">
        <v>1057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1088</v>
      </c>
      <c r="AE132" t="s">
        <v>1078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1089</v>
      </c>
      <c r="B133" s="5"/>
      <c r="C133" s="170">
        <f>AI228</f>
        <v>0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0</v>
      </c>
      <c r="K133" s="169"/>
      <c r="L133" s="169"/>
      <c r="M133" s="169"/>
      <c r="N133" s="169"/>
      <c r="O133" s="229">
        <v>11</v>
      </c>
      <c r="S133" s="14" t="s">
        <v>1059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1080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1090</v>
      </c>
      <c r="B134" s="5"/>
      <c r="C134" s="170">
        <f>AJ228</f>
        <v>28.5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1930.875</v>
      </c>
      <c r="K134" s="169"/>
      <c r="L134" s="169"/>
      <c r="M134" s="169"/>
      <c r="N134" s="169"/>
      <c r="O134" s="229">
        <v>12</v>
      </c>
      <c r="S134" s="14" t="s">
        <v>1060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1082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1091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1061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1092</v>
      </c>
      <c r="AE135" t="s">
        <v>1078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1093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1094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1080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1095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1096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1082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1097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1098</v>
      </c>
      <c r="AE138" t="s">
        <v>1078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1080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1099</v>
      </c>
      <c r="J140" s="169"/>
      <c r="K140" s="169"/>
      <c r="L140" s="169"/>
      <c r="M140" s="169"/>
      <c r="N140" s="169"/>
      <c r="Y140" s="168"/>
      <c r="AE140" t="s">
        <v>1082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1100</v>
      </c>
      <c r="J141" s="170">
        <f>X245</f>
        <v>1809</v>
      </c>
      <c r="K141" s="169"/>
      <c r="L141" s="169"/>
      <c r="M141" s="169"/>
      <c r="N141" s="169"/>
      <c r="Y141" s="168"/>
      <c r="AD141" s="14" t="s">
        <v>1101</v>
      </c>
      <c r="AE141" t="s">
        <v>1078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1102</v>
      </c>
      <c r="J142" s="170">
        <f>SUM(X271:X275)</f>
        <v>0</v>
      </c>
      <c r="K142" s="169"/>
      <c r="L142" s="169"/>
      <c r="M142" s="169"/>
      <c r="N142" s="169"/>
      <c r="Y142" s="168"/>
      <c r="AE142" t="s">
        <v>1080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1082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1103</v>
      </c>
      <c r="AE144" t="s">
        <v>1078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1104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74466.50275</v>
      </c>
      <c r="K145" s="222"/>
      <c r="L145" s="222"/>
      <c r="M145" s="222"/>
      <c r="N145" s="222"/>
      <c r="Y145" s="168"/>
      <c r="AE145" t="s">
        <v>1080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1082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1105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1106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1107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1108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1109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1110</v>
      </c>
    </row>
    <row r="152" spans="1:39" x14ac:dyDescent="0.25">
      <c r="A152" t="s">
        <v>1111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1112</v>
      </c>
    </row>
    <row r="153" spans="1:39" x14ac:dyDescent="0.25">
      <c r="A153" s="5" t="s">
        <v>1113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1114</v>
      </c>
      <c r="W153" s="170">
        <f>U$228</f>
        <v>28.5</v>
      </c>
      <c r="X153" t="s">
        <v>51</v>
      </c>
      <c r="Y153" s="170">
        <f>W153-Scénario!K28</f>
        <v>0</v>
      </c>
      <c r="Z153" s="170">
        <f>Y153-Y156</f>
        <v>0</v>
      </c>
    </row>
    <row r="154" spans="1:39" x14ac:dyDescent="0.25">
      <c r="A154" t="s">
        <v>1115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1116</v>
      </c>
      <c r="W154" s="170">
        <f>V$228</f>
        <v>28.5</v>
      </c>
      <c r="X154" t="s">
        <v>51</v>
      </c>
      <c r="Y154" s="170">
        <f>W154-Scénario!K29</f>
        <v>10</v>
      </c>
      <c r="Z154" s="170">
        <f>Y154</f>
        <v>10</v>
      </c>
    </row>
    <row r="155" spans="1:39" x14ac:dyDescent="0.25">
      <c r="A155" s="17" t="s">
        <v>1117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1118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1119</v>
      </c>
      <c r="V156" s="14"/>
      <c r="W156" s="14"/>
      <c r="X156" s="14"/>
      <c r="Y156" s="170">
        <f>Y153*Scénario!K31/100</f>
        <v>0</v>
      </c>
      <c r="Z156" s="170">
        <f t="shared" si="68"/>
        <v>0</v>
      </c>
    </row>
    <row r="157" spans="1:39" x14ac:dyDescent="0.25">
      <c r="A157" s="5" t="s">
        <v>1120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1121</v>
      </c>
      <c r="B158" s="170">
        <f>Z153</f>
        <v>0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0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1122</v>
      </c>
      <c r="B159" s="170">
        <f t="shared" ref="B159:B161" si="69">Z154</f>
        <v>10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300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1123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1124</v>
      </c>
      <c r="B161" s="170">
        <f t="shared" si="69"/>
        <v>0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0</v>
      </c>
      <c r="K161" s="170"/>
      <c r="L161" s="170"/>
      <c r="M161" s="170"/>
      <c r="N161" s="170"/>
      <c r="O161" s="229">
        <v>4</v>
      </c>
      <c r="R161" s="2" t="s">
        <v>654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7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O164" s="168" t="s">
        <v>51</v>
      </c>
    </row>
    <row r="165" spans="1:41" x14ac:dyDescent="0.25">
      <c r="A165" s="5" t="s">
        <v>1125</v>
      </c>
      <c r="B165" s="5"/>
      <c r="C165" s="192" t="s">
        <v>1126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299</v>
      </c>
      <c r="S165" s="170">
        <f>'Alim -Surf'!R8</f>
        <v>8.5</v>
      </c>
      <c r="T165" s="170">
        <f>VLOOKUP(R165,[1]MEP!$A$4:$M$300,13)</f>
        <v>2</v>
      </c>
      <c r="U165" s="170">
        <f t="shared" ref="U165:U207" si="72">IF($T165&gt;0,$S165,0)</f>
        <v>8.5</v>
      </c>
      <c r="V165" s="170">
        <f t="shared" ref="V165:V207" si="73">IF($T165&gt;1,$S165,0)</f>
        <v>8.5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0</v>
      </c>
      <c r="AJ165" s="170">
        <f t="shared" ref="AJ165:AJ207" si="82">IF(T165&gt;1,AD165,0)</f>
        <v>8.5</v>
      </c>
      <c r="AN165" s="32" t="s">
        <v>672</v>
      </c>
      <c r="AO165" s="170">
        <f>SUM(AD164:AD183)</f>
        <v>13.5</v>
      </c>
    </row>
    <row r="166" spans="1:41" x14ac:dyDescent="0.25">
      <c r="A166" s="5" t="s">
        <v>1127</v>
      </c>
      <c r="B166" s="30">
        <f>T246*[1]Eco!$B$108*[1]Eco!$B$109</f>
        <v>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0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0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0</v>
      </c>
      <c r="AI166" s="170">
        <f t="shared" si="81"/>
        <v>0</v>
      </c>
      <c r="AJ166" s="170">
        <f t="shared" si="82"/>
        <v>0</v>
      </c>
      <c r="AN166" s="32" t="s">
        <v>673</v>
      </c>
      <c r="AO166" s="170">
        <f>SUM(AC164:AC183)</f>
        <v>0</v>
      </c>
    </row>
    <row r="167" spans="1:41" x14ac:dyDescent="0.25">
      <c r="A167" s="5" t="s">
        <v>1128</v>
      </c>
      <c r="B167" s="30">
        <f>IF(Scénario!K129=1,SUM(Travail!F69:F75)+Travail!F81+Travail!F83+Travail!F84,0)</f>
        <v>0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0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674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675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676</v>
      </c>
      <c r="AO169" s="170">
        <f>SUM(AC186:AC205)</f>
        <v>0</v>
      </c>
    </row>
    <row r="170" spans="1:41" x14ac:dyDescent="0.25">
      <c r="A170" s="221" t="s">
        <v>1129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51018.1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677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678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1130</v>
      </c>
      <c r="B174" s="222">
        <f>J48-J145-J170</f>
        <v>-3032.9027500000157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1131</v>
      </c>
      <c r="B175" s="222">
        <f>ROUND(B174/Scénario!K4,0)</f>
        <v>-1516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1132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1133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1134</v>
      </c>
      <c r="B180" s="222">
        <f>B174-B177-B178</f>
        <v>-14032.902750000016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1135</v>
      </c>
      <c r="B181" s="222">
        <f>ROUND(B180/Scénario!K4,0)</f>
        <v>-7016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299</v>
      </c>
      <c r="S186" s="170">
        <f>'Alim -Surf'!R29</f>
        <v>1.5</v>
      </c>
      <c r="T186" s="170">
        <f>VLOOKUP(R186,[1]MEP!$A$4:$M$300,13)</f>
        <v>2</v>
      </c>
      <c r="U186" s="170">
        <f t="shared" si="72"/>
        <v>1.5</v>
      </c>
      <c r="V186" s="170">
        <f t="shared" si="73"/>
        <v>1.5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0</v>
      </c>
      <c r="AJ186" s="170">
        <f t="shared" si="82"/>
        <v>1.5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7</v>
      </c>
      <c r="S188" s="170">
        <f>'Alim -Surf'!R31</f>
        <v>7</v>
      </c>
      <c r="T188" s="170">
        <f>VLOOKUP(R188,[1]MEP!$A$4:$M$300,13)</f>
        <v>2</v>
      </c>
      <c r="U188" s="170">
        <f t="shared" si="72"/>
        <v>7</v>
      </c>
      <c r="V188" s="170">
        <f t="shared" si="73"/>
        <v>7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7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7</v>
      </c>
      <c r="S189" s="170">
        <f>'Alim -Surf'!R32</f>
        <v>3.5</v>
      </c>
      <c r="T189" s="170">
        <f>VLOOKUP(R189,[1]MEP!$A$4:$M$300,13)</f>
        <v>2</v>
      </c>
      <c r="U189" s="170">
        <f t="shared" si="72"/>
        <v>3.5</v>
      </c>
      <c r="V189" s="170">
        <f t="shared" si="73"/>
        <v>3.5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3.5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</v>
      </c>
      <c r="AI189" s="170">
        <f t="shared" si="81"/>
        <v>0</v>
      </c>
      <c r="AJ189" s="170">
        <f t="shared" si="82"/>
        <v>3.5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2"/>
        <v>0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0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0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679</v>
      </c>
      <c r="R228" s="2"/>
      <c r="S228" s="62">
        <f t="shared" ref="S228" si="83">SUM(S164:S227)</f>
        <v>28.5</v>
      </c>
      <c r="U228" s="62">
        <f>SUM(U164:U227)</f>
        <v>28.5</v>
      </c>
      <c r="V228" s="62">
        <f t="shared" ref="V228:W228" si="84">SUM(V164:V227)</f>
        <v>28.5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0</v>
      </c>
      <c r="AI228" s="62">
        <f t="shared" si="86"/>
        <v>0</v>
      </c>
      <c r="AJ228" s="62">
        <f t="shared" si="86"/>
        <v>28.5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1136</v>
      </c>
      <c r="V232" t="s">
        <v>1137</v>
      </c>
      <c r="W232" t="s">
        <v>1138</v>
      </c>
      <c r="X232" t="s">
        <v>1139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1140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1141</v>
      </c>
      <c r="T234" s="30">
        <f>Protection!AK25</f>
        <v>0</v>
      </c>
      <c r="U234" t="s">
        <v>1142</v>
      </c>
      <c r="V234" s="170"/>
      <c r="W234" s="170">
        <f>[1]Protect!$B$4</f>
        <v>6</v>
      </c>
      <c r="X234" s="170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1143</v>
      </c>
      <c r="T235" s="30">
        <f>IF(AND(Troupeau!B3="OL",OR(Scénario!K87=1,Scénario!K87=2)),(Protection!AD28+Protection!AD30)/Scénario!K56,0)</f>
        <v>0</v>
      </c>
      <c r="W235" s="170">
        <f>[1]Protect!$B$83</f>
        <v>2000</v>
      </c>
      <c r="X235" s="170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1144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7"/>
        <v>0</v>
      </c>
      <c r="Z236" t="s">
        <v>1145</v>
      </c>
      <c r="AA236" t="s">
        <v>1146</v>
      </c>
      <c r="AB236" t="s">
        <v>1147</v>
      </c>
      <c r="AC236" t="s">
        <v>1148</v>
      </c>
      <c r="AD236" t="s">
        <v>1149</v>
      </c>
      <c r="AE236" t="s">
        <v>1150</v>
      </c>
      <c r="AF236" t="s">
        <v>1151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1152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1153</v>
      </c>
      <c r="T240" s="30">
        <f>IF(Scénario!K87=3,Protection!AE33,0)</f>
        <v>0</v>
      </c>
      <c r="U240" t="s">
        <v>1142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1154</v>
      </c>
      <c r="W244" t="s">
        <v>1085</v>
      </c>
      <c r="X244" t="s">
        <v>976</v>
      </c>
    </row>
    <row r="245" spans="17:31" x14ac:dyDescent="0.25">
      <c r="Q245" s="15"/>
      <c r="S245" s="14" t="s">
        <v>1155</v>
      </c>
      <c r="T245" s="30">
        <f>IF(Scénario!K87=0,0,Protection!AJ8)</f>
        <v>2</v>
      </c>
      <c r="X245" s="170">
        <f>ROUND((([1]Protect!$B$5/[1]Protect!$B$11)+[1]Protect!$B$8)*T245,0)</f>
        <v>1809</v>
      </c>
    </row>
    <row r="246" spans="17:31" x14ac:dyDescent="0.25">
      <c r="Q246" s="15"/>
      <c r="S246" s="14" t="s">
        <v>1156</v>
      </c>
      <c r="T246" s="30">
        <f>IF(Scénario!K94=0,0,Scénario!K94/Scénario!K56*Scénario!K54)</f>
        <v>0</v>
      </c>
      <c r="W246" s="170">
        <f>[1]Eco!$B$106*[1]Eco!$B$108*[1]Eco!$B$109</f>
        <v>2551.2000000000003</v>
      </c>
      <c r="X246" s="170">
        <f>T246*W246</f>
        <v>0</v>
      </c>
    </row>
    <row r="247" spans="17:31" x14ac:dyDescent="0.25">
      <c r="S247" s="14" t="s">
        <v>1157</v>
      </c>
      <c r="T247" s="30">
        <f>Travail!F16/8</f>
        <v>0</v>
      </c>
      <c r="W247" s="170">
        <f>[1]Eco!$B$111</f>
        <v>28.3</v>
      </c>
      <c r="X247" s="170">
        <f>T247*W247</f>
        <v>0</v>
      </c>
    </row>
    <row r="248" spans="17:31" x14ac:dyDescent="0.25">
      <c r="W248" s="14" t="s">
        <v>1158</v>
      </c>
      <c r="X248" s="170">
        <f>SUM(X245:X247)</f>
        <v>1809</v>
      </c>
    </row>
    <row r="249" spans="17:31" x14ac:dyDescent="0.25">
      <c r="W249" s="14" t="s">
        <v>1159</v>
      </c>
      <c r="X249" s="170">
        <f>ROUND(X246+X247+Protection!AJ5*(([1]Protect!$B$5/[1]Protect!$B$11)+[1]Protect!$B$8),0)</f>
        <v>0</v>
      </c>
      <c r="AB249" t="s">
        <v>1160</v>
      </c>
    </row>
    <row r="250" spans="17:31" x14ac:dyDescent="0.25">
      <c r="AB250" t="s">
        <v>1161</v>
      </c>
    </row>
    <row r="254" spans="17:31" x14ac:dyDescent="0.25">
      <c r="S254" s="40" t="s">
        <v>1162</v>
      </c>
      <c r="T254" s="4">
        <f>IF(Scénario!K53="OL",Scénario!K55*(1/0.15)*Scénario!K56,0)</f>
        <v>0</v>
      </c>
      <c r="Y254" s="40" t="s">
        <v>1163</v>
      </c>
      <c r="Z254">
        <f>IF(Troupeau!B3="OL",Troupeau!B17,0)</f>
        <v>278</v>
      </c>
    </row>
    <row r="255" spans="17:31" x14ac:dyDescent="0.25">
      <c r="U255" t="s">
        <v>1164</v>
      </c>
      <c r="AA255" t="s">
        <v>1164</v>
      </c>
    </row>
    <row r="256" spans="17:31" x14ac:dyDescent="0.25">
      <c r="S256" s="14" t="s">
        <v>1165</v>
      </c>
      <c r="T256" s="30">
        <f>IF(T254&lt;151,1,0)</f>
        <v>1</v>
      </c>
      <c r="U256" s="170">
        <f>IF(T256=0,0,[1]Protect!$B76)</f>
        <v>7500</v>
      </c>
      <c r="Y256" s="14" t="s">
        <v>1166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1167</v>
      </c>
      <c r="T257" s="30">
        <f>IF(AND(150 &lt;T$254,T$254&lt;451),1,0)</f>
        <v>0</v>
      </c>
      <c r="U257" s="170">
        <f>IF(T257=0,0,[1]Protect!$B77)</f>
        <v>0</v>
      </c>
      <c r="Y257" s="14" t="s">
        <v>1168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1169</v>
      </c>
      <c r="T258" s="30">
        <f>IF(AND(540 &lt;T$254,T$254&lt;1201),1,0)</f>
        <v>0</v>
      </c>
      <c r="U258" s="170">
        <f>IF(T258=0,0,[1]Protect!$B78)</f>
        <v>0</v>
      </c>
      <c r="Y258" s="14" t="s">
        <v>1170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1171</v>
      </c>
      <c r="T259" s="30">
        <f>IF(AND(1200&lt;T$254,T$254&lt;1501),1,0)</f>
        <v>0</v>
      </c>
      <c r="U259" s="170">
        <f>IF(T259=0,0,[1]Protect!$B79)</f>
        <v>0</v>
      </c>
      <c r="Y259" s="14" t="s">
        <v>1172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1173</v>
      </c>
      <c r="T260" s="30">
        <f>IF(1500&lt;T$254,1,0)</f>
        <v>0</v>
      </c>
      <c r="U260" s="170">
        <f>IF(T260=0,0,[1]Protect!$B80)</f>
        <v>0</v>
      </c>
      <c r="Y260" s="14" t="s">
        <v>1174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1175</v>
      </c>
      <c r="V263" s="170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1176</v>
      </c>
      <c r="V264" s="170">
        <f>IF(X$249&lt;SUM(U256:U260),X$249*0.8,SUM(U256:U260))</f>
        <v>0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1177</v>
      </c>
      <c r="V265" s="170">
        <f>IF(X$249&lt;SUM(AA256:AA260),X$249*0.8,SUM(AA256:AA260))</f>
        <v>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1178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1179</v>
      </c>
      <c r="U270" s="33"/>
      <c r="V270" s="33"/>
      <c r="W270" s="33" t="s">
        <v>1180</v>
      </c>
      <c r="X270" s="33" t="s">
        <v>1043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1181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1182</v>
      </c>
      <c r="T272" s="170">
        <f>T234*[1]Protect!$B$17/100</f>
        <v>0</v>
      </c>
      <c r="U272" s="170"/>
      <c r="V272" s="170"/>
      <c r="W272" s="170">
        <f>W234</f>
        <v>6</v>
      </c>
      <c r="X272" s="170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1143</v>
      </c>
      <c r="T274" s="170">
        <f>IF(T235&gt;0,[1]Protect!$B$85*T235,0)</f>
        <v>0</v>
      </c>
      <c r="U274" s="170"/>
      <c r="V274" s="170"/>
      <c r="W274" s="170">
        <f>W271</f>
        <v>100</v>
      </c>
      <c r="X274" s="170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1144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492</v>
      </c>
      <c r="C1" s="253" t="str">
        <f>Scénario!K1</f>
        <v>Z2_OLBV_T3_s5</v>
      </c>
      <c r="D1" s="253" t="str">
        <f>CONCATENATE(C1,"_corr")</f>
        <v>Z2_OLBV_T3_s5_corr</v>
      </c>
    </row>
    <row r="2" spans="2:4" x14ac:dyDescent="0.25">
      <c r="B2" s="14" t="s">
        <v>493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496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499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501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504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510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513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517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521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524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503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532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535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538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540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541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554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555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556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557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1184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576</v>
      </c>
      <c r="C23" s="174">
        <f>Scénario!K54</f>
        <v>0</v>
      </c>
      <c r="D23" s="174">
        <f t="shared" si="0"/>
        <v>0</v>
      </c>
    </row>
    <row r="24" spans="2:5" x14ac:dyDescent="0.25">
      <c r="B24" s="14" t="s">
        <v>577</v>
      </c>
      <c r="C24" s="174">
        <f>Scénario!K55</f>
        <v>0</v>
      </c>
      <c r="D24" s="174">
        <f t="shared" si="0"/>
        <v>0</v>
      </c>
    </row>
    <row r="25" spans="2:5" x14ac:dyDescent="0.25">
      <c r="B25" s="14" t="s">
        <v>578</v>
      </c>
      <c r="C25" s="174">
        <f>Scénario!K56</f>
        <v>3</v>
      </c>
      <c r="D25" s="174">
        <f t="shared" si="0"/>
        <v>3</v>
      </c>
    </row>
    <row r="26" spans="2:5" x14ac:dyDescent="0.25">
      <c r="B26" s="14" t="s">
        <v>581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584</v>
      </c>
      <c r="C27" s="174">
        <f>Scénario!K58</f>
        <v>0</v>
      </c>
      <c r="D27" s="174">
        <f t="shared" si="0"/>
        <v>0</v>
      </c>
    </row>
    <row r="28" spans="2:5" x14ac:dyDescent="0.25">
      <c r="B28" s="14" t="s">
        <v>586</v>
      </c>
      <c r="C28" s="174">
        <f>Scénario!K59</f>
        <v>2</v>
      </c>
      <c r="D28" s="174">
        <f t="shared" si="0"/>
        <v>2</v>
      </c>
    </row>
    <row r="29" spans="2:5" x14ac:dyDescent="0.25">
      <c r="B29" s="14" t="s">
        <v>572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588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591</v>
      </c>
      <c r="C31" s="174">
        <f>Scénario!K61</f>
        <v>0</v>
      </c>
      <c r="D31" s="174">
        <f t="shared" si="0"/>
        <v>0</v>
      </c>
    </row>
    <row r="32" spans="2:5" x14ac:dyDescent="0.25">
      <c r="B32" s="14" t="s">
        <v>593</v>
      </c>
      <c r="C32" s="174">
        <f>Scénario!K62</f>
        <v>0</v>
      </c>
      <c r="D32" s="174">
        <f t="shared" si="0"/>
        <v>0</v>
      </c>
      <c r="E32" s="14"/>
    </row>
    <row r="33" spans="2:5" x14ac:dyDescent="0.25">
      <c r="B33" s="14" t="s">
        <v>594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597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598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599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600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601</v>
      </c>
      <c r="C39" s="174">
        <f>Scénario!K71</f>
        <v>0</v>
      </c>
      <c r="D39" s="174">
        <f t="shared" si="0"/>
        <v>0</v>
      </c>
      <c r="E39" s="14"/>
    </row>
    <row r="40" spans="2:5" x14ac:dyDescent="0.25">
      <c r="B40" s="14" t="s">
        <v>602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603</v>
      </c>
      <c r="C41" s="174">
        <f>Scénario!K73</f>
        <v>0</v>
      </c>
      <c r="D41" s="174">
        <f t="shared" si="0"/>
        <v>0</v>
      </c>
      <c r="E41" s="14"/>
    </row>
    <row r="42" spans="2:5" x14ac:dyDescent="0.25">
      <c r="B42" s="14" t="s">
        <v>1186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608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610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1187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613</v>
      </c>
      <c r="C46" s="174">
        <f>Scénario!K79</f>
        <v>0</v>
      </c>
      <c r="D46" s="174">
        <f t="shared" si="0"/>
        <v>0</v>
      </c>
      <c r="E46" s="14"/>
    </row>
    <row r="47" spans="2:5" x14ac:dyDescent="0.25">
      <c r="B47" s="14" t="s">
        <v>614</v>
      </c>
      <c r="C47" s="174">
        <f>Scénario!K80</f>
        <v>0</v>
      </c>
      <c r="D47" s="174">
        <f t="shared" si="0"/>
        <v>0</v>
      </c>
      <c r="E47" s="14"/>
    </row>
    <row r="48" spans="2:5" x14ac:dyDescent="0.25">
      <c r="B48" s="14" t="s">
        <v>1188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617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620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630</v>
      </c>
      <c r="C51" s="174">
        <f>Scénario!K87</f>
        <v>5</v>
      </c>
      <c r="D51" s="174">
        <f t="shared" si="0"/>
        <v>5</v>
      </c>
      <c r="E51" s="14"/>
    </row>
    <row r="52" spans="1:132" x14ac:dyDescent="0.25">
      <c r="B52" s="19" t="s">
        <v>607</v>
      </c>
      <c r="C52" s="174">
        <f>Scénario!K84</f>
        <v>0</v>
      </c>
      <c r="D52" s="174">
        <f t="shared" si="0"/>
        <v>0</v>
      </c>
      <c r="E52" s="14"/>
    </row>
    <row r="53" spans="1:132" x14ac:dyDescent="0.25">
      <c r="B53" s="14" t="s">
        <v>618</v>
      </c>
      <c r="C53" s="174">
        <f>Scénario!K88</f>
        <v>0</v>
      </c>
      <c r="D53" s="174">
        <f t="shared" si="0"/>
        <v>0</v>
      </c>
      <c r="E53" s="14"/>
    </row>
    <row r="54" spans="1:132" x14ac:dyDescent="0.25">
      <c r="B54" s="14" t="s">
        <v>635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635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616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637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638</v>
      </c>
      <c r="C59" s="174">
        <f>Scénario!K94</f>
        <v>0</v>
      </c>
      <c r="D59" s="174">
        <f t="shared" si="0"/>
        <v>0</v>
      </c>
      <c r="E59" s="14"/>
    </row>
    <row r="60" spans="1:132" x14ac:dyDescent="0.25">
      <c r="B60" s="14" t="s">
        <v>648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650</v>
      </c>
      <c r="C61" s="174">
        <f>Scénario!K129</f>
        <v>0</v>
      </c>
      <c r="D61" s="174">
        <f t="shared" si="0"/>
        <v>0</v>
      </c>
      <c r="E61" s="14"/>
    </row>
    <row r="62" spans="1:132" x14ac:dyDescent="0.25">
      <c r="A62" s="2" t="s">
        <v>1190</v>
      </c>
      <c r="B62" s="14" t="s">
        <v>1191</v>
      </c>
      <c r="C62" s="170" t="str">
        <f>Scénario!K12</f>
        <v>OL/BV</v>
      </c>
      <c r="D62" s="170" t="str">
        <f>C62</f>
        <v>OL/BV</v>
      </c>
      <c r="AS62" s="40" t="s">
        <v>574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588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595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1192</v>
      </c>
      <c r="C63" s="170">
        <f>IF(Troupeau!B3="OL",Troupeau!B17,0)</f>
        <v>278</v>
      </c>
      <c r="D63" s="254">
        <f>ROUND(C63*$D$82/$C$82,3)</f>
        <v>0</v>
      </c>
      <c r="F63" s="255" t="s">
        <v>1193</v>
      </c>
      <c r="G63">
        <f>D82/C82</f>
        <v>0</v>
      </c>
      <c r="AT63" s="2" t="s">
        <v>784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784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784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1194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1195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1196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1197</v>
      </c>
      <c r="AT65" s="184" t="str">
        <f t="shared" ref="AT65:AT73" si="2">AT88</f>
        <v>Brebis laitières tardives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1198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Brebis vides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1199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1200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1201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1202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1203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1204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1205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1206</v>
      </c>
      <c r="C74" s="170">
        <f>C71+C73</f>
        <v>0</v>
      </c>
      <c r="D74" s="254">
        <f t="shared" si="3"/>
        <v>0</v>
      </c>
      <c r="AT74" s="2" t="s">
        <v>788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788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788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1207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1208</v>
      </c>
      <c r="C76" s="170">
        <f>'Calcul éco'!AO166</f>
        <v>0</v>
      </c>
      <c r="D76" s="254">
        <f t="shared" si="3"/>
        <v>0</v>
      </c>
      <c r="AT76" s="184" t="str">
        <f t="shared" si="4"/>
        <v>Brebis laitières tardives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1209</v>
      </c>
      <c r="C77" s="170">
        <f>'Calcul éco'!AO169</f>
        <v>0</v>
      </c>
      <c r="D77" s="254">
        <f t="shared" si="3"/>
        <v>0</v>
      </c>
      <c r="AT77" s="184" t="str">
        <f t="shared" si="4"/>
        <v>Brebis vides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1210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1211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1212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1213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1214</v>
      </c>
      <c r="C82" s="170">
        <f>C81+C80</f>
        <v>29.5</v>
      </c>
      <c r="D82" s="80"/>
      <c r="E82" s="85" t="s">
        <v>1215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1216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1217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1218</v>
      </c>
      <c r="B85" s="14" t="s">
        <v>1219</v>
      </c>
      <c r="C85" s="170">
        <f>'Calcul éco'!$U$228</f>
        <v>28.5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1220</v>
      </c>
      <c r="C86" s="170">
        <f>'Calcul éco'!$V$228</f>
        <v>28.5</v>
      </c>
      <c r="D86" s="257">
        <f t="shared" ref="D86:D97" si="14">ROUND(C86*$D$82/$C$82,3)</f>
        <v>0</v>
      </c>
      <c r="AT86" s="186" t="s">
        <v>797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797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797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1221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798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569</v>
      </c>
      <c r="C88" s="170">
        <f>Scénario!K43</f>
        <v>5.7</v>
      </c>
      <c r="D88" s="257">
        <f t="shared" si="14"/>
        <v>0</v>
      </c>
      <c r="AT88" s="184" t="str">
        <f>CdTrp1!A16</f>
        <v>Brebis laitières tardives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644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558</v>
      </c>
      <c r="C89" s="170">
        <f>Scénario!K32</f>
        <v>1</v>
      </c>
      <c r="D89" s="257">
        <f t="shared" si="14"/>
        <v>0</v>
      </c>
      <c r="AT89" s="184" t="str">
        <f>CdTrp1!A17</f>
        <v>Brebis vides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645</v>
      </c>
      <c r="BZ89" s="184" t="str">
        <f t="shared" si="17"/>
        <v>lot3</v>
      </c>
      <c r="CA89" s="187">
        <f>Scénario!K108</f>
        <v>0</v>
      </c>
      <c r="CB89" s="170">
        <f t="shared" si="21"/>
        <v>0</v>
      </c>
      <c r="CC89" s="170">
        <f t="shared" si="18"/>
        <v>0</v>
      </c>
      <c r="CD89" s="170">
        <f t="shared" si="18"/>
        <v>0</v>
      </c>
      <c r="CE89" s="170">
        <f t="shared" si="18"/>
        <v>0</v>
      </c>
      <c r="CF89" s="170">
        <f t="shared" si="18"/>
        <v>0</v>
      </c>
      <c r="CG89" s="170">
        <f t="shared" si="18"/>
        <v>0</v>
      </c>
      <c r="CH89" s="170">
        <f t="shared" si="18"/>
        <v>0</v>
      </c>
      <c r="CI89" s="170">
        <f t="shared" si="18"/>
        <v>0</v>
      </c>
      <c r="CJ89" s="170">
        <f t="shared" si="18"/>
        <v>0</v>
      </c>
      <c r="CK89" s="170">
        <f t="shared" si="18"/>
        <v>0</v>
      </c>
      <c r="CL89" s="170">
        <f t="shared" si="18"/>
        <v>0</v>
      </c>
      <c r="CM89" s="170">
        <f t="shared" si="18"/>
        <v>0</v>
      </c>
      <c r="CN89" s="170">
        <f t="shared" si="18"/>
        <v>0</v>
      </c>
      <c r="CO89" s="170">
        <f t="shared" si="18"/>
        <v>0</v>
      </c>
      <c r="CP89" s="170">
        <f t="shared" si="18"/>
        <v>0</v>
      </c>
      <c r="CQ89" s="170">
        <f t="shared" si="18"/>
        <v>0</v>
      </c>
      <c r="CR89" s="170">
        <f t="shared" si="18"/>
        <v>0</v>
      </c>
      <c r="CS89" s="170">
        <f t="shared" si="18"/>
        <v>0</v>
      </c>
      <c r="CT89" s="170">
        <f t="shared" si="18"/>
        <v>0</v>
      </c>
      <c r="CU89" s="170">
        <f t="shared" si="18"/>
        <v>0</v>
      </c>
      <c r="CV89" s="170">
        <f t="shared" si="18"/>
        <v>0</v>
      </c>
      <c r="CW89" s="170">
        <f t="shared" si="18"/>
        <v>0</v>
      </c>
      <c r="CX89" s="170">
        <f t="shared" si="18"/>
        <v>0</v>
      </c>
      <c r="CY89" s="170">
        <f t="shared" si="18"/>
        <v>0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1222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1223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561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562</v>
      </c>
      <c r="C92" s="170">
        <f>Scénario!K36</f>
        <v>0</v>
      </c>
      <c r="D92" s="257">
        <f t="shared" si="14"/>
        <v>0</v>
      </c>
      <c r="G92" s="2" t="s">
        <v>1224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563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564</v>
      </c>
      <c r="C94" s="170">
        <f>Scénario!K38</f>
        <v>0</v>
      </c>
      <c r="D94" s="257">
        <f t="shared" si="14"/>
        <v>0</v>
      </c>
      <c r="F94" s="14" t="s">
        <v>924</v>
      </c>
      <c r="G94" s="30" t="str">
        <f>CdTrp1!A88</f>
        <v>Brebis laitières lot princ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1225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Brebis laitières tardives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565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Brebis vides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1226</v>
      </c>
      <c r="B97" s="14" t="s">
        <v>1227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758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758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758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1228</v>
      </c>
      <c r="B98" s="14" t="s">
        <v>1229</v>
      </c>
      <c r="C98" s="170">
        <f>MAX(H129:AE129)</f>
        <v>0</v>
      </c>
      <c r="D98" s="170">
        <f>C98</f>
        <v>0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3</v>
      </c>
      <c r="AW98" s="170">
        <f>IF(CdTrp1!C52=1,3,IF(CdTrp1!C52=0.5,2,IF(CdTrp1!C52=0,1,0)))</f>
        <v>3</v>
      </c>
      <c r="AX98" s="170">
        <f>IF(CdTrp1!D52=1,3,IF(CdTrp1!D52=0.5,2,IF(CdTrp1!D52=0,1,0)))</f>
        <v>3</v>
      </c>
      <c r="AY98" s="170">
        <f>IF(CdTrp1!E52=1,3,IF(CdTrp1!E52=0.5,2,IF(CdTrp1!E52=0,1,0)))</f>
        <v>3</v>
      </c>
      <c r="AZ98" s="170">
        <f>IF(CdTrp1!F52=1,3,IF(CdTrp1!F52=0.5,2,IF(CdTrp1!F52=0,1,0)))</f>
        <v>3</v>
      </c>
      <c r="BA98" s="170">
        <f>IF(CdTrp1!G52=1,3,IF(CdTrp1!G52=0.5,2,IF(CdTrp1!G52=0,1,0)))</f>
        <v>3</v>
      </c>
      <c r="BB98" s="170">
        <f>IF(CdTrp1!H52=1,3,IF(CdTrp1!H52=0.5,2,IF(CdTrp1!H52=0,1,0)))</f>
        <v>3</v>
      </c>
      <c r="BC98" s="170">
        <f>IF(CdTrp1!I52=1,3,IF(CdTrp1!I52=0.5,2,IF(CdTrp1!I52=0,1,0)))</f>
        <v>3</v>
      </c>
      <c r="BD98" s="170">
        <f>IF(CdTrp1!J52=1,3,IF(CdTrp1!J52=0.5,2,IF(CdTrp1!J52=0,1,0)))</f>
        <v>3</v>
      </c>
      <c r="BE98" s="170">
        <f>IF(CdTrp1!K52=1,3,IF(CdTrp1!K52=0.5,2,IF(CdTrp1!K52=0,1,0)))</f>
        <v>3</v>
      </c>
      <c r="BF98" s="170">
        <f>IF(CdTrp1!L52=1,3,IF(CdTrp1!L52=0.5,2,IF(CdTrp1!L52=0,1,0)))</f>
        <v>3</v>
      </c>
      <c r="BG98" s="170">
        <f>IF(CdTrp1!M52=1,3,IF(CdTrp1!M52=0.5,2,IF(CdTrp1!M52=0,1,0)))</f>
        <v>3</v>
      </c>
      <c r="BH98" s="170">
        <f>IF(CdTrp1!N52=1,3,IF(CdTrp1!N52=0.5,2,IF(CdTrp1!N52=0,1,0)))</f>
        <v>3</v>
      </c>
      <c r="BI98" s="170">
        <f>IF(CdTrp1!O52=1,3,IF(CdTrp1!O52=0.5,2,IF(CdTrp1!O52=0,1,0)))</f>
        <v>3</v>
      </c>
      <c r="BJ98" s="170">
        <f>IF(CdTrp1!P52=1,3,IF(CdTrp1!P52=0.5,2,IF(CdTrp1!P52=0,1,0)))</f>
        <v>3</v>
      </c>
      <c r="BK98" s="170">
        <f>IF(CdTrp1!Q52=1,3,IF(CdTrp1!Q52=0.5,2,IF(CdTrp1!Q52=0,1,0)))</f>
        <v>3</v>
      </c>
      <c r="BL98" s="170">
        <f>IF(CdTrp1!R52=1,3,IF(CdTrp1!R52=0.5,2,IF(CdTrp1!R52=0,1,0)))</f>
        <v>3</v>
      </c>
      <c r="BM98" s="170">
        <f>IF(CdTrp1!S52=1,3,IF(CdTrp1!S52=0.5,2,IF(CdTrp1!S52=0,1,0)))</f>
        <v>3</v>
      </c>
      <c r="BN98" s="170">
        <f>IF(CdTrp1!T52=1,3,IF(CdTrp1!T52=0.5,2,IF(CdTrp1!T52=0,1,0)))</f>
        <v>3</v>
      </c>
      <c r="BO98" s="170">
        <f>IF(CdTrp1!U52=1,3,IF(CdTrp1!U52=0.5,2,IF(CdTrp1!U52=0,1,0)))</f>
        <v>3</v>
      </c>
      <c r="BP98" s="170">
        <f>IF(CdTrp1!V52=1,3,IF(CdTrp1!V52=0.5,2,IF(CdTrp1!V52=0,1,0)))</f>
        <v>3</v>
      </c>
      <c r="BQ98" s="170">
        <f>IF(CdTrp1!W52=1,3,IF(CdTrp1!W52=0.5,2,IF(CdTrp1!W52=0,1,0)))</f>
        <v>3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806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3</v>
      </c>
      <c r="CF98" s="170">
        <f>IF(CdTrp2!F52=1,3,IF(CdTrp2!F52=0.5,2,IF(CdTrp2!F52=0,1,0)))</f>
        <v>3</v>
      </c>
      <c r="CG98" s="170">
        <f>IF(CdTrp2!G52=1,3,IF(CdTrp2!G52=0.5,2,IF(CdTrp2!G52=0,1,0)))</f>
        <v>3</v>
      </c>
      <c r="CH98" s="170">
        <f>IF(CdTrp2!H52=1,3,IF(CdTrp2!H52=0.5,2,IF(CdTrp2!H52=0,1,0)))</f>
        <v>3</v>
      </c>
      <c r="CI98" s="170">
        <f>IF(CdTrp2!I52=1,3,IF(CdTrp2!I52=0.5,2,IF(CdTrp2!I52=0,1,0)))</f>
        <v>3</v>
      </c>
      <c r="CJ98" s="170">
        <f>IF(CdTrp2!J52=1,3,IF(CdTrp2!J52=0.5,2,IF(CdTrp2!J52=0,1,0)))</f>
        <v>3</v>
      </c>
      <c r="CK98" s="170">
        <f>IF(CdTrp2!K52=1,3,IF(CdTrp2!K52=0.5,2,IF(CdTrp2!K52=0,1,0)))</f>
        <v>3</v>
      </c>
      <c r="CL98" s="170">
        <f>IF(CdTrp2!L52=1,3,IF(CdTrp2!L52=0.5,2,IF(CdTrp2!L52=0,1,0)))</f>
        <v>3</v>
      </c>
      <c r="CM98" s="170">
        <f>IF(CdTrp2!M52=1,3,IF(CdTrp2!M52=0.5,2,IF(CdTrp2!M52=0,1,0)))</f>
        <v>3</v>
      </c>
      <c r="CN98" s="170">
        <f>IF(CdTrp2!N52=1,3,IF(CdTrp2!N52=0.5,2,IF(CdTrp2!N52=0,1,0)))</f>
        <v>3</v>
      </c>
      <c r="CO98" s="170">
        <f>IF(CdTrp2!O52=1,3,IF(CdTrp2!O52=0.5,2,IF(CdTrp2!O52=0,1,0)))</f>
        <v>3</v>
      </c>
      <c r="CP98" s="170">
        <f>IF(CdTrp2!P52=1,3,IF(CdTrp2!P52=0.5,2,IF(CdTrp2!P52=0,1,0)))</f>
        <v>3</v>
      </c>
      <c r="CQ98" s="170">
        <f>IF(CdTrp2!Q52=1,3,IF(CdTrp2!Q52=0.5,2,IF(CdTrp2!Q52=0,1,0)))</f>
        <v>3</v>
      </c>
      <c r="CR98" s="170">
        <f>IF(CdTrp2!R52=1,3,IF(CdTrp2!R52=0.5,2,IF(CdTrp2!R52=0,1,0)))</f>
        <v>3</v>
      </c>
      <c r="CS98" s="170">
        <f>IF(CdTrp2!S52=1,3,IF(CdTrp2!S52=0.5,2,IF(CdTrp2!S52=0,1,0)))</f>
        <v>3</v>
      </c>
      <c r="CT98" s="170">
        <f>IF(CdTrp2!T52=1,3,IF(CdTrp2!T52=0.5,2,IF(CdTrp2!T52=0,1,0)))</f>
        <v>3</v>
      </c>
      <c r="CU98" s="170">
        <f>IF(CdTrp2!U52=1,3,IF(CdTrp2!U52=0.5,2,IF(CdTrp2!U52=0,1,0)))</f>
        <v>3</v>
      </c>
      <c r="CV98" s="170">
        <f>IF(CdTrp2!V52=1,3,IF(CdTrp2!V52=0.5,2,IF(CdTrp2!V52=0,1,0)))</f>
        <v>3</v>
      </c>
      <c r="CW98" s="170">
        <f>IF(CdTrp2!W52=1,3,IF(CdTrp2!W52=0.5,2,IF(CdTrp2!W52=0,1,0)))</f>
        <v>3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1230</v>
      </c>
      <c r="B99" s="14" t="s">
        <v>1231</v>
      </c>
      <c r="C99" s="170">
        <f>MAX(H130:AE130)</f>
        <v>0</v>
      </c>
      <c r="D99" s="170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Brebis laitières tardives</v>
      </c>
      <c r="AU99" s="32"/>
      <c r="AV99" s="170">
        <f>IF(CdTrp1!B53=1,3,IF(CdTrp1!B53=0.5,2,IF(CdTrp1!B53=0,1,0)))</f>
        <v>3</v>
      </c>
      <c r="AW99" s="170">
        <f>IF(CdTrp1!C53=1,3,IF(CdTrp1!C53=0.5,2,IF(CdTrp1!C53=0,1,0)))</f>
        <v>3</v>
      </c>
      <c r="AX99" s="170">
        <f>IF(CdTrp1!D53=1,3,IF(CdTrp1!D53=0.5,2,IF(CdTrp1!D53=0,1,0)))</f>
        <v>3</v>
      </c>
      <c r="AY99" s="170">
        <f>IF(CdTrp1!E53=1,3,IF(CdTrp1!E53=0.5,2,IF(CdTrp1!E53=0,1,0)))</f>
        <v>3</v>
      </c>
      <c r="AZ99" s="170">
        <f>IF(CdTrp1!F53=1,3,IF(CdTrp1!F53=0.5,2,IF(CdTrp1!F53=0,1,0)))</f>
        <v>3</v>
      </c>
      <c r="BA99" s="170">
        <f>IF(CdTrp1!G53=1,3,IF(CdTrp1!G53=0.5,2,IF(CdTrp1!G53=0,1,0)))</f>
        <v>3</v>
      </c>
      <c r="BB99" s="170">
        <f>IF(CdTrp1!H53=1,3,IF(CdTrp1!H53=0.5,2,IF(CdTrp1!H53=0,1,0)))</f>
        <v>3</v>
      </c>
      <c r="BC99" s="170">
        <f>IF(CdTrp1!I53=1,3,IF(CdTrp1!I53=0.5,2,IF(CdTrp1!I53=0,1,0)))</f>
        <v>3</v>
      </c>
      <c r="BD99" s="170">
        <f>IF(CdTrp1!J53=1,3,IF(CdTrp1!J53=0.5,2,IF(CdTrp1!J53=0,1,0)))</f>
        <v>3</v>
      </c>
      <c r="BE99" s="170">
        <f>IF(CdTrp1!K53=1,3,IF(CdTrp1!K53=0.5,2,IF(CdTrp1!K53=0,1,0)))</f>
        <v>0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0</v>
      </c>
      <c r="BR99" s="170">
        <f>IF(CdTrp1!X53=1,3,IF(CdTrp1!X53=0.5,2,IF(CdTrp1!X53=0,1,0)))</f>
        <v>3</v>
      </c>
      <c r="BS99" s="170">
        <f>IF(CdTrp1!Y53=1,3,IF(CdTrp1!Y53=0.5,2,IF(CdTrp1!Y53=0,1,0)))</f>
        <v>3</v>
      </c>
      <c r="BU99">
        <v>2</v>
      </c>
      <c r="BV99" t="s">
        <v>810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3</v>
      </c>
      <c r="CE99" s="170">
        <f>IF(CdTrp2!E53=1,3,IF(CdTrp2!E53=0.5,2,IF(CdTrp2!E53=0,1,0)))</f>
        <v>3</v>
      </c>
      <c r="CF99" s="170">
        <f>IF(CdTrp2!F53=1,3,IF(CdTrp2!F53=0.5,2,IF(CdTrp2!F53=0,1,0)))</f>
        <v>3</v>
      </c>
      <c r="CG99" s="170">
        <f>IF(CdTrp2!G53=1,3,IF(CdTrp2!G53=0.5,2,IF(CdTrp2!G53=0,1,0)))</f>
        <v>3</v>
      </c>
      <c r="CH99" s="170">
        <f>IF(CdTrp2!H53=1,3,IF(CdTrp2!H53=0.5,2,IF(CdTrp2!H53=0,1,0)))</f>
        <v>3</v>
      </c>
      <c r="CI99" s="170">
        <f>IF(CdTrp2!I53=1,3,IF(CdTrp2!I53=0.5,2,IF(CdTrp2!I53=0,1,0)))</f>
        <v>3</v>
      </c>
      <c r="CJ99" s="170">
        <f>IF(CdTrp2!J53=1,3,IF(CdTrp2!J53=0.5,2,IF(CdTrp2!J53=0,1,0)))</f>
        <v>3</v>
      </c>
      <c r="CK99" s="170">
        <f>IF(CdTrp2!K53=1,3,IF(CdTrp2!K53=0.5,2,IF(CdTrp2!K53=0,1,0)))</f>
        <v>3</v>
      </c>
      <c r="CL99" s="170">
        <f>IF(CdTrp2!L53=1,3,IF(CdTrp2!L53=0.5,2,IF(CdTrp2!L53=0,1,0)))</f>
        <v>3</v>
      </c>
      <c r="CM99" s="170">
        <f>IF(CdTrp2!M53=1,3,IF(CdTrp2!M53=0.5,2,IF(CdTrp2!M53=0,1,0)))</f>
        <v>3</v>
      </c>
      <c r="CN99" s="170">
        <f>IF(CdTrp2!N53=1,3,IF(CdTrp2!N53=0.5,2,IF(CdTrp2!N53=0,1,0)))</f>
        <v>3</v>
      </c>
      <c r="CO99" s="170">
        <f>IF(CdTrp2!O53=1,3,IF(CdTrp2!O53=0.5,2,IF(CdTrp2!O53=0,1,0)))</f>
        <v>3</v>
      </c>
      <c r="CP99" s="170">
        <f>IF(CdTrp2!P53=1,3,IF(CdTrp2!P53=0.5,2,IF(CdTrp2!P53=0,1,0)))</f>
        <v>3</v>
      </c>
      <c r="CQ99" s="170">
        <f>IF(CdTrp2!Q53=1,3,IF(CdTrp2!Q53=0.5,2,IF(CdTrp2!Q53=0,1,0)))</f>
        <v>3</v>
      </c>
      <c r="CR99" s="170">
        <f>IF(CdTrp2!R53=1,3,IF(CdTrp2!R53=0.5,2,IF(CdTrp2!R53=0,1,0)))</f>
        <v>3</v>
      </c>
      <c r="CS99" s="170">
        <f>IF(CdTrp2!S53=1,3,IF(CdTrp2!S53=0.5,2,IF(CdTrp2!S53=0,1,0)))</f>
        <v>3</v>
      </c>
      <c r="CT99" s="170">
        <f>IF(CdTrp2!T53=1,3,IF(CdTrp2!T53=0.5,2,IF(CdTrp2!T53=0,1,0)))</f>
        <v>3</v>
      </c>
      <c r="CU99" s="170">
        <f>IF(CdTrp2!U53=1,3,IF(CdTrp2!U53=0.5,2,IF(CdTrp2!U53=0,1,0)))</f>
        <v>3</v>
      </c>
      <c r="CV99" s="170">
        <f>IF(CdTrp2!V53=1,3,IF(CdTrp2!V53=0.5,2,IF(CdTrp2!V53=0,1,0)))</f>
        <v>3</v>
      </c>
      <c r="CW99" s="170">
        <f>IF(CdTrp2!W53=1,3,IF(CdTrp2!W53=0.5,2,IF(CdTrp2!W53=0,1,0)))</f>
        <v>3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1232</v>
      </c>
      <c r="B100" s="14" t="s">
        <v>1233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Brebis vides</v>
      </c>
      <c r="AU100" s="32"/>
      <c r="AV100" s="170">
        <f>IF(CdTrp1!B54=1,3,IF(CdTrp1!B54=0.5,2,IF(CdTrp1!B54=0,1,0)))</f>
        <v>3</v>
      </c>
      <c r="AW100" s="170">
        <f>IF(CdTrp1!C54=1,3,IF(CdTrp1!C54=0.5,2,IF(CdTrp1!C54=0,1,0)))</f>
        <v>3</v>
      </c>
      <c r="AX100" s="170">
        <f>IF(CdTrp1!D54=1,3,IF(CdTrp1!D54=0.5,2,IF(CdTrp1!D54=0,1,0)))</f>
        <v>3</v>
      </c>
      <c r="AY100" s="170">
        <f>IF(CdTrp1!E54=1,3,IF(CdTrp1!E54=0.5,2,IF(CdTrp1!E54=0,1,0)))</f>
        <v>3</v>
      </c>
      <c r="AZ100" s="170">
        <f>IF(CdTrp1!F54=1,3,IF(CdTrp1!F54=0.5,2,IF(CdTrp1!F54=0,1,0)))</f>
        <v>3</v>
      </c>
      <c r="BA100" s="170">
        <f>IF(CdTrp1!G54=1,3,IF(CdTrp1!G54=0.5,2,IF(CdTrp1!G54=0,1,0)))</f>
        <v>3</v>
      </c>
      <c r="BB100" s="170">
        <f>IF(CdTrp1!H54=1,3,IF(CdTrp1!H54=0.5,2,IF(CdTrp1!H54=0,1,0)))</f>
        <v>3</v>
      </c>
      <c r="BC100" s="170">
        <f>IF(CdTrp1!I54=1,3,IF(CdTrp1!I54=0.5,2,IF(CdTrp1!I54=0,1,0)))</f>
        <v>3</v>
      </c>
      <c r="BD100" s="170">
        <f>IF(CdTrp1!J54=1,3,IF(CdTrp1!J54=0.5,2,IF(CdTrp1!J54=0,1,0)))</f>
        <v>3</v>
      </c>
      <c r="BE100" s="170">
        <f>IF(CdTrp1!K54=1,3,IF(CdTrp1!K54=0.5,2,IF(CdTrp1!K54=0,1,0)))</f>
        <v>3</v>
      </c>
      <c r="BF100" s="170">
        <f>IF(CdTrp1!L54=1,3,IF(CdTrp1!L54=0.5,2,IF(CdTrp1!L54=0,1,0)))</f>
        <v>0</v>
      </c>
      <c r="BG100" s="170">
        <f>IF(CdTrp1!M54=1,3,IF(CdTrp1!M54=0.5,2,IF(CdTrp1!M54=0,1,0)))</f>
        <v>0</v>
      </c>
      <c r="BH100" s="170">
        <f>IF(CdTrp1!N54=1,3,IF(CdTrp1!N54=0.5,2,IF(CdTrp1!N54=0,1,0)))</f>
        <v>0</v>
      </c>
      <c r="BI100" s="170">
        <f>IF(CdTrp1!O54=1,3,IF(CdTrp1!O54=0.5,2,IF(CdTrp1!O54=0,1,0)))</f>
        <v>0</v>
      </c>
      <c r="BJ100" s="170">
        <f>IF(CdTrp1!P54=1,3,IF(CdTrp1!P54=0.5,2,IF(CdTrp1!P54=0,1,0)))</f>
        <v>0</v>
      </c>
      <c r="BK100" s="170">
        <f>IF(CdTrp1!Q54=1,3,IF(CdTrp1!Q54=0.5,2,IF(CdTrp1!Q54=0,1,0)))</f>
        <v>0</v>
      </c>
      <c r="BL100" s="170">
        <f>IF(CdTrp1!R54=1,3,IF(CdTrp1!R54=0.5,2,IF(CdTrp1!R54=0,1,0)))</f>
        <v>0</v>
      </c>
      <c r="BM100" s="170">
        <f>IF(CdTrp1!S54=1,3,IF(CdTrp1!S54=0.5,2,IF(CdTrp1!S54=0,1,0)))</f>
        <v>0</v>
      </c>
      <c r="BN100" s="170">
        <f>IF(CdTrp1!T54=1,3,IF(CdTrp1!T54=0.5,2,IF(CdTrp1!T54=0,1,0)))</f>
        <v>0</v>
      </c>
      <c r="BO100" s="170">
        <f>IF(CdTrp1!U54=1,3,IF(CdTrp1!U54=0.5,2,IF(CdTrp1!U54=0,1,0)))</f>
        <v>0</v>
      </c>
      <c r="BP100" s="170">
        <f>IF(CdTrp1!V54=1,3,IF(CdTrp1!V54=0.5,2,IF(CdTrp1!V54=0,1,0)))</f>
        <v>0</v>
      </c>
      <c r="BQ100" s="170">
        <f>IF(CdTrp1!W54=1,3,IF(CdTrp1!W54=0.5,2,IF(CdTrp1!W54=0,1,0)))</f>
        <v>3</v>
      </c>
      <c r="BR100" s="170">
        <f>IF(CdTrp1!X54=1,3,IF(CdTrp1!X54=0.5,2,IF(CdTrp1!X54=0,1,0)))</f>
        <v>3</v>
      </c>
      <c r="BS100" s="170">
        <f>IF(CdTrp1!Y54=1,3,IF(CdTrp1!Y54=0.5,2,IF(CdTrp1!Y54=0,1,0)))</f>
        <v>3</v>
      </c>
      <c r="BU100">
        <v>1</v>
      </c>
      <c r="BV100" t="s">
        <v>811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1234</v>
      </c>
      <c r="C101" s="170">
        <f>MAX(H132:AE132)</f>
        <v>0</v>
      </c>
      <c r="D101" s="170">
        <f t="shared" si="25"/>
        <v>0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3</v>
      </c>
      <c r="BE101" s="170">
        <f>IF(CdTrp1!K55=1,3,IF(CdTrp1!K55=0.5,2,IF(CdTrp1!K55=0,1,0)))</f>
        <v>3</v>
      </c>
      <c r="BF101" s="170">
        <f>IF(CdTrp1!L55=1,3,IF(CdTrp1!L55=0.5,2,IF(CdTrp1!L55=0,1,0)))</f>
        <v>3</v>
      </c>
      <c r="BG101" s="170">
        <f>IF(CdTrp1!M55=1,3,IF(CdTrp1!M55=0.5,2,IF(CdTrp1!M55=0,1,0)))</f>
        <v>3</v>
      </c>
      <c r="BH101" s="170">
        <f>IF(CdTrp1!N55=1,3,IF(CdTrp1!N55=0.5,2,IF(CdTrp1!N55=0,1,0)))</f>
        <v>3</v>
      </c>
      <c r="BI101" s="170">
        <f>IF(CdTrp1!O55=1,3,IF(CdTrp1!O55=0.5,2,IF(CdTrp1!O55=0,1,0)))</f>
        <v>3</v>
      </c>
      <c r="BJ101" s="170">
        <f>IF(CdTrp1!P55=1,3,IF(CdTrp1!P55=0.5,2,IF(CdTrp1!P55=0,1,0)))</f>
        <v>3</v>
      </c>
      <c r="BK101" s="170">
        <f>IF(CdTrp1!Q55=1,3,IF(CdTrp1!Q55=0.5,2,IF(CdTrp1!Q55=0,1,0)))</f>
        <v>3</v>
      </c>
      <c r="BL101" s="170">
        <f>IF(CdTrp1!R55=1,3,IF(CdTrp1!R55=0.5,2,IF(CdTrp1!R55=0,1,0)))</f>
        <v>3</v>
      </c>
      <c r="BM101" s="170">
        <f>IF(CdTrp1!S55=1,3,IF(CdTrp1!S55=0.5,2,IF(CdTrp1!S55=0,1,0)))</f>
        <v>3</v>
      </c>
      <c r="BN101" s="170">
        <f>IF(CdTrp1!T55=1,3,IF(CdTrp1!T55=0.5,2,IF(CdTrp1!T55=0,1,0)))</f>
        <v>3</v>
      </c>
      <c r="BO101" s="170">
        <f>IF(CdTrp1!U55=1,3,IF(CdTrp1!U55=0.5,2,IF(CdTrp1!U55=0,1,0)))</f>
        <v>3</v>
      </c>
      <c r="BP101" s="170">
        <f>IF(CdTrp1!V55=1,3,IF(CdTrp1!V55=0.5,2,IF(CdTrp1!V55=0,1,0)))</f>
        <v>3</v>
      </c>
      <c r="BQ101" s="170">
        <f>IF(CdTrp1!W55=1,3,IF(CdTrp1!W55=0.5,2,IF(CdTrp1!W55=0,1,0)))</f>
        <v>3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1235</v>
      </c>
      <c r="C102" s="170">
        <f>(24-COUNTIF(H129:AE129,0))/2</f>
        <v>0</v>
      </c>
      <c r="D102" s="170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3</v>
      </c>
      <c r="BA102" s="170">
        <f>IF(CdTrp1!G56=1,3,IF(CdTrp1!G56=0.5,2,IF(CdTrp1!G56=0,1,0)))</f>
        <v>3</v>
      </c>
      <c r="BB102" s="170">
        <f>IF(CdTrp1!H56=1,3,IF(CdTrp1!H56=0.5,2,IF(CdTrp1!H56=0,1,0)))</f>
        <v>3</v>
      </c>
      <c r="BC102" s="170">
        <f>IF(CdTrp1!I56=1,3,IF(CdTrp1!I56=0.5,2,IF(CdTrp1!I56=0,1,0)))</f>
        <v>3</v>
      </c>
      <c r="BD102" s="170">
        <f>IF(CdTrp1!J56=1,3,IF(CdTrp1!J56=0.5,2,IF(CdTrp1!J56=0,1,0)))</f>
        <v>3</v>
      </c>
      <c r="BE102" s="170">
        <f>IF(CdTrp1!K56=1,3,IF(CdTrp1!K56=0.5,2,IF(CdTrp1!K56=0,1,0)))</f>
        <v>3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1236</v>
      </c>
      <c r="C103" s="170">
        <f>(24-COUNTIF(H130:AE130,0))/2</f>
        <v>0</v>
      </c>
      <c r="D103" s="170">
        <f t="shared" si="25"/>
        <v>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1237</v>
      </c>
      <c r="C104" s="170">
        <f>(24-COUNTIF(H131:AE131,0))/2</f>
        <v>0</v>
      </c>
      <c r="D104" s="170">
        <f t="shared" si="25"/>
        <v>0</v>
      </c>
      <c r="F104" s="14" t="s">
        <v>940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1238</v>
      </c>
      <c r="C105" s="170">
        <f>(24-COUNTIF(H132:AE132,0))/2</f>
        <v>0</v>
      </c>
      <c r="D105" s="170">
        <f t="shared" si="25"/>
        <v>0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1239</v>
      </c>
      <c r="C106" s="170">
        <f>SUM(H129:AE129)/2</f>
        <v>0</v>
      </c>
      <c r="D106" s="170">
        <f t="shared" si="25"/>
        <v>0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1240</v>
      </c>
      <c r="C107" s="170">
        <f>SUM(H130:AE130)/2</f>
        <v>0</v>
      </c>
      <c r="D107" s="170">
        <f t="shared" si="25"/>
        <v>0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1241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813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813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813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1242</v>
      </c>
      <c r="C109" s="170">
        <f>SUM(H132:AE132)/2</f>
        <v>0</v>
      </c>
      <c r="D109" s="170">
        <f t="shared" si="25"/>
        <v>0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0</v>
      </c>
      <c r="AW109" s="170">
        <f>IF(CdTrp1!C76=1,1,IF(CdTrp1!C76=2,2,IF(CdTrp1!C76=3,2,IF(CdTrp1!C76=4,4,0))))</f>
        <v>0</v>
      </c>
      <c r="AX109" s="170">
        <f>IF(CdTrp1!D76=1,1,IF(CdTrp1!D76=2,2,IF(CdTrp1!D76=3,2,IF(CdTrp1!D76=4,4,0))))</f>
        <v>0</v>
      </c>
      <c r="AY109" s="170">
        <f>IF(CdTrp1!E76=1,1,IF(CdTrp1!E76=2,2,IF(CdTrp1!E76=3,2,IF(CdTrp1!E76=4,4,0))))</f>
        <v>0</v>
      </c>
      <c r="AZ109" s="170">
        <f>IF(CdTrp1!F76=1,1,IF(CdTrp1!F76=2,2,IF(CdTrp1!F76=3,2,IF(CdTrp1!F76=4,4,0))))</f>
        <v>0</v>
      </c>
      <c r="BA109" s="170">
        <f>IF(CdTrp1!G76=1,1,IF(CdTrp1!G76=2,2,IF(CdTrp1!G76=3,2,IF(CdTrp1!G76=4,4,0))))</f>
        <v>0</v>
      </c>
      <c r="BB109" s="170">
        <f>IF(CdTrp1!H76=1,1,IF(CdTrp1!H76=2,2,IF(CdTrp1!H76=3,2,IF(CdTrp1!H76=4,4,0))))</f>
        <v>0</v>
      </c>
      <c r="BC109" s="170">
        <f>IF(CdTrp1!I76=1,1,IF(CdTrp1!I76=2,2,IF(CdTrp1!I76=3,2,IF(CdTrp1!I76=4,4,0))))</f>
        <v>0</v>
      </c>
      <c r="BD109" s="170">
        <f>IF(CdTrp1!J76=1,1,IF(CdTrp1!J76=2,2,IF(CdTrp1!J76=3,2,IF(CdTrp1!J76=4,4,0))))</f>
        <v>0</v>
      </c>
      <c r="BE109" s="170">
        <f>IF(CdTrp1!K76=1,1,IF(CdTrp1!K76=2,2,IF(CdTrp1!K76=3,2,IF(CdTrp1!K76=4,4,0))))</f>
        <v>0</v>
      </c>
      <c r="BF109" s="170">
        <f>IF(CdTrp1!L76=1,1,IF(CdTrp1!L76=2,2,IF(CdTrp1!L76=3,2,IF(CdTrp1!L76=4,4,0))))</f>
        <v>0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0</v>
      </c>
      <c r="BN109" s="170">
        <f>IF(CdTrp1!T76=1,1,IF(CdTrp1!T76=2,2,IF(CdTrp1!T76=3,2,IF(CdTrp1!T76=4,4,0))))</f>
        <v>0</v>
      </c>
      <c r="BO109" s="170">
        <f>IF(CdTrp1!U76=1,1,IF(CdTrp1!U76=2,2,IF(CdTrp1!U76=3,2,IF(CdTrp1!U76=4,4,0))))</f>
        <v>0</v>
      </c>
      <c r="BP109" s="170">
        <f>IF(CdTrp1!V76=1,1,IF(CdTrp1!V76=2,2,IF(CdTrp1!V76=3,2,IF(CdTrp1!V76=4,4,0))))</f>
        <v>0</v>
      </c>
      <c r="BQ109" s="170">
        <f>IF(CdTrp1!W76=1,1,IF(CdTrp1!W76=2,2,IF(CdTrp1!W76=3,2,IF(CdTrp1!W76=4,4,0))))</f>
        <v>0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0</v>
      </c>
      <c r="CF109" s="170">
        <f>IF(CdTrp2!F76=1,1,IF(CdTrp2!F76=2,2,IF(CdTrp2!F76=3,2,IF(CdTrp2!F76=4,4,0))))</f>
        <v>0</v>
      </c>
      <c r="CG109" s="170">
        <f>IF(CdTrp2!G76=1,1,IF(CdTrp2!G76=2,2,IF(CdTrp2!G76=3,2,IF(CdTrp2!G76=4,4,0))))</f>
        <v>0</v>
      </c>
      <c r="CH109" s="170">
        <f>IF(CdTrp2!H76=1,1,IF(CdTrp2!H76=2,2,IF(CdTrp2!H76=3,2,IF(CdTrp2!H76=4,4,0))))</f>
        <v>0</v>
      </c>
      <c r="CI109" s="170">
        <f>IF(CdTrp2!I76=1,1,IF(CdTrp2!I76=2,2,IF(CdTrp2!I76=3,2,IF(CdTrp2!I76=4,4,0))))</f>
        <v>0</v>
      </c>
      <c r="CJ109" s="170">
        <f>IF(CdTrp2!J76=1,1,IF(CdTrp2!J76=2,2,IF(CdTrp2!J76=3,2,IF(CdTrp2!J76=4,4,0))))</f>
        <v>0</v>
      </c>
      <c r="CK109" s="170">
        <f>IF(CdTrp2!K76=1,1,IF(CdTrp2!K76=2,2,IF(CdTrp2!K76=3,2,IF(CdTrp2!K76=4,4,0))))</f>
        <v>0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0</v>
      </c>
      <c r="CS109" s="170">
        <f>IF(CdTrp2!S76=1,1,IF(CdTrp2!S76=2,2,IF(CdTrp2!S76=3,2,IF(CdTrp2!S76=4,4,0))))</f>
        <v>0</v>
      </c>
      <c r="CT109" s="170">
        <f>IF(CdTrp2!T76=1,1,IF(CdTrp2!T76=2,2,IF(CdTrp2!T76=3,2,IF(CdTrp2!T76=4,4,0))))</f>
        <v>0</v>
      </c>
      <c r="CU109" s="170">
        <f>IF(CdTrp2!U76=1,1,IF(CdTrp2!U76=2,2,IF(CdTrp2!U76=3,2,IF(CdTrp2!U76=4,4,0))))</f>
        <v>0</v>
      </c>
      <c r="CV109" s="170">
        <f>IF(CdTrp2!V76=1,1,IF(CdTrp2!V76=2,2,IF(CdTrp2!V76=3,2,IF(CdTrp2!V76=4,4,0))))</f>
        <v>0</v>
      </c>
      <c r="CW109" s="170">
        <f>IF(CdTrp2!W76=1,1,IF(CdTrp2!W76=2,2,IF(CdTrp2!W76=3,2,IF(CdTrp2!W76=4,4,0))))</f>
        <v>0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1243</v>
      </c>
      <c r="C110" s="170">
        <f>COUNTIF($H$94:$AE$103,1)/2</f>
        <v>0</v>
      </c>
      <c r="D110" s="170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Brebis laitières tardives</v>
      </c>
      <c r="AU110" s="32"/>
      <c r="AV110" s="170">
        <f>IF(CdTrp1!B77=1,1,IF(CdTrp1!B77=2,2,IF(CdTrp1!B77=3,2,IF(CdTrp1!B77=4,4,0))))</f>
        <v>0</v>
      </c>
      <c r="AW110" s="170">
        <f>IF(CdTrp1!C77=1,1,IF(CdTrp1!C77=2,2,IF(CdTrp1!C77=3,2,IF(CdTrp1!C77=4,4,0))))</f>
        <v>0</v>
      </c>
      <c r="AX110" s="170">
        <f>IF(CdTrp1!D77=1,1,IF(CdTrp1!D77=2,2,IF(CdTrp1!D77=3,2,IF(CdTrp1!D77=4,4,0))))</f>
        <v>0</v>
      </c>
      <c r="AY110" s="170">
        <f>IF(CdTrp1!E77=1,1,IF(CdTrp1!E77=2,2,IF(CdTrp1!E77=3,2,IF(CdTrp1!E77=4,4,0))))</f>
        <v>0</v>
      </c>
      <c r="AZ110" s="170">
        <f>IF(CdTrp1!F77=1,1,IF(CdTrp1!F77=2,2,IF(CdTrp1!F77=3,2,IF(CdTrp1!F77=4,4,0))))</f>
        <v>0</v>
      </c>
      <c r="BA110" s="170">
        <f>IF(CdTrp1!G77=1,1,IF(CdTrp1!G77=2,2,IF(CdTrp1!G77=3,2,IF(CdTrp1!G77=4,4,0))))</f>
        <v>0</v>
      </c>
      <c r="BB110" s="170">
        <f>IF(CdTrp1!H77=1,1,IF(CdTrp1!H77=2,2,IF(CdTrp1!H77=3,2,IF(CdTrp1!H77=4,4,0))))</f>
        <v>0</v>
      </c>
      <c r="BC110" s="170">
        <f>IF(CdTrp1!I77=1,1,IF(CdTrp1!I77=2,2,IF(CdTrp1!I77=3,2,IF(CdTrp1!I77=4,4,0))))</f>
        <v>0</v>
      </c>
      <c r="BD110" s="170">
        <f>IF(CdTrp1!J77=1,1,IF(CdTrp1!J77=2,2,IF(CdTrp1!J77=3,2,IF(CdTrp1!J77=4,4,0))))</f>
        <v>0</v>
      </c>
      <c r="BE110" s="170">
        <f>IF(CdTrp1!K77=1,1,IF(CdTrp1!K77=2,2,IF(CdTrp1!K77=3,2,IF(CdTrp1!K77=4,4,0))))</f>
        <v>0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0</v>
      </c>
      <c r="BS110" s="170">
        <f>IF(CdTrp1!Y77=1,1,IF(CdTrp1!Y77=2,2,IF(CdTrp1!Y77=3,2,IF(CdTrp1!Y77=4,4,0))))</f>
        <v>0</v>
      </c>
      <c r="BU110">
        <v>2</v>
      </c>
      <c r="BV110" t="s">
        <v>817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0</v>
      </c>
      <c r="CE110" s="170">
        <f>IF(CdTrp2!E77=1,1,IF(CdTrp2!E77=2,2,IF(CdTrp2!E77=3,2,IF(CdTrp2!E77=4,4,0))))</f>
        <v>0</v>
      </c>
      <c r="CF110" s="170">
        <f>IF(CdTrp2!F77=1,1,IF(CdTrp2!F77=2,2,IF(CdTrp2!F77=3,2,IF(CdTrp2!F77=4,4,0))))</f>
        <v>0</v>
      </c>
      <c r="CG110" s="170">
        <f>IF(CdTrp2!G77=1,1,IF(CdTrp2!G77=2,2,IF(CdTrp2!G77=3,2,IF(CdTrp2!G77=4,4,0))))</f>
        <v>0</v>
      </c>
      <c r="CH110" s="170">
        <f>IF(CdTrp2!H77=1,1,IF(CdTrp2!H77=2,2,IF(CdTrp2!H77=3,2,IF(CdTrp2!H77=4,4,0))))</f>
        <v>0</v>
      </c>
      <c r="CI110" s="170">
        <f>IF(CdTrp2!I77=1,1,IF(CdTrp2!I77=2,2,IF(CdTrp2!I77=3,2,IF(CdTrp2!I77=4,4,0))))</f>
        <v>0</v>
      </c>
      <c r="CJ110" s="170">
        <f>IF(CdTrp2!J77=1,1,IF(CdTrp2!J77=2,2,IF(CdTrp2!J77=3,2,IF(CdTrp2!J77=4,4,0))))</f>
        <v>0</v>
      </c>
      <c r="CK110" s="170">
        <f>IF(CdTrp2!K77=1,1,IF(CdTrp2!K77=2,2,IF(CdTrp2!K77=3,2,IF(CdTrp2!K77=4,4,0))))</f>
        <v>0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0</v>
      </c>
      <c r="CS110" s="170">
        <f>IF(CdTrp2!S77=1,1,IF(CdTrp2!S77=2,2,IF(CdTrp2!S77=3,2,IF(CdTrp2!S77=4,4,0))))</f>
        <v>0</v>
      </c>
      <c r="CT110" s="170">
        <f>IF(CdTrp2!T77=1,1,IF(CdTrp2!T77=2,2,IF(CdTrp2!T77=3,2,IF(CdTrp2!T77=4,4,0))))</f>
        <v>0</v>
      </c>
      <c r="CU110" s="170">
        <f>IF(CdTrp2!U77=1,1,IF(CdTrp2!U77=2,2,IF(CdTrp2!U77=3,2,IF(CdTrp2!U77=4,4,0))))</f>
        <v>0</v>
      </c>
      <c r="CV110" s="170">
        <f>IF(CdTrp2!V77=1,1,IF(CdTrp2!V77=2,2,IF(CdTrp2!V77=3,2,IF(CdTrp2!V77=4,4,0))))</f>
        <v>0</v>
      </c>
      <c r="CW110" s="170">
        <f>IF(CdTrp2!W77=1,1,IF(CdTrp2!W77=2,2,IF(CdTrp2!W77=3,2,IF(CdTrp2!W77=4,4,0))))</f>
        <v>0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1244</v>
      </c>
      <c r="C111" s="170">
        <f>COUNTIF($H$105:$AE$114,1)/2</f>
        <v>0</v>
      </c>
      <c r="D111" s="170">
        <f t="shared" si="25"/>
        <v>0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Brebis vides</v>
      </c>
      <c r="AU111" s="32"/>
      <c r="AV111" s="170">
        <f>IF(CdTrp1!B78=1,1,IF(CdTrp1!B78=2,2,IF(CdTrp1!B78=3,2,IF(CdTrp1!B78=4,4,0))))</f>
        <v>0</v>
      </c>
      <c r="AW111" s="170">
        <f>IF(CdTrp1!C78=1,1,IF(CdTrp1!C78=2,2,IF(CdTrp1!C78=3,2,IF(CdTrp1!C78=4,4,0))))</f>
        <v>0</v>
      </c>
      <c r="AX111" s="170">
        <f>IF(CdTrp1!D78=1,1,IF(CdTrp1!D78=2,2,IF(CdTrp1!D78=3,2,IF(CdTrp1!D78=4,4,0))))</f>
        <v>0</v>
      </c>
      <c r="AY111" s="170">
        <f>IF(CdTrp1!E78=1,1,IF(CdTrp1!E78=2,2,IF(CdTrp1!E78=3,2,IF(CdTrp1!E78=4,4,0))))</f>
        <v>0</v>
      </c>
      <c r="AZ111" s="170">
        <f>IF(CdTrp1!F78=1,1,IF(CdTrp1!F78=2,2,IF(CdTrp1!F78=3,2,IF(CdTrp1!F78=4,4,0))))</f>
        <v>0</v>
      </c>
      <c r="BA111" s="170">
        <f>IF(CdTrp1!G78=1,1,IF(CdTrp1!G78=2,2,IF(CdTrp1!G78=3,2,IF(CdTrp1!G78=4,4,0))))</f>
        <v>0</v>
      </c>
      <c r="BB111" s="170">
        <f>IF(CdTrp1!H78=1,1,IF(CdTrp1!H78=2,2,IF(CdTrp1!H78=3,2,IF(CdTrp1!H78=4,4,0))))</f>
        <v>0</v>
      </c>
      <c r="BC111" s="170">
        <f>IF(CdTrp1!I78=1,1,IF(CdTrp1!I78=2,2,IF(CdTrp1!I78=3,2,IF(CdTrp1!I78=4,4,0))))</f>
        <v>0</v>
      </c>
      <c r="BD111" s="170">
        <f>IF(CdTrp1!J78=1,1,IF(CdTrp1!J78=2,2,IF(CdTrp1!J78=3,2,IF(CdTrp1!J78=4,4,0))))</f>
        <v>0</v>
      </c>
      <c r="BE111" s="170">
        <f>IF(CdTrp1!K78=1,1,IF(CdTrp1!K78=2,2,IF(CdTrp1!K78=3,2,IF(CdTrp1!K78=4,4,0))))</f>
        <v>0</v>
      </c>
      <c r="BF111" s="170">
        <f>IF(CdTrp1!L78=1,1,IF(CdTrp1!L78=2,2,IF(CdTrp1!L78=3,2,IF(CdTrp1!L78=4,4,0))))</f>
        <v>0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0</v>
      </c>
      <c r="BR111" s="170">
        <f>IF(CdTrp1!X78=1,1,IF(CdTrp1!X78=2,2,IF(CdTrp1!X78=3,2,IF(CdTrp1!X78=4,4,0))))</f>
        <v>0</v>
      </c>
      <c r="BS111" s="170">
        <f>IF(CdTrp1!Y78=1,1,IF(CdTrp1!Y78=2,2,IF(CdTrp1!Y78=3,2,IF(CdTrp1!Y78=4,4,0))))</f>
        <v>0</v>
      </c>
      <c r="BU111" s="191">
        <v>4</v>
      </c>
      <c r="BV111" t="s">
        <v>819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1245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0</v>
      </c>
      <c r="BE112" s="170">
        <f>IF(CdTrp1!K79=1,1,IF(CdTrp1!K79=2,2,IF(CdTrp1!K79=3,2,IF(CdTrp1!K79=4,4,0))))</f>
        <v>0</v>
      </c>
      <c r="BF112" s="170">
        <f>IF(CdTrp1!L79=1,1,IF(CdTrp1!L79=2,2,IF(CdTrp1!L79=3,2,IF(CdTrp1!L79=4,4,0))))</f>
        <v>0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0</v>
      </c>
      <c r="BN112" s="170">
        <f>IF(CdTrp1!T79=1,1,IF(CdTrp1!T79=2,2,IF(CdTrp1!T79=3,2,IF(CdTrp1!T79=4,4,0))))</f>
        <v>0</v>
      </c>
      <c r="BO112" s="170">
        <f>IF(CdTrp1!U79=1,1,IF(CdTrp1!U79=2,2,IF(CdTrp1!U79=3,2,IF(CdTrp1!U79=4,4,0))))</f>
        <v>0</v>
      </c>
      <c r="BP112" s="170">
        <f>IF(CdTrp1!V79=1,1,IF(CdTrp1!V79=2,2,IF(CdTrp1!V79=3,2,IF(CdTrp1!V79=4,4,0))))</f>
        <v>0</v>
      </c>
      <c r="BQ112" s="170">
        <f>IF(CdTrp1!W79=1,1,IF(CdTrp1!W79=2,2,IF(CdTrp1!W79=3,2,IF(CdTrp1!W79=4,4,0))))</f>
        <v>0</v>
      </c>
      <c r="BR112" s="170">
        <f>IF(CdTrp1!X79=1,1,IF(CdTrp1!X79=2,2,IF(CdTrp1!X79=3,2,IF(CdTrp1!X79=4,4,0))))</f>
        <v>0</v>
      </c>
      <c r="BS112" s="170">
        <f>IF(CdTrp1!Y79=1,1,IF(CdTrp1!Y79=2,2,IF(CdTrp1!Y79=3,2,IF(CdTrp1!Y79=4,4,0))))</f>
        <v>0</v>
      </c>
      <c r="BU112">
        <v>0</v>
      </c>
      <c r="BV112" t="s">
        <v>821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1246</v>
      </c>
      <c r="C113" s="170">
        <f>COUNTIF($H$94:$AE$103,2)/2</f>
        <v>0</v>
      </c>
      <c r="D113" s="170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0</v>
      </c>
      <c r="BA113" s="170">
        <f>IF(CdTrp1!G80=1,1,IF(CdTrp1!G80=2,2,IF(CdTrp1!G80=3,2,IF(CdTrp1!G80=4,4,0))))</f>
        <v>0</v>
      </c>
      <c r="BB113" s="170">
        <f>IF(CdTrp1!H80=1,1,IF(CdTrp1!H80=2,2,IF(CdTrp1!H80=3,2,IF(CdTrp1!H80=4,4,0))))</f>
        <v>0</v>
      </c>
      <c r="BC113" s="170">
        <f>IF(CdTrp1!I80=1,1,IF(CdTrp1!I80=2,2,IF(CdTrp1!I80=3,2,IF(CdTrp1!I80=4,4,0))))</f>
        <v>0</v>
      </c>
      <c r="BD113" s="170">
        <f>IF(CdTrp1!J80=1,1,IF(CdTrp1!J80=2,2,IF(CdTrp1!J80=3,2,IF(CdTrp1!J80=4,4,0))))</f>
        <v>0</v>
      </c>
      <c r="BE113" s="170">
        <f>IF(CdTrp1!K80=1,1,IF(CdTrp1!K80=2,2,IF(CdTrp1!K80=3,2,IF(CdTrp1!K80=4,4,0))))</f>
        <v>0</v>
      </c>
      <c r="BF113" s="170">
        <f>IF(CdTrp1!L80=1,1,IF(CdTrp1!L80=2,2,IF(CdTrp1!L80=3,2,IF(CdTrp1!L80=4,4,0))))</f>
        <v>0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1247</v>
      </c>
      <c r="C114" s="170">
        <f>COUNTIF($H$105:$AE$114,2)/2</f>
        <v>0</v>
      </c>
      <c r="D114" s="170">
        <f t="shared" si="25"/>
        <v>0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1248</v>
      </c>
      <c r="C115" s="170">
        <f>COUNTIF($H$116:$AE$125,2)/2</f>
        <v>0</v>
      </c>
      <c r="D115" s="170">
        <f t="shared" si="25"/>
        <v>0</v>
      </c>
      <c r="F115" s="14" t="s">
        <v>941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1250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1251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829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829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829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1253</v>
      </c>
      <c r="C120" s="170">
        <f>COUNTIF($H$105:$AE$114,4)/2</f>
        <v>0</v>
      </c>
      <c r="D120" s="170">
        <f t="shared" si="25"/>
        <v>0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831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831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831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833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1255</v>
      </c>
      <c r="C122" s="170">
        <f>COUNTIF($H$94:$AE$103,5)/2</f>
        <v>0</v>
      </c>
      <c r="D122" s="170">
        <f t="shared" si="25"/>
        <v>0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Brebis laitières tardives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1256</v>
      </c>
      <c r="C123" s="170">
        <f>COUNTIF($H$105:$AE$114,5)/2</f>
        <v>0</v>
      </c>
      <c r="D123" s="170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Brebis vides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1258</v>
      </c>
      <c r="C125" s="170">
        <f t="shared" ref="C125:C132" si="34">SUM(H134:AE134)/2</f>
        <v>0</v>
      </c>
      <c r="D125" s="170">
        <f t="shared" si="25"/>
        <v>0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1259</v>
      </c>
      <c r="C126" s="170">
        <f t="shared" si="34"/>
        <v>0</v>
      </c>
      <c r="D126" s="170">
        <f t="shared" si="25"/>
        <v>0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1260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1261</v>
      </c>
      <c r="C128" s="170">
        <f t="shared" si="34"/>
        <v>0</v>
      </c>
      <c r="D128" s="170">
        <f t="shared" si="25"/>
        <v>0</v>
      </c>
      <c r="F128" s="14" t="s">
        <v>1262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1263</v>
      </c>
      <c r="C129" s="170">
        <f t="shared" si="34"/>
        <v>0</v>
      </c>
      <c r="D129" s="170">
        <f t="shared" si="25"/>
        <v>0</v>
      </c>
      <c r="F129" s="14" t="s">
        <v>924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1264</v>
      </c>
      <c r="C130" s="170">
        <f t="shared" si="34"/>
        <v>0</v>
      </c>
      <c r="D130" s="170">
        <f t="shared" si="25"/>
        <v>0</v>
      </c>
      <c r="F130" s="14" t="s">
        <v>940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1265</v>
      </c>
      <c r="C131" s="170">
        <f t="shared" si="34"/>
        <v>0</v>
      </c>
      <c r="D131" s="170">
        <f t="shared" si="25"/>
        <v>0</v>
      </c>
      <c r="F131" s="14" t="s">
        <v>941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842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842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842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1266</v>
      </c>
      <c r="C132" s="170">
        <f t="shared" si="34"/>
        <v>0</v>
      </c>
      <c r="D132" s="170">
        <f t="shared" si="25"/>
        <v>0</v>
      </c>
      <c r="F132" s="14" t="s">
        <v>1267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1268</v>
      </c>
      <c r="C133" s="260">
        <f>IF(C110&gt;0,C110/(C110+C113+C116),0)</f>
        <v>0</v>
      </c>
      <c r="D133" s="260">
        <f t="shared" si="25"/>
        <v>0</v>
      </c>
      <c r="AT133" s="184" t="str">
        <f t="shared" ref="AT133:AT141" si="42">AT122</f>
        <v>Brebis laitières tardives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1269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1270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Brebis vides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1271</v>
      </c>
      <c r="C135" s="260">
        <f t="shared" si="45"/>
        <v>0</v>
      </c>
      <c r="D135" s="260">
        <f t="shared" si="25"/>
        <v>0</v>
      </c>
      <c r="F135" s="14" t="s">
        <v>1272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1273</v>
      </c>
      <c r="C136" s="260" t="e">
        <f>SUM(C110:C112)/SUM(C110:C118)</f>
        <v>#DIV/0!</v>
      </c>
      <c r="D136" s="260" t="e">
        <f t="shared" si="25"/>
        <v>#DIV/0!</v>
      </c>
      <c r="F136" s="14" t="s">
        <v>1274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1275</v>
      </c>
      <c r="B137" s="32" t="s">
        <v>1276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1278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1280</v>
      </c>
      <c r="C139" s="170">
        <f>IF(Troupeau!B$3="VL",('Calcul éco'!B9+'Calcul éco'!B10),0)</f>
        <v>0</v>
      </c>
      <c r="D139" s="261">
        <f t="shared" si="50"/>
        <v>0</v>
      </c>
      <c r="F139" s="14" t="s">
        <v>1281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1282</v>
      </c>
      <c r="C140" s="170">
        <f>IF(Troupeau!B$3="VL",('Calcul éco'!B13),0)</f>
        <v>0</v>
      </c>
      <c r="D140" s="261">
        <f t="shared" si="50"/>
        <v>0</v>
      </c>
      <c r="F140" s="14" t="s">
        <v>1283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1284</v>
      </c>
      <c r="C141" s="170">
        <f>IF(Troupeau!B$3="VL",('Calcul éco'!B14),0)</f>
        <v>0</v>
      </c>
      <c r="D141" s="261">
        <f t="shared" si="50"/>
        <v>0</v>
      </c>
      <c r="F141" s="14" t="s">
        <v>1285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1286</v>
      </c>
      <c r="C142" s="170">
        <f>SUM(G147:G150)</f>
        <v>11</v>
      </c>
      <c r="D142" s="261">
        <f t="shared" si="50"/>
        <v>0</v>
      </c>
      <c r="AT142" s="19" t="s">
        <v>854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854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854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1287</v>
      </c>
      <c r="C143" s="170">
        <f>G151+G153</f>
        <v>3</v>
      </c>
      <c r="D143" s="261">
        <f t="shared" si="50"/>
        <v>0</v>
      </c>
      <c r="AT143" s="19" t="s">
        <v>857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857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857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1288</v>
      </c>
      <c r="C144" s="170">
        <f>G152+G154</f>
        <v>0</v>
      </c>
      <c r="D144" s="261">
        <f t="shared" si="50"/>
        <v>0</v>
      </c>
      <c r="AT144" s="19" t="s">
        <v>859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859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859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1289</v>
      </c>
      <c r="C145" s="170">
        <f>G155+G156</f>
        <v>0</v>
      </c>
      <c r="D145" s="261">
        <f t="shared" si="50"/>
        <v>0</v>
      </c>
      <c r="AT145" s="19" t="s">
        <v>861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861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861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1290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1291</v>
      </c>
      <c r="AT146" s="40" t="s">
        <v>863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863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863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1292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1293</v>
      </c>
      <c r="G147">
        <f>IF(Troupeau!B$3="BV",'Calcul éco'!B9,0)</f>
        <v>0</v>
      </c>
      <c r="AT147" s="40" t="s">
        <v>865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865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865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1294</v>
      </c>
      <c r="B148" s="14" t="s">
        <v>1295</v>
      </c>
      <c r="C148" s="170">
        <f>IF(Troupeau!B3="OL",'Calcul éco'!B5,0)</f>
        <v>0</v>
      </c>
      <c r="D148" s="261">
        <f t="shared" si="50"/>
        <v>0</v>
      </c>
      <c r="F148" s="14" t="s">
        <v>1296</v>
      </c>
      <c r="G148">
        <f>IF(Troupeau!B$3="BV",'Calcul éco'!B10,0)</f>
        <v>0</v>
      </c>
      <c r="AT148" s="40" t="s">
        <v>867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867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867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1297</v>
      </c>
      <c r="C149" s="170">
        <f>IF(Troupeau!B3="OL",'Calcul éco'!B6,0)</f>
        <v>34750</v>
      </c>
      <c r="D149" s="261">
        <f t="shared" si="50"/>
        <v>0</v>
      </c>
      <c r="F149" s="14" t="s">
        <v>1298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868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1299</v>
      </c>
      <c r="C150" s="170">
        <f>IF(Troupeau!B3="BL",'Calcul éco'!B5,0)</f>
        <v>0</v>
      </c>
      <c r="D150" s="261">
        <f t="shared" si="50"/>
        <v>0</v>
      </c>
      <c r="F150" s="14" t="s">
        <v>1300</v>
      </c>
      <c r="G150">
        <f>IF(Troupeau!C$3="BV",'Calcul éco'!C10,0)</f>
        <v>4</v>
      </c>
      <c r="AT150" s="40" t="s">
        <v>868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868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1301</v>
      </c>
      <c r="B151" s="14" t="s">
        <v>1302</v>
      </c>
      <c r="C151" s="170">
        <f>'Calcul éco'!C19</f>
        <v>0</v>
      </c>
      <c r="D151" s="261">
        <f t="shared" si="50"/>
        <v>0</v>
      </c>
      <c r="F151" s="14" t="s">
        <v>1303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1304</v>
      </c>
      <c r="C152" s="170">
        <f>'Calcul éco'!C20</f>
        <v>0</v>
      </c>
      <c r="D152" s="261">
        <f t="shared" si="50"/>
        <v>0</v>
      </c>
      <c r="F152" s="14" t="s">
        <v>1305</v>
      </c>
      <c r="G152">
        <f>IF(Troupeau!B$3="BV",'Calcul éco'!B14,0)</f>
        <v>0</v>
      </c>
      <c r="AT152" s="184" t="str">
        <f t="shared" si="73"/>
        <v>Brebis laitières tardives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1306</v>
      </c>
      <c r="C153" s="170">
        <f>'Calcul éco'!C21</f>
        <v>0</v>
      </c>
      <c r="D153" s="261">
        <f t="shared" si="50"/>
        <v>0</v>
      </c>
      <c r="F153" s="14" t="s">
        <v>1307</v>
      </c>
      <c r="G153">
        <f>IF(Troupeau!C$3="BV",'Calcul éco'!C13,0)</f>
        <v>3</v>
      </c>
      <c r="AT153" s="184" t="str">
        <f t="shared" si="73"/>
        <v>Brebis vides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1308</v>
      </c>
      <c r="C154" s="170">
        <f>'Calcul éco'!D19</f>
        <v>0</v>
      </c>
      <c r="D154" s="261">
        <f t="shared" si="50"/>
        <v>0</v>
      </c>
      <c r="F154" s="14" t="s">
        <v>1309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1310</v>
      </c>
      <c r="C155" s="170">
        <f>'Calcul éco'!D20</f>
        <v>0</v>
      </c>
      <c r="D155" s="261">
        <f t="shared" si="50"/>
        <v>0</v>
      </c>
      <c r="F155" s="14" t="s">
        <v>1311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1312</v>
      </c>
      <c r="C156" s="170">
        <f>'Calcul éco'!D21</f>
        <v>0</v>
      </c>
      <c r="D156" s="261">
        <f t="shared" si="50"/>
        <v>0</v>
      </c>
      <c r="F156" s="14" t="s">
        <v>1313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1314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1315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1316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1317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1318</v>
      </c>
      <c r="B161" s="14" t="s">
        <v>1319</v>
      </c>
      <c r="C161" s="260">
        <f>IF(Troupeau!$B$3="OL",CdTrp1!$AA$159,0)</f>
        <v>0</v>
      </c>
      <c r="D161" s="261">
        <f t="shared" si="50"/>
        <v>0</v>
      </c>
      <c r="AT161" s="184" t="s">
        <v>882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882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882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1320</v>
      </c>
      <c r="B162" s="14" t="s">
        <v>1321</v>
      </c>
      <c r="C162" s="260">
        <f>IF(Troupeau!$B$3="OL",CdTrp1!$AA$147,0)</f>
        <v>237.02136191734695</v>
      </c>
      <c r="D162" s="261">
        <f t="shared" si="50"/>
        <v>0</v>
      </c>
      <c r="AT162" s="184" t="s">
        <v>884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884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884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1322</v>
      </c>
      <c r="C163" s="260">
        <f>IF(Troupeau!$B$3="BL",CdTrp1!$AA$159,0)</f>
        <v>0</v>
      </c>
      <c r="D163" s="261">
        <f t="shared" si="50"/>
        <v>0</v>
      </c>
      <c r="AT163" s="40" t="s">
        <v>886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886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886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1323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1324</v>
      </c>
      <c r="C165" s="260">
        <f>IF(Troupeau!$B$3="BV",CdTrp1!$AA$159,0)+IF(Troupeau!$C$3="BV",CdTrp2!$AA$159,0)</f>
        <v>0</v>
      </c>
      <c r="D165" s="261">
        <f t="shared" si="50"/>
        <v>0</v>
      </c>
      <c r="AT165" s="40" t="s">
        <v>889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1325</v>
      </c>
      <c r="C166" s="260">
        <f>IF(Troupeau!$B$3="BV",CdTrp1!$AA$147,0)+IF(Troupeau!$C$3="BV",CdTrp2!$AA$147,0)</f>
        <v>102.18724083333335</v>
      </c>
      <c r="D166" s="261">
        <f t="shared" si="50"/>
        <v>0</v>
      </c>
      <c r="AT166" s="147" t="s">
        <v>891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891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891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1326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1327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Brebis laitières tardives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1328</v>
      </c>
      <c r="C169" s="170">
        <f>SUM('Alim -Surf'!D24:H24)</f>
        <v>0</v>
      </c>
      <c r="D169" s="261">
        <f t="shared" si="50"/>
        <v>0</v>
      </c>
      <c r="AT169" s="184" t="str">
        <f t="shared" si="95"/>
        <v>Brebis vides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1329</v>
      </c>
      <c r="C170" s="170">
        <f>SUM('Alim -Surf'!D25:H25)</f>
        <v>0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1330</v>
      </c>
      <c r="C171" s="170">
        <f>'Alim -Surf'!K24</f>
        <v>196.49575000000002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1331</v>
      </c>
      <c r="C172" s="170">
        <f>'Alim -Surf'!K25</f>
        <v>339.3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1332</v>
      </c>
      <c r="C173" s="170">
        <f>C169-C170</f>
        <v>0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1333</v>
      </c>
      <c r="C174" s="193" t="e">
        <f>ROUND((1 -(C173/C169))*100,1)</f>
        <v>#DIV/0!</v>
      </c>
      <c r="D174" s="261" t="e">
        <f t="shared" si="50"/>
        <v>#DIV/0!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1334</v>
      </c>
      <c r="C175" s="170">
        <f>C171-C172</f>
        <v>-142.80425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1335</v>
      </c>
      <c r="C176" s="170">
        <f>'Calcul éco'!B118</f>
        <v>142.80425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1336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1337</v>
      </c>
      <c r="C178" s="170">
        <f>ROUND((C170+C171)/(C170+C172),2)*100</f>
        <v>57.999999999999993</v>
      </c>
      <c r="D178" s="170" t="e">
        <f>ROUND((D170+D171)/(D170+D172),2)*100</f>
        <v>#DIV/0!</v>
      </c>
      <c r="AT178" s="40" t="s">
        <v>903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903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903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1338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1339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1340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1341</v>
      </c>
      <c r="B182" s="14" t="s">
        <v>1342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1343</v>
      </c>
      <c r="C183" s="170">
        <f>Protection!AK25</f>
        <v>0</v>
      </c>
      <c r="D183" s="262">
        <f>ROUND(D184*D185,0)</f>
        <v>0</v>
      </c>
      <c r="E183" s="17" t="s">
        <v>1344</v>
      </c>
    </row>
    <row r="184" spans="1:132" x14ac:dyDescent="0.25">
      <c r="B184" s="14" t="s">
        <v>1345</v>
      </c>
      <c r="C184" s="170">
        <f>Protection!AK26</f>
        <v>0</v>
      </c>
      <c r="D184" s="263">
        <f>C184*D82/C82</f>
        <v>0</v>
      </c>
    </row>
    <row r="185" spans="1:132" x14ac:dyDescent="0.25">
      <c r="B185" s="14" t="s">
        <v>1346</v>
      </c>
      <c r="C185" s="170">
        <f>IF(C183=0,0,ROUND(C183/C184,0))</f>
        <v>0</v>
      </c>
      <c r="D185" s="170">
        <f>C185</f>
        <v>0</v>
      </c>
    </row>
    <row r="186" spans="1:132" x14ac:dyDescent="0.25">
      <c r="B186" s="14" t="s">
        <v>1347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1348</v>
      </c>
      <c r="C187" s="170">
        <f>'Calcul éco'!T235</f>
        <v>0</v>
      </c>
      <c r="D187" s="170">
        <f>C187</f>
        <v>0</v>
      </c>
    </row>
    <row r="188" spans="1:132" x14ac:dyDescent="0.25">
      <c r="B188" s="14" t="s">
        <v>1349</v>
      </c>
      <c r="C188" s="170">
        <f>'Calcul éco'!T236</f>
        <v>0</v>
      </c>
      <c r="D188" s="170">
        <f t="shared" ref="D188:D189" si="101">C188</f>
        <v>0</v>
      </c>
      <c r="AK188" s="40" t="s">
        <v>1154</v>
      </c>
    </row>
    <row r="189" spans="1:132" x14ac:dyDescent="0.25">
      <c r="B189" s="14" t="s">
        <v>1350</v>
      </c>
      <c r="C189" s="170">
        <f>'Calcul éco'!T245</f>
        <v>2</v>
      </c>
      <c r="D189" s="170">
        <f t="shared" si="101"/>
        <v>2</v>
      </c>
      <c r="AH189" s="15"/>
      <c r="AJ189" s="14" t="s">
        <v>1155</v>
      </c>
      <c r="AK189" s="30">
        <f>D189</f>
        <v>2</v>
      </c>
      <c r="AO189" s="170">
        <f>ROUND((([1]Protect!$B$5/[1]Protect!$B$11)+[1]Protect!$B$8)*AK189,0)</f>
        <v>1809</v>
      </c>
    </row>
    <row r="190" spans="1:132" x14ac:dyDescent="0.25">
      <c r="B190" s="14" t="s">
        <v>1351</v>
      </c>
      <c r="C190" s="170">
        <f>'Calcul éco'!T246*(30)</f>
        <v>0</v>
      </c>
      <c r="D190" s="170">
        <f>C190</f>
        <v>0</v>
      </c>
      <c r="AH190" s="15"/>
      <c r="AJ190" s="14" t="s">
        <v>1156</v>
      </c>
      <c r="AK190" s="30">
        <f>D190/30</f>
        <v>0</v>
      </c>
      <c r="AN190" s="170">
        <f>[1]Eco!$B$106*[1]Eco!$B$108*[1]Eco!$B$109</f>
        <v>2551.2000000000003</v>
      </c>
      <c r="AO190" s="170">
        <f>AK190*AN190</f>
        <v>0</v>
      </c>
    </row>
    <row r="191" spans="1:132" x14ac:dyDescent="0.25">
      <c r="B191" s="14" t="s">
        <v>1352</v>
      </c>
      <c r="C191" s="193">
        <f>ROUND(SUM(Travail!F69:F74)/8,1)</f>
        <v>0</v>
      </c>
      <c r="D191" s="170">
        <f>C191</f>
        <v>0</v>
      </c>
      <c r="E191" s="17" t="s">
        <v>1353</v>
      </c>
      <c r="G191" t="s">
        <v>1354</v>
      </c>
      <c r="N191" t="s">
        <v>1355</v>
      </c>
      <c r="U191" t="s">
        <v>968</v>
      </c>
      <c r="AJ191" s="14" t="s">
        <v>1157</v>
      </c>
      <c r="AK191" s="30">
        <f>Travail!F16/8</f>
        <v>0</v>
      </c>
      <c r="AN191" s="170">
        <f>[1]Eco!$B$111</f>
        <v>28.3</v>
      </c>
      <c r="AO191" s="170">
        <f>AK191*AN191</f>
        <v>0</v>
      </c>
    </row>
    <row r="192" spans="1:132" x14ac:dyDescent="0.25">
      <c r="B192" s="14" t="s">
        <v>1356</v>
      </c>
      <c r="C192" s="170">
        <f>(Travail!F83+Travail!F84)/8</f>
        <v>0</v>
      </c>
      <c r="D192" s="264">
        <f>ROUND((D183/1000)*([1]Protect!$B$25*8/10+[1]Protect!$B$26),2)/8</f>
        <v>0</v>
      </c>
      <c r="E192" s="17" t="s">
        <v>1357</v>
      </c>
      <c r="I192" s="5"/>
      <c r="AN192" s="14" t="s">
        <v>1158</v>
      </c>
      <c r="AO192" s="170">
        <f>SUM(AO189:AO191)</f>
        <v>1809</v>
      </c>
    </row>
    <row r="193" spans="1:43" x14ac:dyDescent="0.25">
      <c r="B193" s="14" t="s">
        <v>1358</v>
      </c>
      <c r="C193" s="170">
        <f>(Travail!F75+Travail!F76+Travail!F81)/8</f>
        <v>11.625</v>
      </c>
      <c r="D193" s="170">
        <f>C193</f>
        <v>11.625</v>
      </c>
      <c r="I193" s="32" t="s">
        <v>1359</v>
      </c>
      <c r="J193" s="5">
        <f>D65</f>
        <v>0</v>
      </c>
      <c r="P193" s="32" t="s">
        <v>1360</v>
      </c>
      <c r="Q193" s="5">
        <f>D64</f>
        <v>0</v>
      </c>
      <c r="V193" s="32" t="s">
        <v>1361</v>
      </c>
      <c r="W193" s="5">
        <f>D63</f>
        <v>0</v>
      </c>
    </row>
    <row r="194" spans="1:43" x14ac:dyDescent="0.25">
      <c r="A194" s="2" t="s">
        <v>1362</v>
      </c>
      <c r="B194" s="14" t="s">
        <v>1363</v>
      </c>
      <c r="C194" s="170">
        <f>ROUND(SUM('Calcul éco'!J5:J30),0)</f>
        <v>97911</v>
      </c>
      <c r="D194" s="257">
        <f>ROUND(C194*D$82/C$82,0)</f>
        <v>0</v>
      </c>
      <c r="I194" s="32" t="s">
        <v>1364</v>
      </c>
      <c r="J194" s="5">
        <f>J193/IF(Scénario!K2="Exploit. Ind.",1,Scénario!K3)</f>
        <v>0</v>
      </c>
      <c r="P194" s="32" t="s">
        <v>1365</v>
      </c>
      <c r="Q194" s="5">
        <f>Q193/IF(Scénario!K2="Exploit. Ind.",1,Scénario!K3)</f>
        <v>0</v>
      </c>
      <c r="V194" s="32" t="s">
        <v>1366</v>
      </c>
      <c r="W194" s="5">
        <f>W193/IF(Scénario!K2="Exploit. Ind.",1,Scénario!K3)</f>
        <v>0</v>
      </c>
    </row>
    <row r="195" spans="1:43" x14ac:dyDescent="0.25">
      <c r="A195" s="2"/>
      <c r="B195" s="14" t="s">
        <v>1367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1368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1369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976</v>
      </c>
      <c r="I197" s="168" t="s">
        <v>977</v>
      </c>
      <c r="J197" s="168" t="s">
        <v>726</v>
      </c>
      <c r="O197" s="168" t="s">
        <v>976</v>
      </c>
      <c r="P197" s="168" t="s">
        <v>980</v>
      </c>
      <c r="Q197" s="168" t="s">
        <v>726</v>
      </c>
      <c r="T197" s="5"/>
      <c r="U197" s="168" t="s">
        <v>976</v>
      </c>
      <c r="V197" s="168" t="s">
        <v>978</v>
      </c>
      <c r="W197" s="168" t="s">
        <v>726</v>
      </c>
    </row>
    <row r="198" spans="1:43" x14ac:dyDescent="0.25">
      <c r="A198" s="2"/>
      <c r="B198" s="14" t="s">
        <v>1370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982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984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983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1162</v>
      </c>
      <c r="AJ198" s="4">
        <f>IF(Troupeau!B3="OL",L223,0)*Scénario!K56</f>
        <v>0</v>
      </c>
      <c r="AO198" s="40" t="s">
        <v>1163</v>
      </c>
      <c r="AP198">
        <f>IF(Troupeau!B3="OL",D63,0)</f>
        <v>0</v>
      </c>
    </row>
    <row r="199" spans="1:43" x14ac:dyDescent="0.25">
      <c r="A199" s="2"/>
      <c r="B199" s="14" t="s">
        <v>1371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985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988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986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1164</v>
      </c>
      <c r="AQ199" t="s">
        <v>1164</v>
      </c>
    </row>
    <row r="200" spans="1:43" x14ac:dyDescent="0.25">
      <c r="A200" s="2"/>
      <c r="B200" s="14" t="s">
        <v>1372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990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987</v>
      </c>
      <c r="Q200" s="62">
        <f>IF(Scénario!K10=1,Q198,Q199)*IF(Scénario!K2="Exploit. Ind.",1,Scénario!K3)</f>
        <v>0</v>
      </c>
      <c r="V200" s="40" t="s">
        <v>987</v>
      </c>
      <c r="W200" s="62">
        <f>SUM(W198:W199)*IF(Scénario!K2="Exploit. Ind.",1,Scénario!K3)</f>
        <v>0</v>
      </c>
      <c r="AI200" s="14" t="s">
        <v>1165</v>
      </c>
      <c r="AJ200" s="30">
        <f>IF(AJ198&lt;151,1,0)</f>
        <v>1</v>
      </c>
      <c r="AK200" s="170">
        <f>IF(AJ200=0,0,[1]Protect!B76)</f>
        <v>7500</v>
      </c>
      <c r="AO200" s="14" t="s">
        <v>1166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996</v>
      </c>
      <c r="B201" s="14" t="s">
        <v>997</v>
      </c>
      <c r="C201" s="170">
        <f>'Calcul éco'!J34</f>
        <v>3320</v>
      </c>
      <c r="D201" s="262">
        <f>J201</f>
        <v>0</v>
      </c>
      <c r="E201" s="17" t="s">
        <v>1373</v>
      </c>
      <c r="I201" s="40" t="s">
        <v>987</v>
      </c>
      <c r="J201" s="62">
        <f>SUM(J198:J200)*IF(Scénario!K2="Exploit. Ind.",1,Scénario!K3)</f>
        <v>0</v>
      </c>
      <c r="AI201" s="14" t="s">
        <v>1167</v>
      </c>
      <c r="AJ201" s="30">
        <f>IF(AND(150 &lt;AJ$198,AJ$198&lt;451),1,0)</f>
        <v>0</v>
      </c>
      <c r="AK201" s="170">
        <f>IF(AJ201=0,0,[1]Protect!B77)</f>
        <v>0</v>
      </c>
      <c r="AO201" s="14" t="s">
        <v>1168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999</v>
      </c>
      <c r="C202" s="170">
        <f>+'Calcul éco'!J35</f>
        <v>0</v>
      </c>
      <c r="D202" s="262">
        <f>ROUND(Q200,0)</f>
        <v>0</v>
      </c>
      <c r="E202" s="17" t="s">
        <v>1373</v>
      </c>
      <c r="AI202" s="14" t="s">
        <v>1169</v>
      </c>
      <c r="AJ202" s="30">
        <f>IF(AND(540 &lt;AJ$198,AJ$198&lt;1201),1,0)</f>
        <v>0</v>
      </c>
      <c r="AK202" s="170">
        <f>IF(AJ202=0,0,[1]Protect!B78)</f>
        <v>0</v>
      </c>
      <c r="AO202" s="14" t="s">
        <v>1170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1005</v>
      </c>
      <c r="C203" s="170">
        <f>'Calcul éco'!J37</f>
        <v>6755.4000000000005</v>
      </c>
      <c r="D203" s="262">
        <f>ROUND(W200,0)</f>
        <v>0</v>
      </c>
      <c r="E203" s="17" t="s">
        <v>1373</v>
      </c>
      <c r="AI203" s="14" t="s">
        <v>1171</v>
      </c>
      <c r="AJ203" s="30">
        <f>IF(AND(1200&lt;AJ$198,AJ$198&lt;1501),1,0)</f>
        <v>0</v>
      </c>
      <c r="AK203" s="170">
        <f>IF(AJ203=0,0,[1]Protect!B79)</f>
        <v>0</v>
      </c>
      <c r="AO203" s="14" t="s">
        <v>1172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1015</v>
      </c>
      <c r="C204" s="170">
        <f>'Calcul éco'!J39</f>
        <v>0</v>
      </c>
      <c r="D204" s="257">
        <f>ROUND(C204*D$82/C$82,0)</f>
        <v>0</v>
      </c>
      <c r="I204" s="40" t="s">
        <v>1006</v>
      </c>
      <c r="J204" t="s">
        <v>1007</v>
      </c>
      <c r="K204" t="s">
        <v>1008</v>
      </c>
      <c r="L204" t="s">
        <v>1009</v>
      </c>
      <c r="T204" s="2" t="s">
        <v>1000</v>
      </c>
      <c r="U204" s="14"/>
      <c r="V204" s="36"/>
      <c r="AI204" s="14" t="s">
        <v>1173</v>
      </c>
      <c r="AJ204" s="30">
        <f>IF(1500&lt;AJ$198,1,0)</f>
        <v>0</v>
      </c>
      <c r="AK204" s="170">
        <f>IF(AJ204=0,0,[1]Protect!B80)</f>
        <v>0</v>
      </c>
      <c r="AO204" s="14" t="s">
        <v>1174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564</v>
      </c>
      <c r="C205" s="170">
        <f>'Calcul éco'!J40</f>
        <v>0</v>
      </c>
      <c r="D205" s="257">
        <f>ROUND(C205*D$82/C$82,0)</f>
        <v>0</v>
      </c>
      <c r="I205" s="14" t="s">
        <v>1374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1004</v>
      </c>
      <c r="Y205" s="185">
        <f>'Calcul éco'!AC36</f>
        <v>258</v>
      </c>
      <c r="Z205" s="5"/>
    </row>
    <row r="206" spans="1:43" x14ac:dyDescent="0.25">
      <c r="A206" s="2" t="s">
        <v>1019</v>
      </c>
      <c r="B206" s="19" t="s">
        <v>1020</v>
      </c>
      <c r="C206" s="170">
        <f>ROUND('Calcul éco'!J42,0)</f>
        <v>2823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1010</v>
      </c>
      <c r="Y206" s="168" t="s">
        <v>976</v>
      </c>
      <c r="Z206" s="168" t="s">
        <v>726</v>
      </c>
    </row>
    <row r="207" spans="1:43" x14ac:dyDescent="0.25">
      <c r="B207" s="207" t="s">
        <v>1024</v>
      </c>
      <c r="C207" s="170">
        <f>ROUND('Calcul éco'!J43,0)</f>
        <v>1426</v>
      </c>
      <c r="D207" s="262">
        <f>IF(L212&gt;52,52,L212)*IF(Scénario!K2="Exploit. Ind.",1,Scénario!K3)*'Calcul éco'!C43</f>
        <v>0</v>
      </c>
      <c r="E207" s="17" t="s">
        <v>1375</v>
      </c>
      <c r="W207" s="14" t="s">
        <v>1014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1175</v>
      </c>
      <c r="AL207" s="170">
        <f>IF(Scénario!K84=2,AL209,IF(Scénario!K84=1,AL208,0))</f>
        <v>0</v>
      </c>
      <c r="AQ207" s="5"/>
    </row>
    <row r="208" spans="1:43" x14ac:dyDescent="0.25">
      <c r="B208" s="207" t="s">
        <v>1025</v>
      </c>
      <c r="C208" s="170">
        <f>ROUND('Calcul éco'!J44,0)</f>
        <v>1950</v>
      </c>
      <c r="D208" s="257">
        <f>ROUND(C208*D$82/C$82,0)</f>
        <v>0</v>
      </c>
      <c r="S208" s="14" t="s">
        <v>1016</v>
      </c>
      <c r="T208" s="30">
        <f>L212</f>
        <v>0</v>
      </c>
      <c r="W208" s="14" t="s">
        <v>1017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1176</v>
      </c>
      <c r="AL208" s="170">
        <f>IF(AO192&lt;SUM(AK200:AK204),AO192,SUM(AK200:AK204))</f>
        <v>1809</v>
      </c>
      <c r="AQ208" s="240"/>
    </row>
    <row r="209" spans="1:43" x14ac:dyDescent="0.25">
      <c r="B209" s="19" t="s">
        <v>1027</v>
      </c>
      <c r="C209" s="170">
        <f>ROUND('Calcul éco'!J45,0)</f>
        <v>8267</v>
      </c>
      <c r="D209" s="262">
        <f>IF(Scénario!K9=0,0,ROUND(Z210,0))</f>
        <v>0</v>
      </c>
      <c r="E209" s="17" t="s">
        <v>1376</v>
      </c>
      <c r="K209" s="40" t="s">
        <v>1026</v>
      </c>
      <c r="L209" s="62">
        <f>SUM(L205:L206)</f>
        <v>0</v>
      </c>
      <c r="W209" s="14" t="s">
        <v>1018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1177</v>
      </c>
      <c r="AL209" s="170">
        <f>IF(AO192&lt;SUM(AQ200:AQ204),AO192,SUM(AQ200:AQ204))</f>
        <v>1809</v>
      </c>
      <c r="AP209" s="240"/>
      <c r="AQ209" s="240"/>
    </row>
    <row r="210" spans="1:43" x14ac:dyDescent="0.25">
      <c r="B210" s="19" t="s">
        <v>1377</v>
      </c>
      <c r="C210" s="170">
        <f>ROUND('Calcul éco'!J46,0)</f>
        <v>0</v>
      </c>
      <c r="D210" s="262">
        <f>ROUND(AL207,0)</f>
        <v>0</v>
      </c>
      <c r="E210" s="17" t="s">
        <v>1378</v>
      </c>
      <c r="K210" s="14" t="s">
        <v>1028</v>
      </c>
      <c r="L210" s="170">
        <f>J221</f>
        <v>0</v>
      </c>
      <c r="Y210" s="40" t="s">
        <v>987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1379</v>
      </c>
      <c r="C211" s="170">
        <f>SUM(C201:C210)</f>
        <v>24541.4</v>
      </c>
      <c r="D211" s="262">
        <f>ROUND(SUM(D201:D210),0)</f>
        <v>0</v>
      </c>
      <c r="E211" s="17" t="s">
        <v>1380</v>
      </c>
      <c r="K211" s="40" t="s">
        <v>1033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1381</v>
      </c>
      <c r="B212" s="14" t="s">
        <v>1382</v>
      </c>
      <c r="C212" s="170">
        <f>IF(Troupeau!B3="OL",'Calcul éco'!K116,0)</f>
        <v>22720.6</v>
      </c>
      <c r="D212" s="257">
        <f>ROUND(C212*D$82/C$82,0)</f>
        <v>0</v>
      </c>
      <c r="K212" s="40" t="s">
        <v>1383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1384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1178</v>
      </c>
      <c r="AP213" s="241"/>
      <c r="AQ213" s="240"/>
    </row>
    <row r="214" spans="1:43" x14ac:dyDescent="0.25">
      <c r="B214" s="14" t="s">
        <v>1385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1036</v>
      </c>
      <c r="AF214" s="5"/>
      <c r="AJ214" s="33" t="s">
        <v>1179</v>
      </c>
      <c r="AK214" s="33"/>
      <c r="AL214" s="33"/>
      <c r="AM214" s="33" t="s">
        <v>1180</v>
      </c>
      <c r="AN214" s="33" t="s">
        <v>1043</v>
      </c>
      <c r="AP214" s="241"/>
      <c r="AQ214" s="240"/>
    </row>
    <row r="215" spans="1:43" x14ac:dyDescent="0.25">
      <c r="B215" s="14" t="s">
        <v>1386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1387</v>
      </c>
      <c r="J215" t="s">
        <v>1388</v>
      </c>
      <c r="AF215" s="5"/>
      <c r="AI215" s="14" t="s">
        <v>1181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1389</v>
      </c>
      <c r="C216" s="170">
        <f>ROUND(SUM(C212:C215),0)</f>
        <v>30502</v>
      </c>
      <c r="D216" s="257">
        <f t="shared" si="106"/>
        <v>0</v>
      </c>
      <c r="G216" s="14" t="s">
        <v>574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19"/>
      <c r="L216" s="219"/>
      <c r="AF216" s="5"/>
      <c r="AI216" s="14" t="s">
        <v>1182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1390</v>
      </c>
      <c r="C217" s="170">
        <f>SUM('Calcul éco'!J122:J138)</f>
        <v>1930.875</v>
      </c>
      <c r="D217" s="257">
        <f t="shared" si="106"/>
        <v>0</v>
      </c>
      <c r="G217" s="19" t="s">
        <v>588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1391</v>
      </c>
      <c r="C218" s="170">
        <f>SUM('Calcul éco'!J118:J119)</f>
        <v>40224.827750000004</v>
      </c>
      <c r="D218" s="257">
        <f t="shared" si="106"/>
        <v>0</v>
      </c>
      <c r="G218" s="14" t="s">
        <v>595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1143</v>
      </c>
      <c r="AJ218" s="170">
        <f>IF(D187&gt;0,[1]Protect!$B$85*D187,0)</f>
        <v>0</v>
      </c>
      <c r="AK218" s="170"/>
      <c r="AL218" s="170"/>
      <c r="AM218" s="170">
        <f>'Calcul éco'!W274</f>
        <v>100</v>
      </c>
      <c r="AN218" s="170">
        <f>AJ218*AM218</f>
        <v>0</v>
      </c>
      <c r="AO218" s="240"/>
      <c r="AP218" s="240"/>
      <c r="AQ218" s="240"/>
    </row>
    <row r="219" spans="1:43" x14ac:dyDescent="0.25">
      <c r="B219" s="14" t="s">
        <v>1392</v>
      </c>
      <c r="C219" s="170">
        <f>'Calcul éco'!J141</f>
        <v>1809</v>
      </c>
      <c r="D219" s="257">
        <f t="shared" si="106"/>
        <v>0</v>
      </c>
      <c r="K219" s="4"/>
      <c r="AF219" s="5"/>
      <c r="AG219" s="242"/>
      <c r="AI219" s="14" t="s">
        <v>1144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40"/>
      <c r="AP219" s="32"/>
      <c r="AQ219" s="240"/>
    </row>
    <row r="220" spans="1:43" x14ac:dyDescent="0.25">
      <c r="B220" s="14" t="s">
        <v>1393</v>
      </c>
      <c r="C220" s="170">
        <f>'Calcul éco'!J142</f>
        <v>0</v>
      </c>
      <c r="D220" s="262">
        <f>SUM(AN215:AN219)</f>
        <v>0</v>
      </c>
      <c r="E220" s="17" t="s">
        <v>1394</v>
      </c>
      <c r="H220" s="14" t="s">
        <v>1038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1395</v>
      </c>
      <c r="C221" s="170">
        <f>ROUND(SUM(C216:C220),0)</f>
        <v>74467</v>
      </c>
      <c r="D221" s="262">
        <f>ROUND(SUM(D216:D220),0)</f>
        <v>0</v>
      </c>
      <c r="E221" s="17" t="s">
        <v>1394</v>
      </c>
      <c r="H221" s="14" t="s">
        <v>1039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1106</v>
      </c>
      <c r="B222" s="14" t="s">
        <v>1396</v>
      </c>
      <c r="C222" s="170">
        <f>'Calcul éco'!J149</f>
        <v>929.1</v>
      </c>
      <c r="D222" s="257">
        <f>ROUND(C222*D$82/C$82,0)</f>
        <v>0</v>
      </c>
      <c r="K222" t="s">
        <v>1387</v>
      </c>
      <c r="L222" t="s">
        <v>1397</v>
      </c>
    </row>
    <row r="223" spans="1:43" x14ac:dyDescent="0.25">
      <c r="B223" s="14" t="s">
        <v>1108</v>
      </c>
      <c r="C223" s="170">
        <f>'Calcul éco'!J150</f>
        <v>1500</v>
      </c>
      <c r="D223" s="170">
        <f>C223</f>
        <v>1500</v>
      </c>
      <c r="J223" s="14" t="s">
        <v>1398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1136</v>
      </c>
      <c r="AM223" t="s">
        <v>1137</v>
      </c>
      <c r="AN223" t="s">
        <v>1138</v>
      </c>
      <c r="AO223" t="s">
        <v>1139</v>
      </c>
    </row>
    <row r="224" spans="1:43" x14ac:dyDescent="0.25">
      <c r="B224" s="14" t="s">
        <v>1109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1399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1140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1111</v>
      </c>
      <c r="C225" s="170">
        <f>'Calcul éco'!J152</f>
        <v>0</v>
      </c>
      <c r="D225" s="170">
        <f>C225</f>
        <v>0</v>
      </c>
      <c r="G225" s="19"/>
      <c r="H225" s="19"/>
      <c r="J225" s="14" t="s">
        <v>1400</v>
      </c>
      <c r="K225" s="30">
        <f>Scénario!K66</f>
        <v>0</v>
      </c>
      <c r="L225" s="30">
        <f>K225*'Synthèse résultats'!D$82/'Synthèse résultats'!C$82</f>
        <v>0</v>
      </c>
      <c r="AJ225" s="14" t="s">
        <v>1141</v>
      </c>
      <c r="AK225" s="30">
        <f>D183</f>
        <v>0</v>
      </c>
      <c r="AL225" t="s">
        <v>1142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1113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1143</v>
      </c>
      <c r="AK226" s="30">
        <f>D187</f>
        <v>0</v>
      </c>
      <c r="AN226" s="170">
        <f>[1]Protect!$B$83</f>
        <v>2000</v>
      </c>
      <c r="AO226" s="170">
        <f t="shared" ref="AO226:AO227" si="108">AK226*AN226</f>
        <v>0</v>
      </c>
    </row>
    <row r="227" spans="1:49" x14ac:dyDescent="0.25">
      <c r="B227" s="14" t="s">
        <v>1115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1144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1145</v>
      </c>
      <c r="AR227" t="s">
        <v>1146</v>
      </c>
      <c r="AS227" t="s">
        <v>1147</v>
      </c>
      <c r="AT227" t="s">
        <v>1148</v>
      </c>
      <c r="AU227" t="s">
        <v>1149</v>
      </c>
      <c r="AV227" t="s">
        <v>1150</v>
      </c>
      <c r="AW227" t="s">
        <v>1151</v>
      </c>
    </row>
    <row r="228" spans="1:49" x14ac:dyDescent="0.25">
      <c r="B228" s="14" t="s">
        <v>1117</v>
      </c>
      <c r="C228" s="170"/>
      <c r="D228" s="257">
        <f t="shared" si="109"/>
        <v>0</v>
      </c>
      <c r="AN228" s="14" t="s">
        <v>1152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1120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1121</v>
      </c>
      <c r="C230" s="170">
        <f>'Calcul éco'!J158</f>
        <v>0</v>
      </c>
      <c r="D230" s="257">
        <f t="shared" si="109"/>
        <v>0</v>
      </c>
    </row>
    <row r="231" spans="1:49" x14ac:dyDescent="0.25">
      <c r="B231" s="14" t="s">
        <v>1122</v>
      </c>
      <c r="C231" s="170">
        <f>'Calcul éco'!J159</f>
        <v>300</v>
      </c>
      <c r="D231" s="257">
        <f t="shared" si="109"/>
        <v>0</v>
      </c>
      <c r="AJ231" s="14" t="s">
        <v>1153</v>
      </c>
      <c r="AK231" s="30">
        <f>D186</f>
        <v>0</v>
      </c>
      <c r="AL231" t="s">
        <v>1142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1123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1124</v>
      </c>
      <c r="C233" s="170">
        <f>'Calcul éco'!J161</f>
        <v>0</v>
      </c>
      <c r="D233" s="257">
        <f t="shared" si="109"/>
        <v>0</v>
      </c>
    </row>
    <row r="234" spans="1:49" x14ac:dyDescent="0.25">
      <c r="B234" s="14" t="s">
        <v>1401</v>
      </c>
      <c r="C234" s="170">
        <f>'Calcul éco'!J166</f>
        <v>0</v>
      </c>
      <c r="D234" s="170">
        <f>C234</f>
        <v>0</v>
      </c>
    </row>
    <row r="235" spans="1:49" x14ac:dyDescent="0.25">
      <c r="B235" s="14" t="s">
        <v>1402</v>
      </c>
      <c r="C235" s="170">
        <f>'Calcul éco'!J167</f>
        <v>0</v>
      </c>
      <c r="D235" s="262">
        <f>(D191+D192)*8*[1]Eco!$B$106</f>
        <v>0</v>
      </c>
      <c r="E235" s="17" t="s">
        <v>1394</v>
      </c>
    </row>
    <row r="236" spans="1:49" x14ac:dyDescent="0.25">
      <c r="B236" s="14" t="s">
        <v>1403</v>
      </c>
      <c r="C236" s="170">
        <f>ROUND(SUM(C222:C235),0)</f>
        <v>51018</v>
      </c>
      <c r="D236" s="262">
        <f>ROUND(SUM(D222:D235),0)</f>
        <v>20682</v>
      </c>
      <c r="E236" s="17" t="s">
        <v>1404</v>
      </c>
    </row>
    <row r="237" spans="1:49" x14ac:dyDescent="0.25">
      <c r="A237" s="2" t="s">
        <v>1405</v>
      </c>
      <c r="B237" s="207" t="s">
        <v>1130</v>
      </c>
      <c r="C237" s="170">
        <f>C194+C211-C221-C236</f>
        <v>-3032.6000000000058</v>
      </c>
      <c r="D237" s="262">
        <f>D194+D211-D221-D236</f>
        <v>-20682</v>
      </c>
    </row>
    <row r="238" spans="1:49" x14ac:dyDescent="0.25">
      <c r="B238" s="207" t="s">
        <v>1131</v>
      </c>
      <c r="C238" s="170">
        <f>ROUND(C237/Scénario!$K$4,0)</f>
        <v>-1516</v>
      </c>
      <c r="D238" s="262" t="e">
        <f>ROUND(D237/D83,0)</f>
        <v>#DIV/0!</v>
      </c>
    </row>
    <row r="239" spans="1:49" x14ac:dyDescent="0.25">
      <c r="B239" s="207" t="s">
        <v>1132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1133</v>
      </c>
      <c r="C240" s="265">
        <f>'Calcul éco'!B178</f>
        <v>0</v>
      </c>
      <c r="D240" s="266">
        <f>AW228+AW231</f>
        <v>0</v>
      </c>
      <c r="E240" s="17" t="s">
        <v>1394</v>
      </c>
    </row>
    <row r="241" spans="1:15" x14ac:dyDescent="0.25">
      <c r="B241" s="207" t="s">
        <v>1134</v>
      </c>
      <c r="C241" s="267">
        <f>ROUND(C237-C239-C240,0)</f>
        <v>-14033</v>
      </c>
      <c r="D241" s="266">
        <f>ROUND(D237-D239-D240,0)</f>
        <v>-31682</v>
      </c>
    </row>
    <row r="242" spans="1:15" x14ac:dyDescent="0.25">
      <c r="B242" s="207" t="s">
        <v>1135</v>
      </c>
      <c r="C242" s="170">
        <f>ROUND(C241/Scénario!K4,0)</f>
        <v>-7017</v>
      </c>
      <c r="D242" s="262" t="e">
        <f>ROUND(D241/D83,0)</f>
        <v>#DIV/0!</v>
      </c>
    </row>
    <row r="243" spans="1:15" x14ac:dyDescent="0.25">
      <c r="B243" s="207" t="s">
        <v>1406</v>
      </c>
      <c r="C243" s="170">
        <f>'Calcul éco'!X237+'Calcul éco'!X240</f>
        <v>0</v>
      </c>
      <c r="D243" s="170">
        <f>C243</f>
        <v>0</v>
      </c>
    </row>
    <row r="244" spans="1:15" x14ac:dyDescent="0.25">
      <c r="B244" s="207" t="s">
        <v>1407</v>
      </c>
      <c r="C244" s="170">
        <f>'Calcul éco'!AA237+'Calcul éco'!AA240</f>
        <v>0</v>
      </c>
      <c r="D244" s="170">
        <f>C244</f>
        <v>0</v>
      </c>
    </row>
    <row r="245" spans="1:15" x14ac:dyDescent="0.25">
      <c r="A245" s="2" t="s">
        <v>1408</v>
      </c>
      <c r="B245" s="14" t="s">
        <v>574</v>
      </c>
      <c r="C245" s="268">
        <f>Travail!F5</f>
        <v>0</v>
      </c>
      <c r="D245" s="170">
        <f>C245</f>
        <v>0</v>
      </c>
    </row>
    <row r="246" spans="1:15" x14ac:dyDescent="0.25">
      <c r="B246" s="14" t="s">
        <v>588</v>
      </c>
      <c r="C246" s="268">
        <f>Travail!F6</f>
        <v>0</v>
      </c>
      <c r="D246" s="170">
        <f t="shared" ref="D246:D247" si="112">C246</f>
        <v>0</v>
      </c>
    </row>
    <row r="247" spans="1:15" x14ac:dyDescent="0.25">
      <c r="B247" s="14" t="s">
        <v>595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786</v>
      </c>
      <c r="B248" s="14" t="s">
        <v>574</v>
      </c>
      <c r="C248" s="268">
        <f>Travail!F9</f>
        <v>1223.7457142857145</v>
      </c>
      <c r="D248" s="262">
        <f>ROUND(SUM(AV163:BS163),1)</f>
        <v>0</v>
      </c>
    </row>
    <row r="249" spans="1:15" x14ac:dyDescent="0.25">
      <c r="B249" s="14" t="s">
        <v>588</v>
      </c>
      <c r="C249" s="268">
        <f>Travail!F10</f>
        <v>1008</v>
      </c>
      <c r="D249" s="262">
        <f>SUM(CB163:CY163)</f>
        <v>0</v>
      </c>
    </row>
    <row r="250" spans="1:15" x14ac:dyDescent="0.25">
      <c r="B250" s="14" t="s">
        <v>595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789</v>
      </c>
      <c r="B251" s="14" t="s">
        <v>574</v>
      </c>
      <c r="C251" s="268">
        <f>Travail!F16</f>
        <v>0</v>
      </c>
      <c r="D251" s="170">
        <f>C251</f>
        <v>0</v>
      </c>
      <c r="J251" s="40" t="s">
        <v>814</v>
      </c>
      <c r="M251" s="5"/>
      <c r="N251" s="5"/>
      <c r="O251" s="168"/>
    </row>
    <row r="252" spans="1:15" x14ac:dyDescent="0.25">
      <c r="A252" s="43"/>
      <c r="B252" s="14" t="s">
        <v>588</v>
      </c>
      <c r="C252" s="268">
        <f>Travail!F17</f>
        <v>0</v>
      </c>
      <c r="D252" s="170">
        <f t="shared" ref="D252:D253" si="113">C252</f>
        <v>0</v>
      </c>
      <c r="J252" s="37" t="s">
        <v>815</v>
      </c>
      <c r="K252" s="168" t="s">
        <v>51</v>
      </c>
      <c r="L252" t="s">
        <v>816</v>
      </c>
      <c r="M252" s="5"/>
      <c r="N252" s="5"/>
      <c r="O252" s="168"/>
    </row>
    <row r="253" spans="1:15" x14ac:dyDescent="0.25">
      <c r="A253" s="43"/>
      <c r="B253" s="14" t="s">
        <v>595</v>
      </c>
      <c r="C253" s="268">
        <f>Travail!F18</f>
        <v>0</v>
      </c>
      <c r="D253" s="170">
        <f t="shared" si="113"/>
        <v>0</v>
      </c>
      <c r="J253" s="14" t="s">
        <v>818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796</v>
      </c>
      <c r="B254" s="14" t="s">
        <v>574</v>
      </c>
      <c r="C254" s="268">
        <f>Travail!F20</f>
        <v>0</v>
      </c>
      <c r="D254" s="170">
        <f>Travail!G20</f>
        <v>0</v>
      </c>
      <c r="J254" s="14" t="s">
        <v>820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588</v>
      </c>
      <c r="C255" s="268">
        <f>Travail!F21</f>
        <v>0</v>
      </c>
      <c r="D255" s="170">
        <f>Travail!G21</f>
        <v>0</v>
      </c>
      <c r="J255" s="32" t="s">
        <v>822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595</v>
      </c>
      <c r="C256" s="268">
        <f>Travail!F22</f>
        <v>0</v>
      </c>
      <c r="D256" s="170">
        <f>Travail!G22</f>
        <v>0</v>
      </c>
      <c r="J256" s="32" t="s">
        <v>823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799</v>
      </c>
      <c r="B257" s="14" t="s">
        <v>574</v>
      </c>
      <c r="C257" s="268">
        <f>Travail!F31</f>
        <v>484</v>
      </c>
      <c r="D257" s="257">
        <f>ROUND(C257*D$82/C$82,0)</f>
        <v>0</v>
      </c>
      <c r="E257" s="17" t="s">
        <v>1409</v>
      </c>
      <c r="J257" s="32" t="s">
        <v>824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588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825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595</v>
      </c>
      <c r="C259" s="268">
        <f>Travail!F33</f>
        <v>0</v>
      </c>
      <c r="D259" s="257">
        <f t="shared" si="115"/>
        <v>0</v>
      </c>
      <c r="J259" s="32" t="s">
        <v>826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802</v>
      </c>
      <c r="B260" s="14" t="s">
        <v>574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1410</v>
      </c>
      <c r="J260" s="32" t="s">
        <v>827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807</v>
      </c>
      <c r="B261" s="14" t="s">
        <v>574</v>
      </c>
      <c r="C261" s="268">
        <f>Travail!F39</f>
        <v>1321</v>
      </c>
      <c r="D261" s="257">
        <f>ROUND(C261*G63,0)</f>
        <v>0</v>
      </c>
      <c r="E261" s="17" t="s">
        <v>1411</v>
      </c>
      <c r="J261" s="32" t="s">
        <v>828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1412</v>
      </c>
      <c r="B262" s="14" t="s">
        <v>818</v>
      </c>
      <c r="C262" s="268">
        <f>Travail!F50</f>
        <v>0</v>
      </c>
      <c r="D262" s="262">
        <f t="shared" ref="D262:D271" si="116">ROUND(K253*L253,0)</f>
        <v>0</v>
      </c>
      <c r="E262" s="17" t="s">
        <v>1413</v>
      </c>
      <c r="J262" s="32" t="s">
        <v>830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820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822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823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824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825</v>
      </c>
      <c r="C267" s="268">
        <f>Travail!F55</f>
        <v>164</v>
      </c>
      <c r="D267" s="262">
        <f t="shared" si="116"/>
        <v>0</v>
      </c>
    </row>
    <row r="268" spans="1:15" x14ac:dyDescent="0.25">
      <c r="B268" s="32" t="s">
        <v>826</v>
      </c>
      <c r="C268" s="268">
        <f>Travail!F56</f>
        <v>205</v>
      </c>
      <c r="D268" s="262">
        <f t="shared" si="116"/>
        <v>0</v>
      </c>
    </row>
    <row r="269" spans="1:15" x14ac:dyDescent="0.25">
      <c r="B269" s="32" t="s">
        <v>827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828</v>
      </c>
      <c r="C270" s="268">
        <f>Travail!F58</f>
        <v>25</v>
      </c>
      <c r="D270" s="262">
        <f t="shared" si="116"/>
        <v>0</v>
      </c>
    </row>
    <row r="271" spans="1:15" x14ac:dyDescent="0.25">
      <c r="B271" s="32" t="s">
        <v>830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1414</v>
      </c>
      <c r="B272" s="32" t="s">
        <v>834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835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1415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1416</v>
      </c>
      <c r="B275" s="32" t="s">
        <v>1417</v>
      </c>
      <c r="C275" s="268">
        <f>C191*8</f>
        <v>0</v>
      </c>
      <c r="D275" s="170">
        <f>C275</f>
        <v>0</v>
      </c>
    </row>
    <row r="276" spans="1:4" x14ac:dyDescent="0.25">
      <c r="A276" s="23"/>
      <c r="B276" s="32" t="s">
        <v>1418</v>
      </c>
      <c r="C276" s="268">
        <f>C192*8</f>
        <v>0</v>
      </c>
      <c r="D276" s="262">
        <f>D192*8</f>
        <v>0</v>
      </c>
    </row>
    <row r="277" spans="1:4" x14ac:dyDescent="0.25">
      <c r="B277" s="32" t="s">
        <v>1419</v>
      </c>
      <c r="C277" s="268">
        <f>Travail!F75+Travail!F81</f>
        <v>93</v>
      </c>
      <c r="D277" s="170">
        <f>C277</f>
        <v>93</v>
      </c>
    </row>
    <row r="278" spans="1:4" x14ac:dyDescent="0.25">
      <c r="B278" s="32" t="s">
        <v>1420</v>
      </c>
      <c r="C278" s="268">
        <f>Travail!F76</f>
        <v>0</v>
      </c>
      <c r="D278" s="170">
        <f>C278</f>
        <v>0</v>
      </c>
    </row>
    <row r="279" spans="1:4" x14ac:dyDescent="0.25">
      <c r="B279" s="32" t="s">
        <v>1421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1422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1423</v>
      </c>
      <c r="B281" s="14" t="s">
        <v>1424</v>
      </c>
      <c r="C281" s="170">
        <f>ROUND(C245+C248+C251+C254+C257+C260+C261,0)</f>
        <v>3872</v>
      </c>
      <c r="D281" s="262">
        <f>ROUND(D245+D248+D251+D254+D257+D260+D261,0)</f>
        <v>220</v>
      </c>
    </row>
    <row r="282" spans="1:4" x14ac:dyDescent="0.25">
      <c r="B282" s="14" t="s">
        <v>1425</v>
      </c>
      <c r="C282" s="170">
        <f>ROUND(C246+C249+C252+C255+C258,0)</f>
        <v>1098</v>
      </c>
      <c r="D282" s="262">
        <f>ROUND(D246+D249+D252+D255+D258,0)</f>
        <v>0</v>
      </c>
    </row>
    <row r="283" spans="1:4" x14ac:dyDescent="0.25">
      <c r="B283" s="14" t="s">
        <v>1426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1427</v>
      </c>
      <c r="C284" s="170">
        <f>ROUND(C281/Troupeau!$B$17,2)</f>
        <v>13.93</v>
      </c>
      <c r="D284" s="170" t="e">
        <f>ROUND(D281/(Troupeau!$B$17*G63),2)</f>
        <v>#DIV/0!</v>
      </c>
    </row>
    <row r="285" spans="1:4" x14ac:dyDescent="0.25">
      <c r="B285" s="14" t="s">
        <v>1428</v>
      </c>
      <c r="C285" s="170">
        <f>IF(Troupeau!$C$17=0,0,ROUND(C282/Troupeau!$C$17,2))</f>
        <v>54.9</v>
      </c>
      <c r="D285" s="170">
        <f>IF(Troupeau!$C$17=0,0,ROUND(D282/Troupeau!$C$17*G63,2))</f>
        <v>0</v>
      </c>
    </row>
    <row r="286" spans="1:4" x14ac:dyDescent="0.25">
      <c r="B286" s="14" t="s">
        <v>1429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1430</v>
      </c>
      <c r="C287" s="170">
        <f>SUM(C281:C283)</f>
        <v>4970</v>
      </c>
      <c r="D287" s="262">
        <f>SUM(D281:D283)</f>
        <v>220</v>
      </c>
    </row>
    <row r="288" spans="1:4" x14ac:dyDescent="0.25">
      <c r="B288" s="14" t="s">
        <v>1431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1432</v>
      </c>
      <c r="C289" s="170">
        <f>SUM(C262:C271)</f>
        <v>463</v>
      </c>
      <c r="D289" s="262">
        <f>SUM(D262:D271)</f>
        <v>0</v>
      </c>
    </row>
    <row r="290" spans="2:4" x14ac:dyDescent="0.25">
      <c r="B290" s="14" t="s">
        <v>1433</v>
      </c>
      <c r="C290" s="268">
        <f>C275+C276+C277</f>
        <v>93</v>
      </c>
      <c r="D290" s="269">
        <f>D275+D276+D277</f>
        <v>93</v>
      </c>
    </row>
    <row r="291" spans="2:4" x14ac:dyDescent="0.25">
      <c r="B291" s="14" t="s">
        <v>1434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911</v>
      </c>
      <c r="C292" s="170">
        <f>ROUND(SUM(C287:C291),0)</f>
        <v>6126</v>
      </c>
      <c r="D292" s="262">
        <f>ROUND(SUM(D287:D291),0)</f>
        <v>913</v>
      </c>
    </row>
    <row r="293" spans="2:4" x14ac:dyDescent="0.25">
      <c r="B293" s="14" t="s">
        <v>912</v>
      </c>
      <c r="C293" s="170">
        <f>ROUND(IF(Scénario!$K$129=1,SUM(C275:C280),SUM(C278:C280)),0)</f>
        <v>0</v>
      </c>
      <c r="D293" s="170">
        <f>ROUND(IF(Scénario!$K$129=1,SUM(D275:D280),SUM(D278:D280)),0)</f>
        <v>0</v>
      </c>
    </row>
    <row r="294" spans="2:4" x14ac:dyDescent="0.25">
      <c r="B294" s="14" t="s">
        <v>913</v>
      </c>
      <c r="C294" s="170">
        <f>ROUND((C292-C293)/C83,0)</f>
        <v>3063</v>
      </c>
      <c r="D294" s="170" t="e">
        <f>ROUND((D292-D293)/D83,0)</f>
        <v>#DIV/0!</v>
      </c>
    </row>
    <row r="295" spans="2:4" x14ac:dyDescent="0.25">
      <c r="B295" s="14" t="s">
        <v>1445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1446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1447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1448</v>
      </c>
      <c r="C298" s="170">
        <f>IF(Troupeau!$B$3="OL",CdTrp1!AA220,0)</f>
        <v>0</v>
      </c>
    </row>
    <row r="299" spans="2:4" x14ac:dyDescent="0.25">
      <c r="B299" s="14" t="s">
        <v>1449</v>
      </c>
      <c r="C299" s="170">
        <f>IF(Troupeau!$B$3="OL",CdTrp1!AA221,0)</f>
        <v>0</v>
      </c>
    </row>
    <row r="300" spans="2:4" x14ac:dyDescent="0.25">
      <c r="B300" s="14" t="s">
        <v>1450</v>
      </c>
      <c r="C300" s="170">
        <f>IF(Troupeau!$B$3="BV",CdTrp1!AA220,0)+IF(Troupeau!$C$3="BV",CdTrp2!AA220,0)</f>
        <v>0</v>
      </c>
    </row>
    <row r="301" spans="2:4" x14ac:dyDescent="0.25">
      <c r="B301" s="14" t="s">
        <v>1451</v>
      </c>
      <c r="C301" s="170">
        <f>IF(Troupeau!$B$3="BV",CdTrp1!AA221,0)+IF(Troupeau!$C$3="BV",CdTrp2!AA221,0)</f>
        <v>0</v>
      </c>
    </row>
    <row r="302" spans="2:4" x14ac:dyDescent="0.25">
      <c r="B302" s="14" t="s">
        <v>1452</v>
      </c>
      <c r="C302" s="170">
        <f>IF(Troupeau!$B$3="VL",CdTrp1!AA220,0)</f>
        <v>0</v>
      </c>
    </row>
    <row r="303" spans="2:4" x14ac:dyDescent="0.25">
      <c r="B303" s="14" t="s">
        <v>1453</v>
      </c>
      <c r="C303" s="170">
        <f>'Alim -Surf'!H10</f>
        <v>0</v>
      </c>
    </row>
    <row r="304" spans="2:4" x14ac:dyDescent="0.25">
      <c r="B304" s="14" t="s">
        <v>1454</v>
      </c>
      <c r="C304" s="170">
        <f>Protection!BL31</f>
        <v>15</v>
      </c>
    </row>
    <row r="305" spans="2:3" x14ac:dyDescent="0.25">
      <c r="B305" s="14" t="s">
        <v>1455</v>
      </c>
      <c r="C305" s="170">
        <f>Protection!BJ31</f>
        <v>0</v>
      </c>
    </row>
    <row r="306" spans="2:3" x14ac:dyDescent="0.25">
      <c r="B306" s="14" t="s">
        <v>1456</v>
      </c>
      <c r="C306" s="170">
        <f>'Calcul éco'!X233</f>
        <v>0</v>
      </c>
    </row>
    <row r="307" spans="2:3" x14ac:dyDescent="0.25">
      <c r="B307" s="14" t="s">
        <v>1457</v>
      </c>
      <c r="C307" s="170">
        <f>'Calcul éco'!X234</f>
        <v>0</v>
      </c>
    </row>
    <row r="308" spans="2:3" x14ac:dyDescent="0.25">
      <c r="B308" s="14" t="s">
        <v>1458</v>
      </c>
      <c r="C308" s="170">
        <f>'Calcul éco'!X235</f>
        <v>0</v>
      </c>
    </row>
    <row r="309" spans="2:3" x14ac:dyDescent="0.25">
      <c r="B309" s="14" t="s">
        <v>1459</v>
      </c>
      <c r="C309" s="170">
        <f>'Calcul éco'!X236</f>
        <v>0</v>
      </c>
    </row>
    <row r="310" spans="2:3" x14ac:dyDescent="0.25">
      <c r="B310" s="14" t="s">
        <v>1460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459</v>
      </c>
      <c r="C3" s="77" t="s">
        <v>460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109" activePane="bottomLeft" state="frozen"/>
      <selection pane="bottomLeft" activeCell="B123" sqref="B123:AA129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1462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1461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461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436</v>
      </c>
      <c r="B16" s="282">
        <f>AL3*Troupeau!$B$17/$AI$2</f>
        <v>73.755102040816325</v>
      </c>
      <c r="C16" s="282">
        <f>AM3*Troupeau!$B$17/$AI$2</f>
        <v>65.244897959183675</v>
      </c>
      <c r="D16" s="282">
        <f>AN3*Troupeau!$B$17/$AI$2</f>
        <v>56.734693877551024</v>
      </c>
      <c r="E16" s="282">
        <f>AO3*Troupeau!$B$17/$AI$2</f>
        <v>48.224489795918366</v>
      </c>
      <c r="F16" s="282">
        <f>AP3*Troupeau!$B$17/$AI$2</f>
        <v>39.714285714285715</v>
      </c>
      <c r="G16" s="282">
        <f>AQ3*Troupeau!$B$17/$AI$2</f>
        <v>31.771428571428572</v>
      </c>
      <c r="H16" s="282">
        <f>AR3*Troupeau!$B$17/$AI$2</f>
        <v>23.828571428571429</v>
      </c>
      <c r="I16" s="282">
        <f>AS3*Troupeau!$B$17/$AI$2</f>
        <v>15.885714285714286</v>
      </c>
      <c r="J16" s="282">
        <f>AT3*Troupeau!$B$17/$AI$2</f>
        <v>7.9428571428571431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0</v>
      </c>
      <c r="W16" s="282">
        <f>BG3*Troupeau!$B$17/$AI$2</f>
        <v>0</v>
      </c>
      <c r="X16" s="282">
        <f>BH3*Troupeau!$B$17/$AI$2</f>
        <v>73.755102040816325</v>
      </c>
      <c r="Y16" s="282">
        <f>BI3*Troupeau!$B$17/$AI$2</f>
        <v>73.755102040816325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437</v>
      </c>
      <c r="B17" s="282">
        <f>AL4*Troupeau!$B$17/$AI$2</f>
        <v>14.183673469387756</v>
      </c>
      <c r="C17" s="282">
        <f>AM4*Troupeau!$B$17/$AI$2</f>
        <v>14.183673469387756</v>
      </c>
      <c r="D17" s="282">
        <f>AN4*Troupeau!$B$17/$AI$2</f>
        <v>14.183673469387756</v>
      </c>
      <c r="E17" s="282">
        <f>AO4*Troupeau!$B$17/$AI$2</f>
        <v>14.183673469387756</v>
      </c>
      <c r="F17" s="282">
        <f>AP4*Troupeau!$B$17/$AI$2</f>
        <v>14.183673469387756</v>
      </c>
      <c r="G17" s="282">
        <f>AQ4*Troupeau!$B$17/$AI$2</f>
        <v>14.183673469387756</v>
      </c>
      <c r="H17" s="282">
        <f>AR4*Troupeau!$B$17/$AI$2</f>
        <v>14.183673469387756</v>
      </c>
      <c r="I17" s="282">
        <f>AS4*Troupeau!$B$17/$AI$2</f>
        <v>14.183673469387756</v>
      </c>
      <c r="J17" s="282">
        <f>AT4*Troupeau!$B$17/$AI$2</f>
        <v>14.183673469387756</v>
      </c>
      <c r="K17" s="282">
        <f>AU4*Troupeau!$B$17/$AI$2</f>
        <v>14.183673469387756</v>
      </c>
      <c r="L17" s="282">
        <f>AV4*Troupeau!$B$17/$AI$2</f>
        <v>0</v>
      </c>
      <c r="M17" s="282">
        <f>AW4*Troupeau!$B$17/$AI$2</f>
        <v>0</v>
      </c>
      <c r="N17" s="282">
        <f>AX4*Troupeau!$B$17/$AI$2</f>
        <v>0</v>
      </c>
      <c r="O17" s="282">
        <f>AY4*Troupeau!$B$17/$AI$2</f>
        <v>0</v>
      </c>
      <c r="P17" s="282">
        <f>AZ4*Troupeau!$B$17/$AI$2</f>
        <v>0</v>
      </c>
      <c r="Q17" s="282">
        <f>BA4*Troupeau!$B$17/$AI$2</f>
        <v>0</v>
      </c>
      <c r="R17" s="282">
        <f>BB4*Troupeau!$B$17/$AI$2</f>
        <v>0</v>
      </c>
      <c r="S17" s="282">
        <f>BC4*Troupeau!$B$17/$AI$2</f>
        <v>0</v>
      </c>
      <c r="T17" s="282">
        <f>BD4*Troupeau!$B$17/$AI$2</f>
        <v>0</v>
      </c>
      <c r="U17" s="282">
        <f>BE4*Troupeau!$B$17/$AI$2</f>
        <v>0</v>
      </c>
      <c r="V17" s="282">
        <f>BF4*Troupeau!$B$17/$AI$2</f>
        <v>0</v>
      </c>
      <c r="W17" s="282">
        <f>BG4*Troupeau!$B$17/$AI$2</f>
        <v>14.183673469387756</v>
      </c>
      <c r="X17" s="282">
        <f>BH4*Troupeau!$B$17/$AI$2</f>
        <v>14.183673469387756</v>
      </c>
      <c r="Y17" s="282">
        <f>BI4*Troupeau!$B$17/$AI$2</f>
        <v>14.183673469387756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438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439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laitières tardives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Brebis laitières tardives</v>
      </c>
      <c r="B40" s="61">
        <f t="shared" ref="B40:Q48" si="14">B16*B28</f>
        <v>11.063265306122448</v>
      </c>
      <c r="C40" s="61">
        <f t="shared" si="14"/>
        <v>9.7867346938775501</v>
      </c>
      <c r="D40" s="61">
        <f t="shared" si="14"/>
        <v>8.5102040816326525</v>
      </c>
      <c r="E40" s="61">
        <f t="shared" si="14"/>
        <v>7.2336734693877549</v>
      </c>
      <c r="F40" s="61">
        <f t="shared" si="14"/>
        <v>5.9571428571428573</v>
      </c>
      <c r="G40" s="61">
        <f t="shared" si="14"/>
        <v>4.765714285714286</v>
      </c>
      <c r="H40" s="61">
        <f t="shared" si="14"/>
        <v>3.5742857142857143</v>
      </c>
      <c r="I40" s="61">
        <f t="shared" si="14"/>
        <v>2.382857142857143</v>
      </c>
      <c r="J40" s="61">
        <f t="shared" si="14"/>
        <v>1.1914285714285715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11.063265306122448</v>
      </c>
      <c r="Y40" s="61">
        <f t="shared" si="13"/>
        <v>11.063265306122448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Brebis vides</v>
      </c>
      <c r="B41" s="61">
        <f t="shared" si="14"/>
        <v>2.1275510204081631</v>
      </c>
      <c r="C41" s="61">
        <f t="shared" si="13"/>
        <v>2.1275510204081631</v>
      </c>
      <c r="D41" s="61">
        <f t="shared" si="13"/>
        <v>2.1275510204081631</v>
      </c>
      <c r="E41" s="61">
        <f t="shared" si="13"/>
        <v>2.1275510204081631</v>
      </c>
      <c r="F41" s="61">
        <f t="shared" si="13"/>
        <v>2.1275510204081631</v>
      </c>
      <c r="G41" s="61">
        <f t="shared" si="13"/>
        <v>2.1275510204081631</v>
      </c>
      <c r="H41" s="61">
        <f t="shared" si="13"/>
        <v>2.1275510204081631</v>
      </c>
      <c r="I41" s="61">
        <f t="shared" si="13"/>
        <v>2.1275510204081631</v>
      </c>
      <c r="J41" s="61">
        <f t="shared" si="13"/>
        <v>2.1275510204081631</v>
      </c>
      <c r="K41" s="61">
        <f t="shared" si="13"/>
        <v>2.1275510204081631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2.1275510204081631</v>
      </c>
      <c r="X41" s="61">
        <f t="shared" si="13"/>
        <v>2.1275510204081631</v>
      </c>
      <c r="Y41" s="61">
        <f t="shared" si="13"/>
        <v>2.1275510204081631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43.793510204081628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Brebis laitières tardives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99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Brebis vides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70.438500000000005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441.89234693877546</v>
      </c>
      <c r="C63" s="61">
        <f t="shared" si="19"/>
        <v>457.72132653061226</v>
      </c>
      <c r="D63" s="61">
        <f t="shared" si="19"/>
        <v>427.72285714285715</v>
      </c>
      <c r="E63" s="61">
        <f t="shared" si="19"/>
        <v>413.42571428571432</v>
      </c>
      <c r="F63" s="61">
        <f t="shared" si="19"/>
        <v>473.550306122449</v>
      </c>
      <c r="G63" s="61">
        <f t="shared" si="19"/>
        <v>488.06020408163261</v>
      </c>
      <c r="H63" s="61">
        <f t="shared" si="19"/>
        <v>486.35816326530608</v>
      </c>
      <c r="I63" s="61">
        <f t="shared" si="19"/>
        <v>501.67653061224485</v>
      </c>
      <c r="J63" s="61">
        <f t="shared" si="19"/>
        <v>534.22806122448981</v>
      </c>
      <c r="K63" s="61">
        <f t="shared" si="19"/>
        <v>550.05704081632655</v>
      </c>
      <c r="L63" s="61">
        <f t="shared" si="19"/>
        <v>546.35510204081629</v>
      </c>
      <c r="M63" s="61">
        <f t="shared" si="19"/>
        <v>546.35510204081629</v>
      </c>
      <c r="N63" s="61">
        <f t="shared" si="19"/>
        <v>564.56693877551015</v>
      </c>
      <c r="O63" s="61">
        <f t="shared" si="19"/>
        <v>564.56693877551015</v>
      </c>
      <c r="P63" s="61">
        <f t="shared" si="19"/>
        <v>564.56693877551015</v>
      </c>
      <c r="Q63" s="61">
        <f t="shared" si="19"/>
        <v>564.56693877551015</v>
      </c>
      <c r="R63" s="61">
        <f t="shared" si="19"/>
        <v>546.35510204081629</v>
      </c>
      <c r="S63" s="61">
        <f t="shared" si="19"/>
        <v>514.44183673469388</v>
      </c>
      <c r="T63" s="61">
        <f t="shared" si="19"/>
        <v>531.58989795918376</v>
      </c>
      <c r="U63" s="61">
        <f t="shared" si="19"/>
        <v>531.58989795918376</v>
      </c>
      <c r="V63" s="61">
        <f t="shared" si="19"/>
        <v>514.44183673469388</v>
      </c>
      <c r="W63" s="61">
        <f t="shared" si="19"/>
        <v>593.58673469387747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Brebis laitières tardives</v>
      </c>
      <c r="B64" s="61">
        <f t="shared" ref="B64:Y64" si="20">B40*B53*B$3</f>
        <v>171.48061224489794</v>
      </c>
      <c r="C64" s="61">
        <f t="shared" si="20"/>
        <v>151.69438775510201</v>
      </c>
      <c r="D64" s="61">
        <f t="shared" si="20"/>
        <v>119.14285714285714</v>
      </c>
      <c r="E64" s="61">
        <f t="shared" si="20"/>
        <v>101.27142857142857</v>
      </c>
      <c r="F64" s="61">
        <f t="shared" si="20"/>
        <v>92.335714285714289</v>
      </c>
      <c r="G64" s="61">
        <f t="shared" si="20"/>
        <v>73.868571428571428</v>
      </c>
      <c r="H64" s="61">
        <f t="shared" si="20"/>
        <v>53.614285714285714</v>
      </c>
      <c r="I64" s="61">
        <f t="shared" si="20"/>
        <v>35.742857142857147</v>
      </c>
      <c r="J64" s="61">
        <f t="shared" si="20"/>
        <v>18.467142857142857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171.48061224489794</v>
      </c>
      <c r="Y64" s="61">
        <f t="shared" si="20"/>
        <v>171.48061224489794</v>
      </c>
      <c r="Z64" s="52"/>
      <c r="AE64" s="86"/>
    </row>
    <row r="65" spans="1:33" s="5" customFormat="1" hidden="1" x14ac:dyDescent="0.25">
      <c r="A65" s="38" t="str">
        <f>A$17</f>
        <v>Brebis vides</v>
      </c>
      <c r="B65" s="61">
        <f t="shared" ref="B65:Y65" si="21">B41*B54*B$3</f>
        <v>32.977040816326529</v>
      </c>
      <c r="C65" s="61">
        <f t="shared" si="21"/>
        <v>32.977040816326529</v>
      </c>
      <c r="D65" s="61">
        <f t="shared" si="21"/>
        <v>29.785714285714285</v>
      </c>
      <c r="E65" s="61">
        <f t="shared" si="21"/>
        <v>29.785714285714285</v>
      </c>
      <c r="F65" s="61">
        <f t="shared" si="21"/>
        <v>32.977040816326529</v>
      </c>
      <c r="G65" s="61">
        <f t="shared" si="21"/>
        <v>32.977040816326529</v>
      </c>
      <c r="H65" s="61">
        <f t="shared" si="21"/>
        <v>31.913265306122447</v>
      </c>
      <c r="I65" s="61">
        <f t="shared" si="21"/>
        <v>31.913265306122447</v>
      </c>
      <c r="J65" s="61">
        <f t="shared" si="21"/>
        <v>32.977040816326529</v>
      </c>
      <c r="K65" s="61">
        <f t="shared" si="21"/>
        <v>32.977040816326529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31.913265306122447</v>
      </c>
      <c r="X65" s="61">
        <f t="shared" si="21"/>
        <v>32.977040816326529</v>
      </c>
      <c r="Y65" s="61">
        <f t="shared" si="21"/>
        <v>32.977040816326529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60.326000000000008</v>
      </c>
      <c r="K66" s="61">
        <f t="shared" si="22"/>
        <v>60.326000000000008</v>
      </c>
      <c r="L66" s="61">
        <f t="shared" si="22"/>
        <v>58.38</v>
      </c>
      <c r="M66" s="61">
        <f t="shared" si="22"/>
        <v>58.38</v>
      </c>
      <c r="N66" s="61">
        <f t="shared" si="22"/>
        <v>60.326000000000008</v>
      </c>
      <c r="O66" s="61">
        <f t="shared" si="22"/>
        <v>60.326000000000008</v>
      </c>
      <c r="P66" s="61">
        <f t="shared" si="22"/>
        <v>129.27000000000001</v>
      </c>
      <c r="Q66" s="61">
        <f t="shared" si="22"/>
        <v>129.27000000000001</v>
      </c>
      <c r="R66" s="61">
        <f t="shared" si="22"/>
        <v>125.1</v>
      </c>
      <c r="S66" s="61">
        <f t="shared" si="22"/>
        <v>125.1</v>
      </c>
      <c r="T66" s="61">
        <f t="shared" si="22"/>
        <v>129.27000000000001</v>
      </c>
      <c r="U66" s="61">
        <f t="shared" si="22"/>
        <v>129.27000000000001</v>
      </c>
      <c r="V66" s="61">
        <f t="shared" si="22"/>
        <v>125.1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14.509897959183672</v>
      </c>
      <c r="G67" s="61">
        <f t="shared" si="23"/>
        <v>14.509897959183672</v>
      </c>
      <c r="H67" s="61">
        <f t="shared" si="23"/>
        <v>14.041836734693875</v>
      </c>
      <c r="I67" s="61">
        <f t="shared" si="23"/>
        <v>14.041836734693875</v>
      </c>
      <c r="J67" s="61">
        <f t="shared" si="23"/>
        <v>14.509897959183672</v>
      </c>
      <c r="K67" s="61">
        <f t="shared" si="23"/>
        <v>14.509897959183672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687</v>
      </c>
      <c r="C73" s="64">
        <f t="shared" ref="C73:Y73" si="29">ROUND(SUM(C63:C72),0)</f>
        <v>683</v>
      </c>
      <c r="D73" s="64">
        <f t="shared" si="29"/>
        <v>613</v>
      </c>
      <c r="E73" s="64">
        <f t="shared" si="29"/>
        <v>612</v>
      </c>
      <c r="F73" s="64">
        <f t="shared" si="29"/>
        <v>674</v>
      </c>
      <c r="G73" s="64">
        <f t="shared" si="29"/>
        <v>670</v>
      </c>
      <c r="H73" s="64">
        <f t="shared" si="29"/>
        <v>644</v>
      </c>
      <c r="I73" s="64">
        <f t="shared" si="29"/>
        <v>642</v>
      </c>
      <c r="J73" s="64">
        <f t="shared" si="29"/>
        <v>661</v>
      </c>
      <c r="K73" s="64">
        <f t="shared" si="29"/>
        <v>658</v>
      </c>
      <c r="L73" s="64">
        <f t="shared" si="29"/>
        <v>605</v>
      </c>
      <c r="M73" s="64">
        <f t="shared" si="29"/>
        <v>605</v>
      </c>
      <c r="N73" s="64">
        <f t="shared" si="29"/>
        <v>625</v>
      </c>
      <c r="O73" s="64">
        <f t="shared" si="29"/>
        <v>625</v>
      </c>
      <c r="P73" s="64">
        <f t="shared" si="29"/>
        <v>694</v>
      </c>
      <c r="Q73" s="64">
        <f t="shared" si="29"/>
        <v>694</v>
      </c>
      <c r="R73" s="64">
        <f t="shared" si="29"/>
        <v>671</v>
      </c>
      <c r="S73" s="64">
        <f t="shared" si="29"/>
        <v>640</v>
      </c>
      <c r="T73" s="64">
        <f t="shared" si="29"/>
        <v>661</v>
      </c>
      <c r="U73" s="64">
        <f t="shared" si="29"/>
        <v>661</v>
      </c>
      <c r="V73" s="64">
        <f t="shared" si="29"/>
        <v>640</v>
      </c>
      <c r="W73" s="64">
        <f t="shared" si="29"/>
        <v>640</v>
      </c>
      <c r="X73" s="64">
        <f t="shared" si="29"/>
        <v>661</v>
      </c>
      <c r="Y73" s="64">
        <f t="shared" si="29"/>
        <v>687</v>
      </c>
      <c r="Z73" s="52"/>
      <c r="AA73" s="56">
        <f>ROUND(SUM(B73:Y73),0)</f>
        <v>15653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Brebis laitières lot princ</v>
      </c>
      <c r="B76" s="60"/>
      <c r="C76" s="60"/>
      <c r="D76" s="60"/>
      <c r="E76" s="60"/>
      <c r="F76" s="273"/>
      <c r="G76" s="273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273"/>
      <c r="T76" s="273"/>
      <c r="U76" s="273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Brebis laitières tardives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Brebis vides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273"/>
      <c r="U79" s="273"/>
      <c r="V79" s="273"/>
      <c r="W79" s="273"/>
      <c r="X79" s="273"/>
      <c r="Y79" s="273"/>
      <c r="AB79" s="142">
        <v>2</v>
      </c>
      <c r="AC79">
        <f t="shared" ref="AC79:AC81" si="30">COUNTIF($B$76:$Y$85,AB79)/2</f>
        <v>0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Brebis laitières tardives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Brebis laitières tardives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Brebis vides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Brebis laitières tardives</v>
      </c>
      <c r="B111" s="61">
        <f t="shared" ref="B111:Y111" si="42">(B40*B$3*B100)/1000</f>
        <v>2.2292479591836734</v>
      </c>
      <c r="C111" s="61">
        <f t="shared" si="42"/>
        <v>1.9720270408163263</v>
      </c>
      <c r="D111" s="61">
        <f t="shared" si="42"/>
        <v>1.5488571428571429</v>
      </c>
      <c r="E111" s="61">
        <f t="shared" si="42"/>
        <v>1.3165285714285715</v>
      </c>
      <c r="F111" s="61">
        <f t="shared" si="42"/>
        <v>1.2003642857142858</v>
      </c>
      <c r="G111" s="61">
        <f t="shared" si="42"/>
        <v>0.96029142857142857</v>
      </c>
      <c r="H111" s="61">
        <f t="shared" si="42"/>
        <v>0.69698571428571432</v>
      </c>
      <c r="I111" s="61">
        <f t="shared" si="42"/>
        <v>0.46465714285714288</v>
      </c>
      <c r="J111" s="61">
        <f t="shared" si="42"/>
        <v>0.24007285714285714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2.2292479591836734</v>
      </c>
      <c r="Y111" s="61">
        <f t="shared" si="42"/>
        <v>2.2292479591836734</v>
      </c>
    </row>
    <row r="112" spans="1:33" x14ac:dyDescent="0.25">
      <c r="A112" s="128" t="str">
        <f>A$17</f>
        <v>Brebis vides</v>
      </c>
      <c r="B112" s="61">
        <f t="shared" ref="B112:Y112" si="43">(B41*B$3*B101)/1000</f>
        <v>0.42870153061224486</v>
      </c>
      <c r="C112" s="61">
        <f t="shared" si="43"/>
        <v>0.42870153061224486</v>
      </c>
      <c r="D112" s="61">
        <f t="shared" si="43"/>
        <v>0.38721428571428573</v>
      </c>
      <c r="E112" s="61">
        <f t="shared" si="43"/>
        <v>0.38721428571428573</v>
      </c>
      <c r="F112" s="61">
        <f t="shared" si="43"/>
        <v>0.42870153061224486</v>
      </c>
      <c r="G112" s="61">
        <f t="shared" si="43"/>
        <v>0.42870153061224486</v>
      </c>
      <c r="H112" s="61">
        <f t="shared" si="43"/>
        <v>0.4148724489795918</v>
      </c>
      <c r="I112" s="61">
        <f t="shared" si="43"/>
        <v>0.4148724489795918</v>
      </c>
      <c r="J112" s="61">
        <f t="shared" si="43"/>
        <v>0.42870153061224486</v>
      </c>
      <c r="K112" s="61">
        <f t="shared" si="43"/>
        <v>0.42870153061224486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0.4148724489795918</v>
      </c>
      <c r="X112" s="61">
        <f t="shared" si="43"/>
        <v>0.42870153061224486</v>
      </c>
      <c r="Y112" s="61">
        <f t="shared" si="43"/>
        <v>0.42870153061224486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10.263554336734693</v>
      </c>
      <c r="H120" s="61">
        <f t="shared" si="51"/>
        <v>9.9274807040816349</v>
      </c>
      <c r="I120" s="61">
        <f t="shared" si="51"/>
        <v>9.9431565000000024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9.1656387244897939</v>
      </c>
      <c r="Y120" s="61">
        <f t="shared" si="51"/>
        <v>10.336917260204082</v>
      </c>
      <c r="AA120" s="57">
        <f>SUM(B120:Y120)</f>
        <v>206.16861484183673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476</v>
      </c>
    </row>
    <row r="123" spans="1:60" x14ac:dyDescent="0.25">
      <c r="A123" s="127" t="str">
        <f>A$15</f>
        <v>Brebis laitières lot princ</v>
      </c>
      <c r="B123" s="273"/>
      <c r="C123" s="273"/>
      <c r="D123" s="273"/>
      <c r="E123" s="273"/>
      <c r="F123" s="273"/>
      <c r="G123" s="273"/>
      <c r="H123" s="273"/>
      <c r="I123" s="273"/>
      <c r="J123" s="273"/>
      <c r="K123" s="273"/>
      <c r="L123" s="273"/>
      <c r="M123" s="60"/>
      <c r="N123" s="60"/>
      <c r="O123" s="60"/>
      <c r="P123" s="60"/>
      <c r="Q123" s="60"/>
      <c r="R123" s="273"/>
      <c r="S123" s="273"/>
      <c r="T123" s="273"/>
      <c r="U123" s="273"/>
      <c r="V123" s="273"/>
      <c r="W123" s="273"/>
      <c r="X123" s="160"/>
      <c r="Y123" s="160"/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Brebis laitières tardives</v>
      </c>
      <c r="B124" s="273"/>
      <c r="C124" s="273"/>
      <c r="D124" s="273"/>
      <c r="E124" s="273"/>
      <c r="F124" s="273"/>
      <c r="G124" s="273"/>
      <c r="H124" s="273"/>
      <c r="I124" s="273"/>
      <c r="J124" s="273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/>
      <c r="Y124" s="273"/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Brebis vides</v>
      </c>
      <c r="B125" s="273"/>
      <c r="C125" s="273"/>
      <c r="D125" s="273"/>
      <c r="E125" s="159"/>
      <c r="F125" s="159"/>
      <c r="G125" s="159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273"/>
      <c r="R126" s="273"/>
      <c r="S126" s="273"/>
      <c r="T126" s="273"/>
      <c r="U126" s="273"/>
      <c r="V126" s="273"/>
      <c r="W126" s="273"/>
      <c r="X126" s="273"/>
      <c r="Y126" s="273"/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159"/>
      <c r="Y127" s="159"/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7.66677945612245</v>
      </c>
      <c r="G136" s="61">
        <f t="shared" si="52"/>
        <v>7.9016947040816321</v>
      </c>
      <c r="H136" s="61">
        <f t="shared" si="52"/>
        <v>7.8741386632653061</v>
      </c>
      <c r="I136" s="61">
        <f t="shared" si="52"/>
        <v>8.1221430306122446</v>
      </c>
      <c r="J136" s="61">
        <f t="shared" si="52"/>
        <v>8.6491523112244906</v>
      </c>
      <c r="K136" s="61">
        <f t="shared" si="52"/>
        <v>8.905423490816327</v>
      </c>
      <c r="L136" s="61">
        <f t="shared" si="52"/>
        <v>8.8454891020408155</v>
      </c>
      <c r="M136" s="61">
        <f t="shared" si="52"/>
        <v>5.5017958775510207</v>
      </c>
      <c r="N136" s="61">
        <f t="shared" si="52"/>
        <v>5.6851890734693873</v>
      </c>
      <c r="O136" s="61">
        <f t="shared" si="52"/>
        <v>5.6851890734693873</v>
      </c>
      <c r="P136" s="61">
        <f t="shared" si="52"/>
        <v>5.6851890734693873</v>
      </c>
      <c r="Q136" s="61">
        <f t="shared" si="52"/>
        <v>5.6851890734693873</v>
      </c>
      <c r="R136" s="61">
        <f t="shared" si="52"/>
        <v>5.5017958775510207</v>
      </c>
      <c r="S136" s="61">
        <f t="shared" si="52"/>
        <v>5.1804292959183673</v>
      </c>
      <c r="T136" s="61">
        <f t="shared" si="52"/>
        <v>5.3531102724489807</v>
      </c>
      <c r="U136" s="61">
        <f t="shared" si="52"/>
        <v>5.3531102724489807</v>
      </c>
      <c r="V136" s="61">
        <f t="shared" si="52"/>
        <v>4.0692349285714284</v>
      </c>
      <c r="W136" s="61">
        <f t="shared" si="52"/>
        <v>8.4882903061224475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161.8095822857143</v>
      </c>
    </row>
    <row r="137" spans="1:31" x14ac:dyDescent="0.25">
      <c r="A137" s="128" t="str">
        <f>A$16</f>
        <v>Brebis laitières tardives</v>
      </c>
      <c r="B137" s="61">
        <f t="shared" ref="B137:Y144" si="53">B111*(1-B124)</f>
        <v>2.2292479591836734</v>
      </c>
      <c r="C137" s="61">
        <f t="shared" si="53"/>
        <v>1.9720270408163263</v>
      </c>
      <c r="D137" s="61">
        <f t="shared" si="53"/>
        <v>1.5488571428571429</v>
      </c>
      <c r="E137" s="61">
        <f t="shared" si="53"/>
        <v>1.3165285714285715</v>
      </c>
      <c r="F137" s="61">
        <f t="shared" si="53"/>
        <v>1.2003642857142858</v>
      </c>
      <c r="G137" s="61">
        <f t="shared" si="53"/>
        <v>0.96029142857142857</v>
      </c>
      <c r="H137" s="61">
        <f t="shared" si="53"/>
        <v>0.69698571428571432</v>
      </c>
      <c r="I137" s="61">
        <f t="shared" si="53"/>
        <v>0.46465714285714288</v>
      </c>
      <c r="J137" s="61">
        <f t="shared" si="53"/>
        <v>0.24007285714285714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2.2292479591836734</v>
      </c>
      <c r="Y137" s="61">
        <f t="shared" si="53"/>
        <v>2.2292479591836734</v>
      </c>
      <c r="AA137" s="61">
        <f>SUM(B137:Y137)</f>
        <v>15.087528061224491</v>
      </c>
    </row>
    <row r="138" spans="1:31" x14ac:dyDescent="0.25">
      <c r="A138" s="128" t="str">
        <f>A$17</f>
        <v>Brebis vides</v>
      </c>
      <c r="B138" s="61">
        <f t="shared" si="53"/>
        <v>0.42870153061224486</v>
      </c>
      <c r="C138" s="61">
        <f t="shared" si="53"/>
        <v>0.42870153061224486</v>
      </c>
      <c r="D138" s="61">
        <f t="shared" si="53"/>
        <v>0.38721428571428573</v>
      </c>
      <c r="E138" s="61">
        <f t="shared" si="53"/>
        <v>0.38721428571428573</v>
      </c>
      <c r="F138" s="61">
        <f t="shared" si="53"/>
        <v>0.42870153061224486</v>
      </c>
      <c r="G138" s="61">
        <f t="shared" si="53"/>
        <v>0.42870153061224486</v>
      </c>
      <c r="H138" s="61">
        <f t="shared" si="53"/>
        <v>0.4148724489795918</v>
      </c>
      <c r="I138" s="61">
        <f t="shared" si="53"/>
        <v>0.4148724489795918</v>
      </c>
      <c r="J138" s="61">
        <f t="shared" si="53"/>
        <v>0.42870153061224486</v>
      </c>
      <c r="K138" s="61">
        <f t="shared" si="53"/>
        <v>0.42870153061224486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0.4148724489795918</v>
      </c>
      <c r="X138" s="61">
        <f t="shared" si="53"/>
        <v>0.42870153061224486</v>
      </c>
      <c r="Y138" s="61">
        <f t="shared" si="53"/>
        <v>0.42870153061224486</v>
      </c>
      <c r="AA138" s="61">
        <f t="shared" ref="AA138:AA144" si="54">SUM(B138:Y138)</f>
        <v>5.4486581632653062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0.7842380000000001</v>
      </c>
      <c r="K139" s="61">
        <f t="shared" si="53"/>
        <v>0.7842380000000001</v>
      </c>
      <c r="L139" s="61">
        <f t="shared" si="53"/>
        <v>0.75894000000000006</v>
      </c>
      <c r="M139" s="61">
        <f t="shared" si="53"/>
        <v>0.75894000000000006</v>
      </c>
      <c r="N139" s="61">
        <f t="shared" si="53"/>
        <v>0.7842380000000001</v>
      </c>
      <c r="O139" s="61">
        <f t="shared" si="53"/>
        <v>0.7842380000000001</v>
      </c>
      <c r="P139" s="61">
        <f t="shared" si="53"/>
        <v>1.6805100000000002</v>
      </c>
      <c r="Q139" s="61">
        <f t="shared" si="53"/>
        <v>1.6805100000000002</v>
      </c>
      <c r="R139" s="61">
        <f t="shared" si="53"/>
        <v>1.6262999999999999</v>
      </c>
      <c r="S139" s="61">
        <f t="shared" si="53"/>
        <v>1.6262999999999999</v>
      </c>
      <c r="T139" s="61">
        <f t="shared" si="53"/>
        <v>1.6805100000000002</v>
      </c>
      <c r="U139" s="61">
        <f t="shared" si="53"/>
        <v>1.6805100000000002</v>
      </c>
      <c r="V139" s="61">
        <f t="shared" si="53"/>
        <v>1.6262999999999999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21.362354000000003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0.18862867346938775</v>
      </c>
      <c r="G140" s="61">
        <f t="shared" si="53"/>
        <v>0.18862867346938775</v>
      </c>
      <c r="H140" s="61">
        <f t="shared" si="53"/>
        <v>0.18254387755102039</v>
      </c>
      <c r="I140" s="61">
        <f t="shared" si="53"/>
        <v>0.18254387755102039</v>
      </c>
      <c r="J140" s="61">
        <f t="shared" si="53"/>
        <v>0.18862867346938775</v>
      </c>
      <c r="K140" s="61">
        <f t="shared" si="53"/>
        <v>0.18862867346938775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2.3974095918367349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206.10553210204085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237.02136191734695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0</v>
      </c>
      <c r="G149" s="61">
        <f t="shared" si="56"/>
        <v>0</v>
      </c>
      <c r="H149" s="61">
        <f t="shared" si="56"/>
        <v>0</v>
      </c>
      <c r="I149" s="61">
        <f t="shared" si="56"/>
        <v>0</v>
      </c>
      <c r="J149" s="61">
        <f t="shared" si="56"/>
        <v>0</v>
      </c>
      <c r="K149" s="61">
        <f t="shared" si="56"/>
        <v>0</v>
      </c>
      <c r="L149" s="61">
        <f t="shared" si="56"/>
        <v>0</v>
      </c>
      <c r="M149" s="61">
        <f t="shared" si="56"/>
        <v>0</v>
      </c>
      <c r="N149" s="61">
        <f t="shared" si="56"/>
        <v>0</v>
      </c>
      <c r="O149" s="61">
        <f t="shared" si="56"/>
        <v>0</v>
      </c>
      <c r="P149" s="61">
        <f t="shared" si="56"/>
        <v>0</v>
      </c>
      <c r="Q149" s="61">
        <f t="shared" si="56"/>
        <v>0</v>
      </c>
      <c r="R149" s="61">
        <f t="shared" si="56"/>
        <v>0</v>
      </c>
      <c r="S149" s="61">
        <f t="shared" si="56"/>
        <v>0</v>
      </c>
      <c r="T149" s="61">
        <f t="shared" si="56"/>
        <v>0</v>
      </c>
      <c r="U149" s="61">
        <f t="shared" si="56"/>
        <v>0</v>
      </c>
      <c r="V149" s="61">
        <f t="shared" si="56"/>
        <v>0</v>
      </c>
      <c r="W149" s="61">
        <f t="shared" si="56"/>
        <v>0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Brebis laitières tardives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</v>
      </c>
      <c r="G150" s="61">
        <f t="shared" si="57"/>
        <v>0</v>
      </c>
      <c r="H150" s="61">
        <f t="shared" si="57"/>
        <v>0</v>
      </c>
      <c r="I150" s="61">
        <f t="shared" si="57"/>
        <v>0</v>
      </c>
      <c r="J150" s="61">
        <f t="shared" si="57"/>
        <v>0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</v>
      </c>
      <c r="Y150" s="61">
        <f t="shared" si="57"/>
        <v>0</v>
      </c>
    </row>
    <row r="151" spans="1:28" x14ac:dyDescent="0.25">
      <c r="A151" s="128" t="str">
        <f>A$17</f>
        <v>Brebis vides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</v>
      </c>
      <c r="K152" s="61">
        <f t="shared" si="59"/>
        <v>0</v>
      </c>
      <c r="L152" s="61">
        <f t="shared" si="59"/>
        <v>0</v>
      </c>
      <c r="M152" s="61">
        <f t="shared" si="59"/>
        <v>0</v>
      </c>
      <c r="N152" s="61">
        <f t="shared" si="59"/>
        <v>0</v>
      </c>
      <c r="O152" s="61">
        <f t="shared" si="59"/>
        <v>0</v>
      </c>
      <c r="P152" s="61">
        <f t="shared" si="59"/>
        <v>0</v>
      </c>
      <c r="Q152" s="61">
        <f t="shared" si="59"/>
        <v>0</v>
      </c>
      <c r="R152" s="61">
        <f t="shared" si="59"/>
        <v>0</v>
      </c>
      <c r="S152" s="61">
        <f t="shared" si="59"/>
        <v>0</v>
      </c>
      <c r="T152" s="61">
        <f t="shared" si="59"/>
        <v>0</v>
      </c>
      <c r="U152" s="61">
        <f t="shared" si="59"/>
        <v>0</v>
      </c>
      <c r="V152" s="61">
        <f t="shared" si="59"/>
        <v>0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</v>
      </c>
      <c r="G153" s="61">
        <f t="shared" si="60"/>
        <v>0</v>
      </c>
      <c r="H153" s="61">
        <f t="shared" si="60"/>
        <v>0</v>
      </c>
      <c r="I153" s="61">
        <f t="shared" si="60"/>
        <v>0</v>
      </c>
      <c r="J153" s="61">
        <f t="shared" si="60"/>
        <v>0</v>
      </c>
      <c r="K153" s="61">
        <f t="shared" si="60"/>
        <v>0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0</v>
      </c>
      <c r="G162" s="61">
        <f t="shared" si="66"/>
        <v>0</v>
      </c>
      <c r="H162" s="61">
        <f t="shared" si="66"/>
        <v>0</v>
      </c>
      <c r="I162" s="61">
        <f t="shared" si="66"/>
        <v>0</v>
      </c>
      <c r="J162" s="61">
        <f t="shared" si="66"/>
        <v>0</v>
      </c>
      <c r="K162" s="61">
        <f t="shared" si="66"/>
        <v>0</v>
      </c>
      <c r="L162" s="61">
        <f t="shared" si="66"/>
        <v>0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0</v>
      </c>
      <c r="T162" s="61">
        <f t="shared" si="66"/>
        <v>0</v>
      </c>
      <c r="U162" s="61">
        <f t="shared" si="66"/>
        <v>0</v>
      </c>
      <c r="V162" s="61">
        <f t="shared" si="66"/>
        <v>0</v>
      </c>
      <c r="W162" s="61">
        <f t="shared" si="66"/>
        <v>0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Brebis laitières tardives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</v>
      </c>
      <c r="G163" s="61">
        <f t="shared" si="67"/>
        <v>0</v>
      </c>
      <c r="H163" s="61">
        <f t="shared" si="67"/>
        <v>0</v>
      </c>
      <c r="I163" s="61">
        <f t="shared" si="67"/>
        <v>0</v>
      </c>
      <c r="J163" s="61">
        <f t="shared" si="67"/>
        <v>0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Brebis vides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0</v>
      </c>
      <c r="G172" s="61">
        <f t="shared" si="76"/>
        <v>0</v>
      </c>
      <c r="H172" s="61">
        <f t="shared" si="76"/>
        <v>0</v>
      </c>
      <c r="I172" s="61">
        <f t="shared" si="76"/>
        <v>0</v>
      </c>
      <c r="J172" s="61">
        <f t="shared" si="76"/>
        <v>0</v>
      </c>
      <c r="K172" s="61">
        <f t="shared" si="76"/>
        <v>0</v>
      </c>
      <c r="L172" s="61">
        <f t="shared" si="76"/>
        <v>0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0</v>
      </c>
      <c r="T172" s="61">
        <f t="shared" si="76"/>
        <v>0</v>
      </c>
      <c r="U172" s="61">
        <f t="shared" si="76"/>
        <v>0</v>
      </c>
      <c r="V172" s="61">
        <f t="shared" si="76"/>
        <v>0</v>
      </c>
      <c r="W172" s="61">
        <f t="shared" si="76"/>
        <v>0</v>
      </c>
      <c r="X172" s="61">
        <f t="shared" si="76"/>
        <v>0</v>
      </c>
      <c r="Y172" s="61">
        <f t="shared" si="7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Brebis laitières tardives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Brebis vides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</v>
      </c>
      <c r="V178" s="61">
        <f t="shared" si="80"/>
        <v>0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Brebis laitières tardives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Brebis vides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0</v>
      </c>
      <c r="N201" s="61">
        <f t="shared" si="98"/>
        <v>0</v>
      </c>
      <c r="O201" s="61">
        <f t="shared" si="98"/>
        <v>0</v>
      </c>
      <c r="P201" s="61">
        <f t="shared" si="98"/>
        <v>0</v>
      </c>
      <c r="Q201" s="61">
        <f t="shared" si="98"/>
        <v>0</v>
      </c>
      <c r="R201" s="61">
        <f t="shared" si="98"/>
        <v>0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Brebis laitières tardives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Brebis vides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</v>
      </c>
      <c r="N204" s="61">
        <f t="shared" si="101"/>
        <v>0</v>
      </c>
      <c r="O204" s="61">
        <f t="shared" si="101"/>
        <v>0</v>
      </c>
      <c r="P204" s="61">
        <f t="shared" si="101"/>
        <v>0</v>
      </c>
      <c r="Q204" s="61">
        <f t="shared" si="101"/>
        <v>0</v>
      </c>
      <c r="R204" s="61">
        <f t="shared" si="101"/>
        <v>0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0</v>
      </c>
      <c r="N211" s="61">
        <f t="shared" si="108"/>
        <v>0</v>
      </c>
      <c r="O211" s="61">
        <f t="shared" si="108"/>
        <v>0</v>
      </c>
      <c r="P211" s="61">
        <f t="shared" si="108"/>
        <v>0</v>
      </c>
      <c r="Q211" s="61">
        <f t="shared" si="108"/>
        <v>0</v>
      </c>
      <c r="R211" s="61">
        <f t="shared" si="108"/>
        <v>0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0</v>
      </c>
      <c r="G215" s="61">
        <f t="shared" si="109"/>
        <v>0</v>
      </c>
      <c r="H215" s="61">
        <f t="shared" si="109"/>
        <v>0</v>
      </c>
      <c r="I215" s="61">
        <f t="shared" si="109"/>
        <v>0</v>
      </c>
      <c r="J215" s="61">
        <f t="shared" si="109"/>
        <v>0</v>
      </c>
      <c r="K215" s="61">
        <f t="shared" si="109"/>
        <v>0</v>
      </c>
      <c r="L215" s="61">
        <f t="shared" si="109"/>
        <v>0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0</v>
      </c>
      <c r="T215" s="61">
        <f t="shared" si="109"/>
        <v>0</v>
      </c>
      <c r="U215" s="61">
        <f t="shared" si="109"/>
        <v>0</v>
      </c>
      <c r="V215" s="61">
        <f t="shared" si="109"/>
        <v>0</v>
      </c>
      <c r="W215" s="61">
        <f t="shared" si="109"/>
        <v>0</v>
      </c>
      <c r="X215" s="61">
        <f t="shared" si="109"/>
        <v>0</v>
      </c>
      <c r="Y215" s="61">
        <f t="shared" si="10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10">C185</f>
        <v>0</v>
      </c>
      <c r="D216" s="61">
        <f t="shared" si="110"/>
        <v>0</v>
      </c>
      <c r="E216" s="61">
        <f t="shared" si="110"/>
        <v>0</v>
      </c>
      <c r="F216" s="61">
        <f t="shared" si="110"/>
        <v>0</v>
      </c>
      <c r="G216" s="61">
        <f t="shared" si="110"/>
        <v>0</v>
      </c>
      <c r="H216" s="61">
        <f t="shared" si="110"/>
        <v>0</v>
      </c>
      <c r="I216" s="61">
        <f t="shared" si="110"/>
        <v>0</v>
      </c>
      <c r="J216" s="61">
        <f t="shared" si="110"/>
        <v>0</v>
      </c>
      <c r="K216" s="61">
        <f t="shared" si="110"/>
        <v>0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0</v>
      </c>
      <c r="T216" s="61">
        <f t="shared" si="110"/>
        <v>0</v>
      </c>
      <c r="U216" s="61">
        <f t="shared" si="110"/>
        <v>0</v>
      </c>
      <c r="V216" s="61">
        <f t="shared" si="110"/>
        <v>0</v>
      </c>
      <c r="W216" s="61">
        <f t="shared" si="110"/>
        <v>0</v>
      </c>
      <c r="X216" s="61">
        <f t="shared" si="110"/>
        <v>0</v>
      </c>
      <c r="Y216" s="61">
        <f t="shared" si="11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0</v>
      </c>
      <c r="N218" s="61">
        <f t="shared" si="112"/>
        <v>0</v>
      </c>
      <c r="O218" s="61">
        <f t="shared" si="112"/>
        <v>0</v>
      </c>
      <c r="P218" s="61">
        <f t="shared" si="112"/>
        <v>0</v>
      </c>
      <c r="Q218" s="61">
        <f t="shared" si="112"/>
        <v>0</v>
      </c>
      <c r="R218" s="61">
        <f t="shared" si="112"/>
        <v>0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117" activePane="bottomLeft" state="frozen"/>
      <selection pane="bottomLeft" activeCell="B123" sqref="B123:Z12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1462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1461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443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444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37.305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233.33333333333334</v>
      </c>
      <c r="F63" s="61">
        <f t="shared" si="17"/>
        <v>258.33333333333337</v>
      </c>
      <c r="G63" s="61">
        <f t="shared" si="17"/>
        <v>258.33333333333337</v>
      </c>
      <c r="H63" s="61">
        <f t="shared" si="17"/>
        <v>250.00000000000003</v>
      </c>
      <c r="I63" s="61">
        <f t="shared" si="17"/>
        <v>212.50000000000003</v>
      </c>
      <c r="J63" s="61">
        <f t="shared" si="17"/>
        <v>219.58333333333334</v>
      </c>
      <c r="K63" s="61">
        <f t="shared" si="17"/>
        <v>219.58333333333334</v>
      </c>
      <c r="L63" s="61">
        <f t="shared" si="17"/>
        <v>212.50000000000003</v>
      </c>
      <c r="M63" s="61">
        <f t="shared" si="17"/>
        <v>212.50000000000003</v>
      </c>
      <c r="N63" s="61">
        <f t="shared" si="17"/>
        <v>219.58333333333334</v>
      </c>
      <c r="O63" s="61">
        <f t="shared" si="17"/>
        <v>219.58333333333334</v>
      </c>
      <c r="P63" s="61">
        <f t="shared" si="17"/>
        <v>219.58333333333334</v>
      </c>
      <c r="Q63" s="61">
        <f t="shared" si="17"/>
        <v>219.58333333333334</v>
      </c>
      <c r="R63" s="61">
        <f t="shared" si="17"/>
        <v>212.50000000000003</v>
      </c>
      <c r="S63" s="61">
        <f t="shared" si="17"/>
        <v>212.50000000000003</v>
      </c>
      <c r="T63" s="61">
        <f t="shared" si="17"/>
        <v>153.70833333333331</v>
      </c>
      <c r="U63" s="61">
        <f t="shared" si="17"/>
        <v>153.70833333333331</v>
      </c>
      <c r="V63" s="61">
        <f t="shared" si="17"/>
        <v>175</v>
      </c>
      <c r="W63" s="61">
        <f t="shared" si="17"/>
        <v>175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65.333333333333343</v>
      </c>
      <c r="E64" s="61">
        <f t="shared" si="17"/>
        <v>65.333333333333343</v>
      </c>
      <c r="F64" s="61">
        <f t="shared" si="17"/>
        <v>72.333333333333343</v>
      </c>
      <c r="G64" s="61">
        <f t="shared" si="17"/>
        <v>72.333333333333343</v>
      </c>
      <c r="H64" s="61">
        <f t="shared" si="17"/>
        <v>70</v>
      </c>
      <c r="I64" s="61">
        <f t="shared" si="17"/>
        <v>70</v>
      </c>
      <c r="J64" s="61">
        <f t="shared" si="17"/>
        <v>81.375</v>
      </c>
      <c r="K64" s="61">
        <f t="shared" si="17"/>
        <v>81.375</v>
      </c>
      <c r="L64" s="61">
        <f t="shared" si="17"/>
        <v>87.500000000000014</v>
      </c>
      <c r="M64" s="61">
        <f t="shared" si="17"/>
        <v>87.500000000000014</v>
      </c>
      <c r="N64" s="61">
        <f t="shared" si="17"/>
        <v>90.416666666666671</v>
      </c>
      <c r="O64" s="61">
        <f t="shared" si="17"/>
        <v>90.416666666666671</v>
      </c>
      <c r="P64" s="61">
        <f t="shared" si="17"/>
        <v>90.416666666666671</v>
      </c>
      <c r="Q64" s="61">
        <f t="shared" si="17"/>
        <v>90.416666666666671</v>
      </c>
      <c r="R64" s="61">
        <f t="shared" si="17"/>
        <v>87.500000000000014</v>
      </c>
      <c r="S64" s="61">
        <f t="shared" si="17"/>
        <v>87.500000000000014</v>
      </c>
      <c r="T64" s="61">
        <f t="shared" si="17"/>
        <v>156.29166666666663</v>
      </c>
      <c r="U64" s="61">
        <f t="shared" si="17"/>
        <v>156.29166666666663</v>
      </c>
      <c r="V64" s="61">
        <f t="shared" si="17"/>
        <v>142.5</v>
      </c>
      <c r="W64" s="61">
        <f t="shared" si="17"/>
        <v>142.5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299</v>
      </c>
      <c r="E73" s="64">
        <f t="shared" si="18"/>
        <v>299</v>
      </c>
      <c r="F73" s="64">
        <f t="shared" si="18"/>
        <v>331</v>
      </c>
      <c r="G73" s="64">
        <f t="shared" si="18"/>
        <v>331</v>
      </c>
      <c r="H73" s="64">
        <f t="shared" si="18"/>
        <v>320</v>
      </c>
      <c r="I73" s="64">
        <f t="shared" si="18"/>
        <v>283</v>
      </c>
      <c r="J73" s="64">
        <f t="shared" si="18"/>
        <v>301</v>
      </c>
      <c r="K73" s="64">
        <f t="shared" si="18"/>
        <v>301</v>
      </c>
      <c r="L73" s="64">
        <f t="shared" si="18"/>
        <v>300</v>
      </c>
      <c r="M73" s="64">
        <f t="shared" si="18"/>
        <v>300</v>
      </c>
      <c r="N73" s="64">
        <f t="shared" si="18"/>
        <v>310</v>
      </c>
      <c r="O73" s="64">
        <f t="shared" si="18"/>
        <v>310</v>
      </c>
      <c r="P73" s="64">
        <f t="shared" si="18"/>
        <v>310</v>
      </c>
      <c r="Q73" s="64">
        <f t="shared" si="18"/>
        <v>310</v>
      </c>
      <c r="R73" s="64">
        <f t="shared" si="18"/>
        <v>300</v>
      </c>
      <c r="S73" s="64">
        <f t="shared" si="18"/>
        <v>300</v>
      </c>
      <c r="T73" s="64">
        <f t="shared" si="18"/>
        <v>310</v>
      </c>
      <c r="U73" s="64">
        <f t="shared" si="18"/>
        <v>310</v>
      </c>
      <c r="V73" s="64">
        <f t="shared" si="18"/>
        <v>318</v>
      </c>
      <c r="W73" s="64">
        <f t="shared" si="18"/>
        <v>318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7461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273"/>
      <c r="U76" s="273"/>
      <c r="V76" s="273"/>
      <c r="W76" s="273"/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273"/>
      <c r="U123" s="273"/>
      <c r="V123" s="273"/>
      <c r="W123" s="273"/>
      <c r="X123" s="60"/>
      <c r="Y123" s="60"/>
    </row>
    <row r="124" spans="1:29" x14ac:dyDescent="0.25">
      <c r="A124" s="128" t="str">
        <f>A$16</f>
        <v>Vaches vides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3.2666666666666671</v>
      </c>
      <c r="F136" s="61">
        <f t="shared" si="32"/>
        <v>3.6166666666666671</v>
      </c>
      <c r="G136" s="61">
        <f t="shared" si="32"/>
        <v>3.6166666666666671</v>
      </c>
      <c r="H136" s="61">
        <f t="shared" si="32"/>
        <v>3.5000000000000004</v>
      </c>
      <c r="I136" s="61">
        <f t="shared" si="32"/>
        <v>2.9750000000000005</v>
      </c>
      <c r="J136" s="61">
        <f t="shared" si="32"/>
        <v>2.6898958333333334</v>
      </c>
      <c r="K136" s="61">
        <f t="shared" si="32"/>
        <v>2.6898958333333334</v>
      </c>
      <c r="L136" s="61">
        <f t="shared" si="32"/>
        <v>2.6031250000000004</v>
      </c>
      <c r="M136" s="61">
        <f t="shared" si="32"/>
        <v>2.6031250000000004</v>
      </c>
      <c r="N136" s="61">
        <f t="shared" si="32"/>
        <v>2.6898958333333334</v>
      </c>
      <c r="O136" s="61">
        <f t="shared" si="32"/>
        <v>2.6898958333333334</v>
      </c>
      <c r="P136" s="61">
        <f t="shared" si="32"/>
        <v>2.6898958333333334</v>
      </c>
      <c r="Q136" s="61">
        <f t="shared" si="32"/>
        <v>2.6898958333333334</v>
      </c>
      <c r="R136" s="61">
        <f t="shared" si="32"/>
        <v>2.6031250000000004</v>
      </c>
      <c r="S136" s="61">
        <f t="shared" si="32"/>
        <v>2.6031250000000004</v>
      </c>
      <c r="T136" s="61">
        <f t="shared" si="32"/>
        <v>1.6907916666666665</v>
      </c>
      <c r="U136" s="61">
        <f t="shared" si="32"/>
        <v>1.6907916666666665</v>
      </c>
      <c r="V136" s="61">
        <f t="shared" si="32"/>
        <v>2.4500000000000002</v>
      </c>
      <c r="W136" s="61">
        <f t="shared" si="32"/>
        <v>2.4500000000000002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63.814458333333341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0.8493333333333335</v>
      </c>
      <c r="E137" s="61">
        <f t="shared" si="33"/>
        <v>0.8493333333333335</v>
      </c>
      <c r="F137" s="61">
        <f t="shared" si="33"/>
        <v>0.94033333333333347</v>
      </c>
      <c r="G137" s="61">
        <f t="shared" si="33"/>
        <v>0.94033333333333347</v>
      </c>
      <c r="H137" s="61">
        <f t="shared" si="33"/>
        <v>0.91</v>
      </c>
      <c r="I137" s="61">
        <f t="shared" si="33"/>
        <v>0.91</v>
      </c>
      <c r="J137" s="61">
        <f t="shared" si="33"/>
        <v>1.0578749999999999</v>
      </c>
      <c r="K137" s="61">
        <f t="shared" si="33"/>
        <v>1.0578749999999999</v>
      </c>
      <c r="L137" s="61">
        <f t="shared" si="33"/>
        <v>1.1375000000000002</v>
      </c>
      <c r="M137" s="61">
        <f t="shared" si="33"/>
        <v>1.1375000000000002</v>
      </c>
      <c r="N137" s="61">
        <f t="shared" si="33"/>
        <v>1.1754166666666668</v>
      </c>
      <c r="O137" s="61">
        <f t="shared" si="33"/>
        <v>1.1754166666666668</v>
      </c>
      <c r="P137" s="61">
        <f t="shared" si="33"/>
        <v>1.1754166666666668</v>
      </c>
      <c r="Q137" s="61">
        <f t="shared" si="33"/>
        <v>1.1754166666666668</v>
      </c>
      <c r="R137" s="61">
        <f t="shared" si="33"/>
        <v>1.1375000000000002</v>
      </c>
      <c r="S137" s="61">
        <f t="shared" si="33"/>
        <v>1.1375000000000002</v>
      </c>
      <c r="T137" s="61">
        <f t="shared" si="33"/>
        <v>2.031791666666666</v>
      </c>
      <c r="U137" s="61">
        <f t="shared" si="33"/>
        <v>2.031791666666666</v>
      </c>
      <c r="V137" s="61">
        <f t="shared" si="33"/>
        <v>1.8525</v>
      </c>
      <c r="W137" s="61">
        <f t="shared" si="33"/>
        <v>1.8525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29.083033333333333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92.897491666666667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102.18724083333335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2023-01-09T10:17:04Z</dcterms:modified>
</cp:coreProperties>
</file>