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activeTab="1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271" r:id="rId19"/>
  </pivotCaches>
</workbook>
</file>

<file path=xl/calcChain.xml><?xml version="1.0" encoding="utf-8"?>
<calcChain xmlns="http://schemas.openxmlformats.org/spreadsheetml/2006/main">
  <c r="A78" i="18" l="1"/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M72" i="32" s="1"/>
  <c r="BL50" i="32"/>
  <c r="BK50" i="32"/>
  <c r="BJ50" i="32"/>
  <c r="BI50" i="32"/>
  <c r="BI72" i="32" s="1"/>
  <c r="BH50" i="32"/>
  <c r="BG50" i="32"/>
  <c r="BF50" i="32"/>
  <c r="BE50" i="32"/>
  <c r="BE72" i="32" s="1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B93" i="31" s="1"/>
  <c r="BA40" i="31"/>
  <c r="BA93" i="31" s="1"/>
  <c r="AZ40" i="31"/>
  <c r="AY40" i="31"/>
  <c r="AX40" i="31"/>
  <c r="AW40" i="31"/>
  <c r="AV40" i="31"/>
  <c r="AT40" i="31"/>
  <c r="BS39" i="31"/>
  <c r="BR39" i="31"/>
  <c r="BR92" i="31" s="1"/>
  <c r="BQ39" i="31"/>
  <c r="BP39" i="31"/>
  <c r="BP92" i="31" s="1"/>
  <c r="BO39" i="31"/>
  <c r="BN39" i="31"/>
  <c r="BM39" i="31"/>
  <c r="BL39" i="31"/>
  <c r="BK39" i="31"/>
  <c r="BJ39" i="31"/>
  <c r="BI39" i="31"/>
  <c r="BH39" i="31"/>
  <c r="BH92" i="31" s="1"/>
  <c r="BG39" i="31"/>
  <c r="BF39" i="31"/>
  <c r="BE39" i="31"/>
  <c r="BD39" i="31"/>
  <c r="BC39" i="31"/>
  <c r="BB39" i="31"/>
  <c r="BA39" i="31"/>
  <c r="AZ39" i="31"/>
  <c r="AZ92" i="31" s="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T3" i="30" s="1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40" i="32"/>
  <c r="T273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H61" i="32"/>
  <c r="BH72" i="32" s="1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O92" i="31"/>
  <c r="BN92" i="31"/>
  <c r="BM92" i="31"/>
  <c r="BL92" i="31"/>
  <c r="BK92" i="31"/>
  <c r="BJ92" i="31"/>
  <c r="BI92" i="31"/>
  <c r="BG92" i="31"/>
  <c r="BF92" i="31"/>
  <c r="BE92" i="31"/>
  <c r="BD92" i="31"/>
  <c r="BC92" i="31"/>
  <c r="BB92" i="31"/>
  <c r="BA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J7" i="30" s="1"/>
  <c r="J12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Z5" i="30"/>
  <c r="Z9" i="30" s="1"/>
  <c r="Y5" i="30"/>
  <c r="Y9" i="30" s="1"/>
  <c r="X5" i="30"/>
  <c r="X9" i="30" s="1"/>
  <c r="W5" i="30"/>
  <c r="W9" i="30" s="1"/>
  <c r="V5" i="30"/>
  <c r="V9" i="30" s="1"/>
  <c r="U5" i="30"/>
  <c r="U9" i="30" s="1"/>
  <c r="T5" i="30"/>
  <c r="T9" i="30" s="1"/>
  <c r="Q5" i="30"/>
  <c r="Q9" i="30" s="1"/>
  <c r="P5" i="30"/>
  <c r="P9" i="30" s="1"/>
  <c r="O5" i="30"/>
  <c r="O9" i="30" s="1"/>
  <c r="N5" i="30"/>
  <c r="N9" i="30" s="1"/>
  <c r="M5" i="30"/>
  <c r="M9" i="30" s="1"/>
  <c r="L5" i="30"/>
  <c r="L9" i="30" s="1"/>
  <c r="K5" i="30"/>
  <c r="K9" i="30" s="1"/>
  <c r="J5" i="30"/>
  <c r="J9" i="30" s="1"/>
  <c r="I5" i="30"/>
  <c r="I9" i="30" s="1"/>
  <c r="H5" i="30"/>
  <c r="H9" i="30" s="1"/>
  <c r="E5" i="30"/>
  <c r="E9" i="30" s="1"/>
  <c r="D5" i="30"/>
  <c r="D9" i="30" s="1"/>
  <c r="C5" i="30"/>
  <c r="C9" i="30" s="1"/>
  <c r="Z4" i="30"/>
  <c r="Y4" i="30"/>
  <c r="X4" i="30"/>
  <c r="W4" i="30"/>
  <c r="V4" i="30"/>
  <c r="U4" i="30"/>
  <c r="T4" i="30"/>
  <c r="P4" i="30"/>
  <c r="O4" i="30"/>
  <c r="N4" i="30"/>
  <c r="M4" i="30"/>
  <c r="L4" i="30"/>
  <c r="K4" i="30"/>
  <c r="J4" i="30"/>
  <c r="I4" i="30"/>
  <c r="H4" i="30"/>
  <c r="E4" i="30"/>
  <c r="D4" i="30"/>
  <c r="C4" i="30"/>
  <c r="Z3" i="30"/>
  <c r="Y3" i="30"/>
  <c r="X3" i="30"/>
  <c r="X8" i="30" s="1"/>
  <c r="W3" i="30"/>
  <c r="W8" i="30" s="1"/>
  <c r="V3" i="30"/>
  <c r="U3" i="30"/>
  <c r="P3" i="30"/>
  <c r="O3" i="30"/>
  <c r="N3" i="30"/>
  <c r="N8" i="30" s="1"/>
  <c r="M3" i="30"/>
  <c r="L3" i="30"/>
  <c r="L8" i="30" s="1"/>
  <c r="K3" i="30"/>
  <c r="J3" i="30"/>
  <c r="I3" i="30"/>
  <c r="I8" i="30" s="1"/>
  <c r="H3" i="30"/>
  <c r="E3" i="30"/>
  <c r="D3" i="30"/>
  <c r="D8" i="30" s="1"/>
  <c r="C3" i="30"/>
  <c r="C8" i="30" s="1"/>
  <c r="V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2" i="30" l="1"/>
  <c r="BJ72" i="32"/>
  <c r="J8" i="30"/>
  <c r="C2" i="30"/>
  <c r="K2" i="30"/>
  <c r="K8" i="30"/>
  <c r="K201" i="30" s="1"/>
  <c r="K212" i="30" s="1"/>
  <c r="L2" i="30"/>
  <c r="H201" i="30"/>
  <c r="H212" i="30" s="1"/>
  <c r="H8" i="30"/>
  <c r="T2" i="30"/>
  <c r="V8" i="30"/>
  <c r="V201" i="30" s="1"/>
  <c r="V212" i="30" s="1"/>
  <c r="O8" i="30"/>
  <c r="O201" i="30" s="1"/>
  <c r="O212" i="30" s="1"/>
  <c r="P8" i="30"/>
  <c r="P201" i="30" s="1"/>
  <c r="P212" i="30" s="1"/>
  <c r="U2" i="30"/>
  <c r="U8" i="30"/>
  <c r="U201" i="30" s="1"/>
  <c r="U212" i="30" s="1"/>
  <c r="T8" i="30"/>
  <c r="T201" i="30" s="1"/>
  <c r="T212" i="30" s="1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Z164" i="29"/>
  <c r="AC164" i="29" s="1"/>
  <c r="Y164" i="29"/>
  <c r="AB164" i="29" s="1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AB170" i="32" s="1"/>
  <c r="X170" i="32"/>
  <c r="AA170" i="32" s="1"/>
  <c r="AD170" i="32" s="1"/>
  <c r="T169" i="29"/>
  <c r="Z169" i="29"/>
  <c r="AC169" i="29" s="1"/>
  <c r="X169" i="29"/>
  <c r="AA169" i="29" s="1"/>
  <c r="Y169" i="29"/>
  <c r="AB169" i="29" s="1"/>
  <c r="X169" i="32"/>
  <c r="AA169" i="32" s="1"/>
  <c r="Y169" i="32"/>
  <c r="T169" i="32"/>
  <c r="Z169" i="32"/>
  <c r="AC169" i="32" s="1"/>
  <c r="BZ29" i="31"/>
  <c r="BZ93" i="31" s="1"/>
  <c r="CL89" i="33"/>
  <c r="T257" i="32"/>
  <c r="U257" i="32" s="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8" i="30" s="1"/>
  <c r="F5" i="30"/>
  <c r="F9" i="30" s="1"/>
  <c r="G3" i="30"/>
  <c r="G5" i="30"/>
  <c r="G9" i="30" s="1"/>
  <c r="G4" i="30"/>
  <c r="G2" i="30" s="1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C186" i="33"/>
  <c r="D186" i="33" s="1"/>
  <c r="AJ217" i="33" s="1"/>
  <c r="AN217" i="33" s="1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A164" i="29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U199" i="32"/>
  <c r="J166" i="32"/>
  <c r="C234" i="33" s="1"/>
  <c r="D234" i="33" s="1"/>
  <c r="AJ199" i="32"/>
  <c r="AA27" i="29"/>
  <c r="J201" i="30"/>
  <c r="J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2" i="30" s="1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N201" i="30"/>
  <c r="N212" i="30" s="1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21" i="30"/>
  <c r="I7" i="30" s="1"/>
  <c r="I12" i="30" s="1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C10" i="30" s="1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O17" i="30" s="1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B16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V166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F201" i="30" l="1"/>
  <c r="F212" i="30" s="1"/>
  <c r="O15" i="30"/>
  <c r="S8" i="30"/>
  <c r="F2" i="30"/>
  <c r="Q8" i="30"/>
  <c r="R8" i="30"/>
  <c r="R201" i="30" s="1"/>
  <c r="R212" i="30" s="1"/>
  <c r="AX61" i="31"/>
  <c r="AX107" i="31" s="1"/>
  <c r="AX117" i="31" s="1"/>
  <c r="I5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B84" i="31" s="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Q201" i="30"/>
  <c r="Q212" i="30" s="1"/>
  <c r="S2" i="30"/>
  <c r="S201" i="30"/>
  <c r="S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E18" i="30" l="1"/>
  <c r="AT231" i="33"/>
  <c r="AW231" i="33" s="1"/>
  <c r="BD84" i="3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S85" i="31" s="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V18" i="30"/>
  <c r="DS85" i="31"/>
  <c r="O60" i="30"/>
  <c r="BJ85" i="31"/>
  <c r="C18" i="30"/>
  <c r="AZ85" i="31"/>
  <c r="CG85" i="31"/>
  <c r="N55" i="30"/>
  <c r="N53" i="30"/>
  <c r="I53" i="30"/>
  <c r="W60" i="30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D64" i="30"/>
  <c r="Q64" i="30"/>
  <c r="W64" i="30"/>
  <c r="G64" i="30"/>
  <c r="I64" i="30"/>
  <c r="K22" i="30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W13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F11" i="31"/>
  <c r="B81" i="31" l="1"/>
  <c r="F81" i="31" s="1"/>
  <c r="B114" i="31" s="1"/>
  <c r="T245" i="32"/>
  <c r="F75" i="31"/>
  <c r="F76" i="31"/>
  <c r="F77" i="31"/>
  <c r="B129" i="31" s="1"/>
  <c r="F10" i="31"/>
  <c r="C249" i="33" s="1"/>
  <c r="F9" i="31"/>
  <c r="B91" i="31" s="1"/>
  <c r="D91" i="31" s="1"/>
  <c r="X13" i="31"/>
  <c r="F13" i="31" s="1"/>
  <c r="C270" i="33"/>
  <c r="C289" i="33" s="1"/>
  <c r="B108" i="31"/>
  <c r="B123" i="31" s="1"/>
  <c r="V265" i="32"/>
  <c r="V264" i="32"/>
  <c r="V263" i="32" s="1"/>
  <c r="J46" i="32" s="1"/>
  <c r="C210" i="33" s="1"/>
  <c r="C250" i="33"/>
  <c r="B93" i="31"/>
  <c r="D93" i="31" s="1"/>
  <c r="C248" i="33" l="1"/>
  <c r="B92" i="31"/>
  <c r="D92" i="31" s="1"/>
  <c r="C278" i="33"/>
  <c r="B113" i="31"/>
  <c r="B125" i="31" s="1"/>
  <c r="C277" i="33"/>
  <c r="C193" i="33"/>
  <c r="D193" i="33" s="1"/>
  <c r="X245" i="32"/>
  <c r="C189" i="33"/>
  <c r="D189" i="33" s="1"/>
  <c r="AK189" i="33" s="1"/>
  <c r="AO189" i="33" s="1"/>
  <c r="AO192" i="33" s="1"/>
  <c r="B94" i="31" l="1"/>
  <c r="X248" i="32"/>
  <c r="J141" i="32"/>
  <c r="C219" i="33" s="1"/>
  <c r="D277" i="33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C82" i="33" s="1"/>
  <c r="D75" i="33" s="1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AB40" i="32" l="1"/>
  <c r="AD40" i="32" s="1"/>
  <c r="AE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D206" i="33" s="1"/>
  <c r="B44" i="32"/>
  <c r="J44" i="32" s="1"/>
  <c r="C208" i="33" s="1"/>
  <c r="D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L209" i="33" l="1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11" i="33" l="1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8" i="33"/>
  <c r="DY147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DR148" i="33"/>
  <c r="DR147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S148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W147" i="33" l="1"/>
  <c r="DW163" i="33" s="1"/>
  <c r="BJ147" i="33"/>
  <c r="BJ163" i="33" s="1"/>
  <c r="BG148" i="33"/>
  <c r="DE148" i="33"/>
  <c r="DE163" i="33" s="1"/>
  <c r="DR163" i="33"/>
  <c r="BL146" i="33"/>
  <c r="BL148" i="33" s="1"/>
  <c r="CG146" i="33"/>
  <c r="CG147" i="33" s="1"/>
  <c r="BG163" i="33"/>
  <c r="BC146" i="33"/>
  <c r="BC148" i="33" s="1"/>
  <c r="DG163" i="33"/>
  <c r="DK148" i="33"/>
  <c r="DK163" i="33" s="1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Q163" i="33" s="1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B83" i="31" l="1"/>
  <c r="C183" i="33"/>
  <c r="T234" i="32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T272" i="32" l="1"/>
  <c r="X272" i="32" s="1"/>
  <c r="J142" i="32" s="1"/>
  <c r="C220" i="33" s="1"/>
  <c r="X234" i="32"/>
  <c r="C185" i="33"/>
  <c r="D185" i="33" s="1"/>
  <c r="D183" i="33" s="1"/>
  <c r="F84" i="31"/>
  <c r="F83" i="3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AK225" i="33"/>
  <c r="AO225" i="33" s="1"/>
  <c r="AO228" i="33" s="1"/>
  <c r="AQ228" i="33" s="1"/>
  <c r="AR228" i="33" s="1"/>
  <c r="AS228" i="33" s="1"/>
  <c r="AT228" i="33" s="1"/>
  <c r="AW228" i="33" s="1"/>
  <c r="D240" i="33" s="1"/>
  <c r="AJ216" i="33"/>
  <c r="AN216" i="33" s="1"/>
  <c r="D220" i="33" s="1"/>
  <c r="B115" i="31"/>
  <c r="B126" i="31" s="1"/>
  <c r="C192" i="33"/>
  <c r="C276" i="33" s="1"/>
  <c r="B167" i="32"/>
  <c r="J167" i="32" s="1"/>
  <c r="X237" i="32"/>
  <c r="C307" i="33"/>
  <c r="D235" i="33"/>
  <c r="D236" i="33" s="1"/>
  <c r="D276" i="33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B128" i="31" s="1"/>
  <c r="B130" i="31" s="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C243" i="33" l="1"/>
  <c r="D243" i="33" s="1"/>
  <c r="Z237" i="32"/>
  <c r="AA237" i="32" s="1"/>
  <c r="C235" i="33"/>
  <c r="C236" i="33" s="1"/>
  <c r="J170" i="32"/>
  <c r="C290" i="33"/>
  <c r="C292" i="33" s="1"/>
  <c r="C293" i="33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C294" i="33" l="1"/>
  <c r="AB237" i="32"/>
  <c r="AC237" i="32" s="1"/>
  <c r="AF237" i="32" s="1"/>
  <c r="B178" i="32" s="1"/>
  <c r="C240" i="33" s="1"/>
  <c r="C244" i="33"/>
  <c r="D244" i="33" s="1"/>
  <c r="D294" i="33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1" i="33" s="1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154" i="33" l="1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<sst xmlns="http://schemas.openxmlformats.org/spreadsheetml/2006/main" count="3044" uniqueCount="1475">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</sst>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7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29.741953663118345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115.20367471148013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0.44728635379061377</v>
      </c>
      <c r="J5" s="142">
        <f>CdTrp1!E215+CdTrp2!E215+CdTrp3!E215+CdTrp4!E215</f>
        <v>2.0876563364620941</v>
      </c>
      <c r="K5" s="142">
        <f>CdTrp1!F215+CdTrp2!F215+CdTrp3!F215+CdTrp4!F215</f>
        <v>2.3071189873646221</v>
      </c>
      <c r="L5" s="142">
        <f>CdTrp1!G215+CdTrp2!G215+CdTrp3!G215+CdTrp4!G215</f>
        <v>2.3128513797833938</v>
      </c>
      <c r="M5" s="142">
        <f>CdTrp1!H215+CdTrp2!H215+CdTrp3!H215+CdTrp4!H215</f>
        <v>2.2437907472924188</v>
      </c>
      <c r="N5" s="142">
        <f>CdTrp1!I215+CdTrp2!I215+CdTrp3!I215+CdTrp4!I215</f>
        <v>3.7520582490974732</v>
      </c>
      <c r="O5" s="142">
        <f>CdTrp1!J215+CdTrp2!J215+CdTrp3!J215+CdTrp4!J215</f>
        <v>6.2239158844765354</v>
      </c>
      <c r="P5" s="142">
        <f>CdTrp1!K215+CdTrp2!K215+CdTrp3!K215+CdTrp4!K215</f>
        <v>7.0950429227436835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80.848928031768963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115.3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0.44728635379061377</v>
      </c>
      <c r="J8" s="142">
        <f t="shared" si="0"/>
        <v>2.0876563364620941</v>
      </c>
      <c r="K8" s="142">
        <f t="shared" si="0"/>
        <v>2.3071189873646221</v>
      </c>
      <c r="L8" s="142">
        <f t="shared" si="0"/>
        <v>2.3128513797833938</v>
      </c>
      <c r="M8" s="142">
        <f t="shared" si="0"/>
        <v>2.2437907472924188</v>
      </c>
      <c r="N8" s="142">
        <f t="shared" si="0"/>
        <v>3.7520582490974732</v>
      </c>
      <c r="O8" s="142">
        <f t="shared" si="0"/>
        <v>6.2239158844765354</v>
      </c>
      <c r="P8" s="142">
        <f t="shared" si="0"/>
        <v>7.0950429227436835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46.263185909025275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A5" zoomScale="90" zoomScaleNormal="90" workbookViewId="0">
      <selection activeCell="N20" sqref="N2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0.44728635379061377</v>
      </c>
      <c r="AV5" s="13">
        <f>'Conduite Trp'!J8</f>
        <v>2.0876563364620941</v>
      </c>
      <c r="AW5" s="13">
        <f>'Conduite Trp'!K8</f>
        <v>2.3071189873646221</v>
      </c>
      <c r="AX5" s="13">
        <f>'Conduite Trp'!L8</f>
        <v>2.3128513797833938</v>
      </c>
      <c r="AY5" s="13">
        <f>'Conduite Trp'!M8</f>
        <v>2.2437907472924188</v>
      </c>
      <c r="AZ5" s="13">
        <f>'Conduite Trp'!N8</f>
        <v>3.7520582490974732</v>
      </c>
      <c r="BA5" s="13">
        <f>'Conduite Trp'!O8</f>
        <v>6.2239158844765354</v>
      </c>
      <c r="BB5" s="13">
        <f>'Conduite Trp'!P8</f>
        <v>7.0950429227436835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5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0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2.2437907472924188</v>
      </c>
      <c r="AZ7" s="61">
        <f t="shared" si="7"/>
        <v>3.7520582490974732</v>
      </c>
      <c r="BA7" s="61">
        <f t="shared" si="7"/>
        <v>6.2239158844765354</v>
      </c>
      <c r="BB7" s="61">
        <f t="shared" si="7"/>
        <v>7.0950429227436835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23.698150648375456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29.741953663118345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29.741953663118345</v>
      </c>
      <c r="G9" s="81"/>
      <c r="H9" s="61">
        <f>SUM(L34:L43)</f>
        <v>3.9000000000000004</v>
      </c>
      <c r="I9" s="81"/>
      <c r="J9" s="81"/>
      <c r="K9" s="93">
        <f>H9-F9</f>
        <v>-25.841953663118346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3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0.30000000000000004</v>
      </c>
      <c r="AI10" s="61">
        <f t="shared" si="4"/>
        <v>0.75</v>
      </c>
      <c r="AJ10" s="61">
        <f t="shared" si="5"/>
        <v>0</v>
      </c>
      <c r="AK10" s="140"/>
      <c r="AL10" s="61">
        <f t="shared" si="6"/>
        <v>10.5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0.44728635379061377</v>
      </c>
      <c r="AV10" s="61">
        <f t="shared" si="11"/>
        <v>2.0876563364620941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2.5349426902527079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2.3071189873646221</v>
      </c>
      <c r="AX11" s="61">
        <f t="shared" si="12"/>
        <v>2.3128513797833938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4.6199703671480155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0.44728635379061377</v>
      </c>
      <c r="AV15" s="13">
        <f>'Conduite Trp'!J5</f>
        <v>2.0876563364620941</v>
      </c>
      <c r="AW15" s="13">
        <f>'Conduite Trp'!K5</f>
        <v>2.3071189873646221</v>
      </c>
      <c r="AX15" s="13">
        <f>'Conduite Trp'!L5</f>
        <v>2.3128513797833938</v>
      </c>
      <c r="AY15" s="13">
        <f>'Conduite Trp'!M5</f>
        <v>2.2437907472924188</v>
      </c>
      <c r="AZ15" s="13">
        <f>'Conduite Trp'!N5</f>
        <v>3.7520582490974732</v>
      </c>
      <c r="BA15" s="13">
        <f>'Conduite Trp'!O5</f>
        <v>6.2239158844765354</v>
      </c>
      <c r="BB15" s="13">
        <f>'Conduite Trp'!P5</f>
        <v>7.0950429227436835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2.2437907472924188</v>
      </c>
      <c r="AZ19" s="61">
        <f t="shared" si="15"/>
        <v>3.7520582490974732</v>
      </c>
      <c r="BA19" s="61">
        <f t="shared" si="15"/>
        <v>6.2239158844765354</v>
      </c>
      <c r="BB19" s="61">
        <f t="shared" si="15"/>
        <v>7.0950429227436835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23.698150648375456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0.44728635379061377</v>
      </c>
      <c r="AV22" s="61">
        <f t="shared" si="19"/>
        <v>2.0876563364620941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2.5349426902527079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2.3071189873646221</v>
      </c>
      <c r="AX23" s="61">
        <f t="shared" si="20"/>
        <v>2.3128513797833938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4.6199703671480155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24.5</v>
      </c>
      <c r="E24" s="61">
        <f t="shared" si="21"/>
        <v>2.25</v>
      </c>
      <c r="F24" s="61">
        <f t="shared" si="21"/>
        <v>17</v>
      </c>
      <c r="G24" s="61">
        <f t="shared" si="21"/>
        <v>2.0499999999999998</v>
      </c>
      <c r="H24" s="61">
        <f t="shared" si="21"/>
        <v>10.75</v>
      </c>
      <c r="I24" s="61">
        <f t="shared" si="21"/>
        <v>0</v>
      </c>
      <c r="J24" s="63"/>
      <c r="K24" s="61">
        <f>AL27+AL49+AL71</f>
        <v>78.5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23.698150648375456</v>
      </c>
      <c r="E25" s="61">
        <f>BR8</f>
        <v>1.4377061371841158</v>
      </c>
      <c r="F25" s="61">
        <f>BR9</f>
        <v>13.972416066064982</v>
      </c>
      <c r="G25" s="61">
        <f>BR10</f>
        <v>2.5349426902527079</v>
      </c>
      <c r="H25" s="61">
        <f>BR11</f>
        <v>4.6199703671480155</v>
      </c>
      <c r="I25" s="61">
        <f>BR12</f>
        <v>0</v>
      </c>
      <c r="J25" s="63"/>
      <c r="K25" s="76">
        <f>'Conduite Trp'!C7</f>
        <v>115.3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0.80184935162454352</v>
      </c>
      <c r="E27" s="93">
        <f t="shared" si="23"/>
        <v>0.81229386281588423</v>
      </c>
      <c r="F27" s="93">
        <f t="shared" si="23"/>
        <v>3.0275839339350181</v>
      </c>
      <c r="G27" s="93">
        <f t="shared" si="23"/>
        <v>-0.48494269025270809</v>
      </c>
      <c r="H27" s="93">
        <f t="shared" si="23"/>
        <v>6.1300296328519845</v>
      </c>
      <c r="I27" s="93">
        <f t="shared" si="23"/>
        <v>0</v>
      </c>
      <c r="J27" s="63"/>
      <c r="K27" s="93">
        <f>K24-K25</f>
        <v>-36.799999999999997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24.5</v>
      </c>
      <c r="AF27" s="75">
        <f t="shared" ref="AF27:AJ27" si="24">SUM(AF7:AF26)</f>
        <v>2.25</v>
      </c>
      <c r="AG27" s="75">
        <f t="shared" si="24"/>
        <v>17</v>
      </c>
      <c r="AH27" s="75">
        <f t="shared" si="24"/>
        <v>2.0499999999999998</v>
      </c>
      <c r="AI27" s="75">
        <f t="shared" si="24"/>
        <v>10.75</v>
      </c>
      <c r="AJ27" s="75">
        <f t="shared" si="24"/>
        <v>0</v>
      </c>
      <c r="AK27"/>
      <c r="AL27" s="75">
        <f>SUM(AL7:AL26)</f>
        <v>54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24.5</v>
      </c>
      <c r="E72" s="61">
        <f t="shared" ref="E72:H72" si="69">AF27</f>
        <v>2.25</v>
      </c>
      <c r="F72" s="61">
        <f t="shared" si="69"/>
        <v>17</v>
      </c>
      <c r="G72" s="61">
        <f t="shared" si="69"/>
        <v>2.0499999999999998</v>
      </c>
      <c r="H72" s="61">
        <f t="shared" si="69"/>
        <v>10.75</v>
      </c>
      <c r="I72" s="61">
        <f t="shared" ref="I72" si="70">AJ75+AJ97+AJ119</f>
        <v>0</v>
      </c>
      <c r="J72" s="63"/>
      <c r="K72" s="61">
        <f>+K24</f>
        <v>78.5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23.698150648375456</v>
      </c>
      <c r="E73" s="61">
        <f>BR20</f>
        <v>1.4377061371841158</v>
      </c>
      <c r="F73" s="61">
        <f>BR21</f>
        <v>13.972416066064982</v>
      </c>
      <c r="G73" s="61">
        <f>BR22</f>
        <v>2.5349426902527079</v>
      </c>
      <c r="H73" s="61">
        <f>BR23</f>
        <v>4.6199703671480155</v>
      </c>
      <c r="I73" s="61">
        <f>BR60</f>
        <v>0</v>
      </c>
      <c r="J73" s="63"/>
      <c r="K73" s="76">
        <f>+K25</f>
        <v>115.3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0.80184935162454352</v>
      </c>
      <c r="E75" s="93">
        <f t="shared" ref="E75:I75" si="71">E72-E73</f>
        <v>0.81229386281588423</v>
      </c>
      <c r="F75" s="93">
        <f t="shared" si="71"/>
        <v>3.0275839339350181</v>
      </c>
      <c r="G75" s="93">
        <f t="shared" si="71"/>
        <v>-0.48494269025270809</v>
      </c>
      <c r="H75" s="93">
        <f t="shared" si="71"/>
        <v>6.1300296328519845</v>
      </c>
      <c r="I75" s="93">
        <f t="shared" si="71"/>
        <v>0</v>
      </c>
      <c r="J75" s="63"/>
      <c r="K75" s="93">
        <f>+K27</f>
        <v>-36.799999999999997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50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7.5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3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1</v>
      </c>
      <c r="P58" t="s">
        <v>581</v>
      </c>
    </row>
    <row r="59" spans="10:132" x14ac:dyDescent="0.25">
      <c r="J59" s="14" t="s">
        <v>1473</v>
      </c>
      <c r="K59" s="1">
        <v>1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2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2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>
        <v>1</v>
      </c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>
        <v>1</v>
      </c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5</v>
      </c>
      <c r="T164" s="168">
        <f>VLOOKUP($R164,[1]MEP!$A$4:$M$300,13)</f>
        <v>2</v>
      </c>
      <c r="U164" s="168">
        <f>IF($T164&gt;0,$S164,0)</f>
        <v>5</v>
      </c>
      <c r="V164" s="168">
        <f>IF($T164&gt;1,$S164,0)</f>
        <v>5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5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5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3</v>
      </c>
      <c r="T167" s="168">
        <f>VLOOKUP(R167,[1]MEP!$A$4:$M$300,13)</f>
        <v>1</v>
      </c>
      <c r="U167" s="168">
        <f t="shared" si="10"/>
        <v>3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3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3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7.5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8</v>
      </c>
      <c r="AJ228" s="62">
        <f t="shared" si="24"/>
        <v>7.5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R83" sqref="R8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1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1</v>
      </c>
      <c r="F3" s="172">
        <f t="shared" si="1"/>
        <v>2</v>
      </c>
      <c r="G3" s="172">
        <f t="shared" si="1"/>
        <v>2</v>
      </c>
      <c r="H3" s="172">
        <f t="shared" si="1"/>
        <v>2</v>
      </c>
      <c r="I3" s="172">
        <f t="shared" si="1"/>
        <v>2</v>
      </c>
      <c r="J3" s="172">
        <f t="shared" si="1"/>
        <v>2</v>
      </c>
      <c r="K3" s="172">
        <f t="shared" si="1"/>
        <v>2</v>
      </c>
      <c r="L3" s="172">
        <f t="shared" si="1"/>
        <v>2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>COUNTIF(T81:T90,1)</f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6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1</v>
      </c>
      <c r="O7" s="172">
        <f t="shared" si="12"/>
        <v>1</v>
      </c>
      <c r="P7" s="172">
        <f t="shared" si="12"/>
        <v>1</v>
      </c>
      <c r="Q7" s="172">
        <f t="shared" si="12"/>
        <v>1</v>
      </c>
      <c r="R7" s="172">
        <f t="shared" si="12"/>
        <v>1</v>
      </c>
      <c r="S7" s="172">
        <f t="shared" si="12"/>
        <v>1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2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6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2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4</v>
      </c>
      <c r="O12" s="172">
        <f>O7*[1]Protect!$B$15</f>
        <v>4</v>
      </c>
      <c r="P12" s="172">
        <f>P7*[1]Protect!$B$15</f>
        <v>4</v>
      </c>
      <c r="Q12" s="172">
        <f>Q7*[1]Protect!$B$15</f>
        <v>4</v>
      </c>
      <c r="R12" s="172">
        <f>R7*[1]Protect!$B$15</f>
        <v>4</v>
      </c>
      <c r="S12" s="172">
        <f>S7*[1]Protect!$B$15</f>
        <v>4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2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6</v>
      </c>
      <c r="S13" s="172">
        <f t="shared" si="14"/>
        <v>6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3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1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4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1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0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1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0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1</v>
      </c>
      <c r="O181" s="168">
        <f>IF(Troupeau!$B$3="OL",Protection!O19+O21,0)</f>
        <v>1</v>
      </c>
      <c r="P181" s="168">
        <f>IF(Troupeau!$B$3="OL",Protection!P19+P21,0)</f>
        <v>1</v>
      </c>
      <c r="Q181" s="168">
        <f>IF(Troupeau!$B$3="OL",Protection!Q19+Q21,0)</f>
        <v>1</v>
      </c>
      <c r="R181" s="168">
        <f>IF(Troupeau!$B$3="OL",Protection!R19+R21,0)</f>
        <v>1</v>
      </c>
      <c r="S181" s="168">
        <f>IF(Troupeau!$B$3="OL",Protection!S19+S21,0)</f>
        <v>1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1</v>
      </c>
      <c r="O196" s="168">
        <f t="shared" si="49"/>
        <v>1</v>
      </c>
      <c r="P196" s="168">
        <f t="shared" si="49"/>
        <v>1</v>
      </c>
      <c r="Q196" s="168">
        <f t="shared" si="49"/>
        <v>1</v>
      </c>
      <c r="R196" s="168">
        <f t="shared" si="49"/>
        <v>1</v>
      </c>
      <c r="S196" s="168">
        <f t="shared" si="49"/>
        <v>1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2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4</v>
      </c>
      <c r="O202" s="168">
        <f>IF(Troupeau!$B$3="OL",O10+O12,0)</f>
        <v>4</v>
      </c>
      <c r="P202" s="168">
        <f>IF(Troupeau!$B$3="OL",P10+P12,0)</f>
        <v>4</v>
      </c>
      <c r="Q202" s="168">
        <f>IF(Troupeau!$B$3="OL",Q10+Q12,0)</f>
        <v>4</v>
      </c>
      <c r="R202" s="168">
        <f>IF(Troupeau!$B$3="OL",R10+R12,0)</f>
        <v>4</v>
      </c>
      <c r="S202" s="168">
        <f>IF(Troupeau!$B$3="OL",S10+S12,0)</f>
        <v>4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2</v>
      </c>
      <c r="F203" s="168">
        <f t="shared" si="50"/>
        <v>4</v>
      </c>
      <c r="G203" s="168">
        <f t="shared" si="50"/>
        <v>4</v>
      </c>
      <c r="H203" s="168">
        <f t="shared" si="50"/>
        <v>4</v>
      </c>
      <c r="I203" s="168">
        <f t="shared" si="50"/>
        <v>4</v>
      </c>
      <c r="J203" s="168">
        <f t="shared" si="50"/>
        <v>4</v>
      </c>
      <c r="K203" s="168">
        <f t="shared" si="50"/>
        <v>4</v>
      </c>
      <c r="L203" s="168">
        <f t="shared" si="50"/>
        <v>4</v>
      </c>
      <c r="M203" s="168">
        <f t="shared" si="50"/>
        <v>4</v>
      </c>
      <c r="N203" s="168">
        <f t="shared" si="50"/>
        <v>4</v>
      </c>
      <c r="O203" s="168">
        <f t="shared" si="50"/>
        <v>4</v>
      </c>
      <c r="P203" s="168">
        <f t="shared" si="50"/>
        <v>4</v>
      </c>
      <c r="Q203" s="168">
        <f t="shared" si="50"/>
        <v>4</v>
      </c>
      <c r="R203" s="168">
        <f t="shared" si="50"/>
        <v>6</v>
      </c>
      <c r="S203" s="168">
        <f t="shared" si="50"/>
        <v>6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2</v>
      </c>
      <c r="F212" s="168">
        <f t="shared" si="51"/>
        <v>4</v>
      </c>
      <c r="G212" s="168">
        <f t="shared" si="51"/>
        <v>4</v>
      </c>
      <c r="H212" s="168">
        <f t="shared" si="51"/>
        <v>4</v>
      </c>
      <c r="I212" s="168">
        <f t="shared" si="51"/>
        <v>4</v>
      </c>
      <c r="J212" s="168">
        <f t="shared" si="51"/>
        <v>4</v>
      </c>
      <c r="K212" s="168">
        <f t="shared" si="51"/>
        <v>4</v>
      </c>
      <c r="L212" s="168">
        <f t="shared" si="51"/>
        <v>4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4</v>
      </c>
      <c r="O213" s="168">
        <f t="shared" si="51"/>
        <v>4</v>
      </c>
      <c r="P213" s="168">
        <f t="shared" si="51"/>
        <v>4</v>
      </c>
      <c r="Q213" s="168">
        <f t="shared" si="51"/>
        <v>4</v>
      </c>
      <c r="R213" s="168">
        <f t="shared" si="51"/>
        <v>4</v>
      </c>
      <c r="S213" s="168">
        <f t="shared" si="51"/>
        <v>4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2</v>
      </c>
      <c r="F214" s="168">
        <f t="shared" si="52"/>
        <v>4</v>
      </c>
      <c r="G214" s="168">
        <f t="shared" si="52"/>
        <v>4</v>
      </c>
      <c r="H214" s="168">
        <f t="shared" si="52"/>
        <v>4</v>
      </c>
      <c r="I214" s="168">
        <f t="shared" si="52"/>
        <v>4</v>
      </c>
      <c r="J214" s="168">
        <f t="shared" si="52"/>
        <v>4</v>
      </c>
      <c r="K214" s="168">
        <f t="shared" si="52"/>
        <v>4</v>
      </c>
      <c r="L214" s="168">
        <f t="shared" si="52"/>
        <v>4</v>
      </c>
      <c r="M214" s="168">
        <f t="shared" si="52"/>
        <v>4</v>
      </c>
      <c r="N214" s="168">
        <f t="shared" si="52"/>
        <v>4</v>
      </c>
      <c r="O214" s="168">
        <f t="shared" si="52"/>
        <v>4</v>
      </c>
      <c r="P214" s="168">
        <f t="shared" si="52"/>
        <v>4</v>
      </c>
      <c r="Q214" s="168">
        <f t="shared" si="52"/>
        <v>4</v>
      </c>
      <c r="R214" s="168">
        <f t="shared" si="52"/>
        <v>6</v>
      </c>
      <c r="S214" s="168">
        <f t="shared" si="52"/>
        <v>6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406</v>
      </c>
      <c r="G5" s="168">
        <f>AV117</f>
        <v>0</v>
      </c>
      <c r="H5" s="168">
        <f t="shared" ref="H5:AD5" si="0">AW117</f>
        <v>0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28</v>
      </c>
      <c r="N5" s="168">
        <f t="shared" si="0"/>
        <v>28</v>
      </c>
      <c r="O5" s="168">
        <f t="shared" si="0"/>
        <v>28</v>
      </c>
      <c r="P5" s="168">
        <f t="shared" si="0"/>
        <v>28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854.59487364620941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49.93072202166065</v>
      </c>
      <c r="M9" s="30">
        <f t="shared" si="4"/>
        <v>49.899891696750906</v>
      </c>
      <c r="N9" s="30">
        <f t="shared" si="4"/>
        <v>49.869061371841156</v>
      </c>
      <c r="O9" s="30">
        <f t="shared" si="4"/>
        <v>49.838231046931412</v>
      </c>
      <c r="P9" s="30">
        <f t="shared" si="4"/>
        <v>49.807400722021661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1260.594873646209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64.516498194945854</v>
      </c>
      <c r="J13" s="30">
        <f t="shared" si="8"/>
        <v>78.023212996389901</v>
      </c>
      <c r="K13" s="30">
        <f t="shared" si="8"/>
        <v>77.9615523465704</v>
      </c>
      <c r="L13" s="30">
        <f t="shared" si="8"/>
        <v>77.930722021660642</v>
      </c>
      <c r="M13" s="30">
        <f t="shared" si="8"/>
        <v>77.899891696750899</v>
      </c>
      <c r="N13" s="30">
        <f t="shared" si="8"/>
        <v>77.869061371841156</v>
      </c>
      <c r="O13" s="30">
        <f t="shared" si="8"/>
        <v>77.838231046931412</v>
      </c>
      <c r="P13" s="30">
        <f t="shared" si="8"/>
        <v>77.807400722021669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3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224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7.5</v>
      </c>
      <c r="C56" s="183">
        <f>IF(B56&gt;[1]Trav!E121,[1]Trav!C121,[1]Trav!B121)</f>
        <v>7.2</v>
      </c>
      <c r="D56"/>
      <c r="E56" s="167"/>
      <c r="F56" s="168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145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23</v>
      </c>
      <c r="AY73" s="168">
        <f t="shared" si="36"/>
        <v>23</v>
      </c>
      <c r="AZ73" s="168">
        <f t="shared" si="36"/>
        <v>23</v>
      </c>
      <c r="BA73" s="168">
        <f t="shared" si="36"/>
        <v>23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23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70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236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12</v>
      </c>
      <c r="W77" s="46">
        <f t="shared" si="43"/>
        <v>12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0.86</v>
      </c>
      <c r="C81" s="183">
        <f>[1]Protect!$B$10</f>
        <v>4</v>
      </c>
      <c r="D81" s="167"/>
      <c r="E81" s="167"/>
      <c r="F81" s="168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3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1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4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0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1</v>
      </c>
      <c r="C86" s="171"/>
      <c r="D86" s="171"/>
      <c r="E86" s="171"/>
      <c r="F86" s="168">
        <f>B86*[1]Eco!$B$108*[1]Eco!$B$109</f>
        <v>240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1260.5948736462094</v>
      </c>
      <c r="C91" s="5"/>
      <c r="D91" s="197">
        <f>B91/Troupeau!$B$17</f>
        <v>5.1663724329762681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1260.5948736462094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224</v>
      </c>
      <c r="C95" s="5"/>
      <c r="D95" s="197">
        <f>B95/Troupeau!$B$17</f>
        <v>0.91803278688524592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224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49.93072202166065</v>
      </c>
      <c r="BB102" s="62">
        <f t="shared" si="77"/>
        <v>49.899891696750906</v>
      </c>
      <c r="BC102" s="62">
        <f t="shared" si="77"/>
        <v>49.869061371841156</v>
      </c>
      <c r="BD102" s="62">
        <f t="shared" si="77"/>
        <v>49.838231046931412</v>
      </c>
      <c r="BE102" s="62">
        <f t="shared" si="77"/>
        <v>49.807400722021661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217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145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145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21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28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240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28</v>
      </c>
      <c r="BC117" s="168">
        <f t="shared" si="83"/>
        <v>28</v>
      </c>
      <c r="BD117" s="168">
        <f t="shared" si="83"/>
        <v>28</v>
      </c>
      <c r="BE117" s="168">
        <f t="shared" si="83"/>
        <v>28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3830.4048736462091</v>
      </c>
      <c r="D118" s="197">
        <f>B118/Troupeau!$B$17</f>
        <v>15.698380629697578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3830.4048736462091</v>
      </c>
    </row>
    <row r="123" spans="1:132" x14ac:dyDescent="0.25">
      <c r="A123" s="2" t="s">
        <v>891</v>
      </c>
      <c r="B123" s="30">
        <f>B108</f>
        <v>217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166</v>
      </c>
    </row>
    <row r="126" spans="1:132" x14ac:dyDescent="0.25">
      <c r="A126" s="2" t="s">
        <v>907</v>
      </c>
      <c r="B126" s="30">
        <f>B114+B115+B116</f>
        <v>271.8</v>
      </c>
    </row>
    <row r="128" spans="1:132" x14ac:dyDescent="0.25">
      <c r="A128" s="2" t="s">
        <v>908</v>
      </c>
      <c r="B128" s="196">
        <f>SUM(B122:B126)</f>
        <v>5085.2048736462093</v>
      </c>
    </row>
    <row r="129" spans="1:2" x14ac:dyDescent="0.25">
      <c r="A129" s="2" t="s">
        <v>909</v>
      </c>
      <c r="B129" s="30">
        <f>IF(Scénario!K129=1,Travail!F77+Travail!F86,F86)</f>
        <v>476</v>
      </c>
    </row>
    <row r="130" spans="1:2" x14ac:dyDescent="0.25">
      <c r="A130" s="2" t="s">
        <v>910</v>
      </c>
      <c r="B130" s="196">
        <f>ROUND((B128-B129)/(Scénario!K4+Scénario!K6),0)</f>
        <v>2305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7015.2000000000007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116450.70399999998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0</v>
      </c>
      <c r="AZ50" s="216">
        <f>IF(CdTrp1!F78=1,1,IF(CdTrp1!F78=2,2,IF(CdTrp1!F78=3,2,0)))</f>
        <v>0</v>
      </c>
      <c r="BA50" s="216">
        <f>IF(CdTrp1!G78=1,1,IF(CdTrp1!G78=2,2,IF(CdTrp1!G78=3,2,0)))</f>
        <v>0</v>
      </c>
      <c r="BB50" s="216">
        <f>IF(CdTrp1!H78=1,1,IF(CdTrp1!H78=2,2,IF(CdTrp1!H78=3,2,0)))</f>
        <v>0</v>
      </c>
      <c r="BC50" s="216">
        <f>IF(CdTrp1!I78=1,1,IF(CdTrp1!I78=2,2,IF(CdTrp1!I78=3,2,0)))</f>
        <v>0</v>
      </c>
      <c r="BD50" s="216">
        <f>IF(CdTrp1!J78=1,1,IF(CdTrp1!J78=2,2,IF(CdTrp1!J78=3,2,0)))</f>
        <v>0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36.799999999999997</v>
      </c>
      <c r="C118" s="183">
        <f>IF(Scénario!$K$12="BV",[1]Eco!$B$78,IF(Scénario!$K$12="BL",[1]Eco!$B$77,[1]Eco!$B$76))</f>
        <v>223</v>
      </c>
      <c r="J118" s="168">
        <f>B118*C118</f>
        <v>8206.4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25.841953663118346</v>
      </c>
      <c r="C119" s="183">
        <f>[1]Eco!$B$79</f>
        <v>80</v>
      </c>
      <c r="J119" s="168">
        <f>B119*C119</f>
        <v>2067.3562930494677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8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484.08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7.5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508.125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5426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369.96666666666658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37080.827959716138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7.5</v>
      </c>
      <c r="X154" t="s">
        <v>50</v>
      </c>
      <c r="Y154" s="168">
        <f>W154-Scénario!K29</f>
        <v>1</v>
      </c>
      <c r="Z154" s="168">
        <f>Y154</f>
        <v>1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1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30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5</v>
      </c>
      <c r="T164" s="168">
        <f>VLOOKUP($R164,[1]MEP!$A$4:$M$300,13)</f>
        <v>2</v>
      </c>
      <c r="U164" s="168">
        <f>IF($T164&gt;0,$S164,0)</f>
        <v>5</v>
      </c>
      <c r="V164" s="168">
        <f>IF($T164&gt;1,$S164,0)</f>
        <v>5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5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5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240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2551.2000000000003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246.79999999999998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2623.4839999999999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3</v>
      </c>
      <c r="T167" s="168">
        <f>VLOOKUP(R167,[1]MEP!$A$4:$M$300,13)</f>
        <v>1</v>
      </c>
      <c r="U167" s="168">
        <f t="shared" si="72"/>
        <v>3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3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3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42888.383999999991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36481.492040283862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18241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664.12722012500217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29817.364820158858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14909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7.5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8</v>
      </c>
      <c r="AJ228" s="62">
        <f t="shared" si="86"/>
        <v>7.5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0.33333333333333331</v>
      </c>
      <c r="W235" s="168">
        <f>[1]Protect!$B$83</f>
        <v>2000</v>
      </c>
      <c r="X235" s="168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20886.666666666668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5386.6666666666679</v>
      </c>
      <c r="AB237" s="30">
        <f>(Scénario!K127/100)*AA237</f>
        <v>0</v>
      </c>
      <c r="AC237" s="30">
        <f>AA237-AB237</f>
        <v>5386.6666666666679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664.12722012500217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6</v>
      </c>
      <c r="X245" s="168">
        <f>ROUND((([1]Protect!$B$5/[1]Protect!$B$11)+[1]Protect!$B$8)*T245,0)</f>
        <v>5426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1</v>
      </c>
      <c r="W246" s="168">
        <f>[1]Eco!$B$106*[1]Eco!$B$108*[1]Eco!$B$109</f>
        <v>2551.2000000000003</v>
      </c>
      <c r="X246" s="168">
        <f>T246*W246</f>
        <v>2551.2000000000003</v>
      </c>
    </row>
    <row r="247" spans="17:31" x14ac:dyDescent="0.25">
      <c r="S247" s="14" t="s">
        <v>1154</v>
      </c>
      <c r="T247" s="30">
        <f>Travail!F16/8</f>
        <v>28</v>
      </c>
      <c r="W247" s="168">
        <f>[1]Eco!$B$111</f>
        <v>28.3</v>
      </c>
      <c r="X247" s="168">
        <f>T247*W247</f>
        <v>792.4</v>
      </c>
    </row>
    <row r="248" spans="17:31" x14ac:dyDescent="0.25">
      <c r="W248" s="14" t="s">
        <v>1155</v>
      </c>
      <c r="X248" s="168">
        <f>SUM(X245:X247)</f>
        <v>8769.6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8769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732.00000000000011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1</v>
      </c>
      <c r="U258" s="168">
        <f>IF(T258=0,0,[1]Protect!$B78)</f>
        <v>20000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7015.2000000000007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7015.2000000000007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7015.2000000000007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0.66666666666666663</v>
      </c>
      <c r="U274" s="168"/>
      <c r="V274" s="168"/>
      <c r="W274" s="168">
        <f>W271</f>
        <v>100</v>
      </c>
      <c r="X274" s="168">
        <f>T274*W274</f>
        <v>66.666666666666657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Z2_OL_T1_C1s2</v>
      </c>
      <c r="D1" s="252" t="str">
        <f>CONCATENATE(C1,"_corr")</f>
        <v>Z2_OL_T1_C1s2_corr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3</v>
      </c>
      <c r="D25" s="172">
        <f t="shared" si="0"/>
        <v>3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1</v>
      </c>
      <c r="D27" s="172">
        <f t="shared" si="0"/>
        <v>1</v>
      </c>
    </row>
    <row r="28" spans="2:5" x14ac:dyDescent="0.25">
      <c r="B28" s="14" t="s">
        <v>582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2</v>
      </c>
      <c r="D51" s="172">
        <f t="shared" si="0"/>
        <v>2</v>
      </c>
      <c r="E51" s="14"/>
    </row>
    <row r="52" spans="1:132" x14ac:dyDescent="0.25">
      <c r="B52" s="19" t="s">
        <v>603</v>
      </c>
      <c r="C52" s="172">
        <f>Scénario!K84</f>
        <v>2</v>
      </c>
      <c r="D52" s="172">
        <f t="shared" si="0"/>
        <v>2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1</v>
      </c>
      <c r="D54" s="172">
        <f t="shared" si="0"/>
        <v>1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1</v>
      </c>
      <c r="D59" s="172">
        <f t="shared" si="0"/>
        <v>1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7.5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2</v>
      </c>
      <c r="D98" s="168">
        <f>C98</f>
        <v>2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2</v>
      </c>
      <c r="D101" s="168">
        <f t="shared" si="25"/>
        <v>2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19.5</v>
      </c>
      <c r="D106" s="168">
        <f t="shared" si="25"/>
        <v>19.5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19.5</v>
      </c>
      <c r="D109" s="168">
        <f t="shared" si="25"/>
        <v>19.5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14.5</v>
      </c>
      <c r="D110" s="168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80.980984002888164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115.20367471148013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56.55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46.263185909025275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78.5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115.3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10.286814090974723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81.8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-36.799999999999997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36.799999999999997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77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0.33333333333333331</v>
      </c>
      <c r="D187" s="168">
        <f>C187</f>
        <v>0.33333333333333331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6</v>
      </c>
      <c r="D189" s="168">
        <f t="shared" si="101"/>
        <v>6</v>
      </c>
      <c r="AH189" s="15"/>
      <c r="AJ189" s="14" t="s">
        <v>1152</v>
      </c>
      <c r="AK189" s="30">
        <f>D189</f>
        <v>6</v>
      </c>
      <c r="AO189" s="168">
        <f>ROUND((([1]Protect!$B$5/[1]Protect!$B$11)+[1]Protect!$B$8)*AK189,0)</f>
        <v>5426</v>
      </c>
    </row>
    <row r="190" spans="1:132" x14ac:dyDescent="0.25">
      <c r="B190" s="14" t="s">
        <v>1347</v>
      </c>
      <c r="C190" s="168">
        <f>'Calcul éco'!T246*(30)</f>
        <v>30</v>
      </c>
      <c r="D190" s="168">
        <f>C190</f>
        <v>30</v>
      </c>
      <c r="AH190" s="15"/>
      <c r="AJ190" s="14" t="s">
        <v>1153</v>
      </c>
      <c r="AK190" s="30">
        <f>D190/30</f>
        <v>1</v>
      </c>
      <c r="AN190" s="168">
        <f>[1]Eco!$B$106*[1]Eco!$B$108*[1]Eco!$B$109</f>
        <v>2551.2000000000003</v>
      </c>
      <c r="AO190" s="168">
        <f>AK190*AN190</f>
        <v>2551.2000000000003</v>
      </c>
    </row>
    <row r="191" spans="1:132" x14ac:dyDescent="0.25">
      <c r="B191" s="14" t="s">
        <v>1348</v>
      </c>
      <c r="C191" s="193">
        <f>ROUND(SUM(Travail!F69:F74)/8,1)</f>
        <v>18.100000000000001</v>
      </c>
      <c r="D191" s="168">
        <f>C191</f>
        <v>18.100000000000001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28</v>
      </c>
      <c r="AN191" s="168">
        <f>[1]Eco!$B$111</f>
        <v>28.3</v>
      </c>
      <c r="AO191" s="168">
        <f>AK191*AN191</f>
        <v>792.4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8769.6</v>
      </c>
    </row>
    <row r="193" spans="1:43" x14ac:dyDescent="0.25">
      <c r="B193" s="14" t="s">
        <v>1354</v>
      </c>
      <c r="C193" s="168">
        <f>(Travail!F75+Travail!F76+Travail!F81)/8</f>
        <v>14.875</v>
      </c>
      <c r="D193" s="168">
        <f>C193</f>
        <v>14.875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5000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7500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5000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7015</v>
      </c>
      <c r="D210" s="261">
        <f>ROUND(AL207,0)</f>
        <v>5000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42435.199999999997</v>
      </c>
      <c r="D211" s="261">
        <f>ROUND(SUM(D201:D210),0)</f>
        <v>5000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1059.7049999999999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10273.756293049468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0.66666666666666663</v>
      </c>
      <c r="AK218" s="168"/>
      <c r="AL218" s="168"/>
      <c r="AM218" s="168">
        <f>'Calcul éco'!W274</f>
        <v>100</v>
      </c>
      <c r="AN218" s="168">
        <f>AJ218*AM218</f>
        <v>66.666666666666657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5426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369.96666666666658</v>
      </c>
      <c r="D220" s="261">
        <f>SUM(AN215:AN219)</f>
        <v>66.666666666666657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37080</v>
      </c>
      <c r="D221" s="261">
        <f>ROUND(SUM(D216:D220),0)</f>
        <v>67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0.33333333333333331</v>
      </c>
      <c r="AN226" s="168">
        <f>[1]Protect!$B$83</f>
        <v>2000</v>
      </c>
      <c r="AO226" s="168">
        <f t="shared" ref="AO226:AO227" si="108">AK226*AN226</f>
        <v>666.66666666666663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666.66666666666663</v>
      </c>
      <c r="AQ228" s="30">
        <f>IF(Scénario!K84=1,MIN(0.8*AO228,[1]Protect!$B$68),IF(Scénario!K84=2,MIN(0.8*AO228,[1]Protect!$B$67),0))</f>
        <v>533.33333333333337</v>
      </c>
      <c r="AR228" s="30">
        <f>AO228-AQ228</f>
        <v>133.33333333333326</v>
      </c>
      <c r="AS228" s="30">
        <f>(1-Scénario!K127/100)*AR228</f>
        <v>133.33333333333326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30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2551.2000000000003</v>
      </c>
      <c r="D234" s="168">
        <f>C234</f>
        <v>2551.2000000000003</v>
      </c>
    </row>
    <row r="235" spans="1:49" x14ac:dyDescent="0.25">
      <c r="B235" s="14" t="s">
        <v>1398</v>
      </c>
      <c r="C235" s="168">
        <f>'Calcul éco'!J167</f>
        <v>2623.4839999999999</v>
      </c>
      <c r="D235" s="261">
        <f>(D191+D192)*8*[1]Eco!$B$106</f>
        <v>1539.2240000000002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42888</v>
      </c>
      <c r="D236" s="261">
        <f>ROUND(SUM(D222:D235),0)</f>
        <v>19977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36482.199999999997</v>
      </c>
      <c r="D237" s="261">
        <f>D194+D211-D221-D236</f>
        <v>-15044</v>
      </c>
    </row>
    <row r="238" spans="1:49" x14ac:dyDescent="0.25">
      <c r="B238" s="206" t="s">
        <v>1128</v>
      </c>
      <c r="C238" s="168">
        <f>ROUND(C237/Scénario!$K$4,0)</f>
        <v>18241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664.12722012500217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29818</v>
      </c>
      <c r="D241" s="265">
        <f>ROUND(D237-D239-D240,0)</f>
        <v>-21044</v>
      </c>
    </row>
    <row r="242" spans="1:15" x14ac:dyDescent="0.25">
      <c r="B242" s="206" t="s">
        <v>1132</v>
      </c>
      <c r="C242" s="168">
        <f>ROUND(C241/Scénario!K4,0)</f>
        <v>14909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20886.666666666668</v>
      </c>
      <c r="D243" s="168">
        <f>C243</f>
        <v>20886.666666666668</v>
      </c>
    </row>
    <row r="244" spans="1:15" x14ac:dyDescent="0.25">
      <c r="B244" s="206" t="s">
        <v>1403</v>
      </c>
      <c r="C244" s="168">
        <f>'Calcul éco'!AA237+'Calcul éco'!AA240</f>
        <v>5386.6666666666679</v>
      </c>
      <c r="D244" s="168">
        <f>C244</f>
        <v>5386.6666666666679</v>
      </c>
    </row>
    <row r="245" spans="1:15" x14ac:dyDescent="0.25">
      <c r="A245" s="2" t="s">
        <v>1404</v>
      </c>
      <c r="B245" s="14" t="s">
        <v>570</v>
      </c>
      <c r="C245" s="267">
        <f>Travail!F5</f>
        <v>406</v>
      </c>
      <c r="D245" s="168">
        <f>C245</f>
        <v>406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854.59487364620941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224</v>
      </c>
      <c r="D251" s="168">
        <f>C251</f>
        <v>224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54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144.80000000000001</v>
      </c>
      <c r="D275" s="168">
        <f>C275</f>
        <v>144.80000000000001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98</v>
      </c>
      <c r="D277" s="168">
        <f>C277</f>
        <v>98</v>
      </c>
    </row>
    <row r="278" spans="1:4" x14ac:dyDescent="0.25">
      <c r="B278" s="32" t="s">
        <v>1416</v>
      </c>
      <c r="C278" s="267">
        <f>Travail!F76</f>
        <v>21</v>
      </c>
      <c r="D278" s="168">
        <f>C278</f>
        <v>21</v>
      </c>
    </row>
    <row r="279" spans="1:4" x14ac:dyDescent="0.25">
      <c r="B279" s="32" t="s">
        <v>1417</v>
      </c>
      <c r="C279" s="267">
        <f>Travail!F86</f>
        <v>240</v>
      </c>
      <c r="D279" s="267">
        <f>C279</f>
        <v>240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3830</v>
      </c>
      <c r="D281" s="261">
        <f>ROUND(D245+D248+D251+D254+D257+D260+D261,0)</f>
        <v>850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15.7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3830</v>
      </c>
      <c r="D287" s="261">
        <f>SUM(D281:D283)</f>
        <v>850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217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246.60000000000002</v>
      </c>
      <c r="D290" s="268">
        <f>D275+D276+D277</f>
        <v>242.8</v>
      </c>
    </row>
    <row r="291" spans="2:4" x14ac:dyDescent="0.25">
      <c r="B291" s="14" t="s">
        <v>1430</v>
      </c>
      <c r="C291" s="267">
        <f>C278+C279+C280</f>
        <v>261</v>
      </c>
      <c r="D291" s="267">
        <f>D278+D279+D280</f>
        <v>261</v>
      </c>
    </row>
    <row r="292" spans="2:4" x14ac:dyDescent="0.25">
      <c r="B292" s="14" t="s">
        <v>908</v>
      </c>
      <c r="C292" s="168">
        <f>ROUND(SUM(C287:C291),0)</f>
        <v>5155</v>
      </c>
      <c r="D292" s="261">
        <f>ROUND(SUM(D287:D291),0)</f>
        <v>1954</v>
      </c>
    </row>
    <row r="293" spans="2:4" x14ac:dyDescent="0.25">
      <c r="B293" s="14" t="s">
        <v>909</v>
      </c>
      <c r="C293" s="168">
        <f>ROUND(IF(Scénario!$K$129=1,SUM(C275:C280),SUM(C278:C280)),0)</f>
        <v>508</v>
      </c>
      <c r="D293" s="168">
        <f>ROUND(IF(Scénario!$K$129=1,SUM(D275:D280),SUM(D278:D280)),0)</f>
        <v>504</v>
      </c>
    </row>
    <row r="294" spans="2:4" x14ac:dyDescent="0.25">
      <c r="B294" s="14" t="s">
        <v>910</v>
      </c>
      <c r="C294" s="168">
        <f>ROUND((C292-C293)/C83,0)</f>
        <v>2324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46.263185909025275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666.66666666666663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9" activePane="bottomLeft" state="frozen"/>
      <selection pane="bottomLeft" activeCell="Q78" sqref="Q78:W7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29.741953663118345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45.875523465703971</v>
      </c>
      <c r="E65" s="61">
        <f t="shared" si="19"/>
        <v>45.875523465703971</v>
      </c>
      <c r="F65" s="61">
        <f t="shared" si="19"/>
        <v>80.282166064981951</v>
      </c>
      <c r="G65" s="61">
        <f t="shared" si="19"/>
        <v>80.282166064981951</v>
      </c>
      <c r="H65" s="61">
        <f t="shared" si="19"/>
        <v>77.692418772563187</v>
      </c>
      <c r="I65" s="61">
        <f t="shared" si="19"/>
        <v>77.692418772563187</v>
      </c>
      <c r="J65" s="61">
        <f t="shared" si="19"/>
        <v>80.282166064981951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50.790758122743682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12.288086642599277</v>
      </c>
      <c r="H66" s="61">
        <f t="shared" si="20"/>
        <v>11.891696750902526</v>
      </c>
      <c r="I66" s="61">
        <f t="shared" si="20"/>
        <v>11.891696750902526</v>
      </c>
      <c r="J66" s="61">
        <f t="shared" si="20"/>
        <v>12.288086642599277</v>
      </c>
      <c r="K66" s="61">
        <f t="shared" si="20"/>
        <v>12.288086642599277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479</v>
      </c>
      <c r="E73" s="64">
        <f t="shared" si="27"/>
        <v>282</v>
      </c>
      <c r="F73" s="64">
        <f t="shared" si="27"/>
        <v>339</v>
      </c>
      <c r="G73" s="64">
        <f t="shared" si="27"/>
        <v>338</v>
      </c>
      <c r="H73" s="64">
        <f t="shared" si="27"/>
        <v>326</v>
      </c>
      <c r="I73" s="64">
        <f t="shared" si="27"/>
        <v>325</v>
      </c>
      <c r="J73" s="64">
        <f t="shared" si="27"/>
        <v>335</v>
      </c>
      <c r="K73" s="64">
        <f t="shared" si="27"/>
        <v>294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602</v>
      </c>
      <c r="Y73" s="64">
        <f t="shared" si="27"/>
        <v>602</v>
      </c>
      <c r="Z73" s="52"/>
      <c r="AA73" s="56">
        <f>ROUND(SUM(B73:Y73),0)</f>
        <v>6934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14.5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/>
      <c r="C125" s="60"/>
      <c r="D125" s="60"/>
      <c r="E125" s="60"/>
      <c r="F125" s="60"/>
      <c r="G125" s="60"/>
      <c r="H125" s="60"/>
      <c r="I125" s="159"/>
      <c r="J125" s="159"/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0.59638180505415161</v>
      </c>
      <c r="E138" s="61">
        <f t="shared" si="51"/>
        <v>0.59638180505415161</v>
      </c>
      <c r="F138" s="61">
        <f t="shared" si="51"/>
        <v>1.0436681588447654</v>
      </c>
      <c r="G138" s="61">
        <f t="shared" si="51"/>
        <v>1.0436681588447654</v>
      </c>
      <c r="H138" s="61">
        <f t="shared" si="51"/>
        <v>1.0100014440433214</v>
      </c>
      <c r="I138" s="61">
        <f t="shared" si="51"/>
        <v>1.0100014440433214</v>
      </c>
      <c r="J138" s="61">
        <f t="shared" si="51"/>
        <v>1.0436681588447654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11.870505747292416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0.1597451263537906</v>
      </c>
      <c r="H139" s="61">
        <f t="shared" si="51"/>
        <v>0.15459205776173282</v>
      </c>
      <c r="I139" s="61">
        <f t="shared" si="51"/>
        <v>0.15459205776173282</v>
      </c>
      <c r="J139" s="61">
        <f t="shared" si="51"/>
        <v>0.1597451263537906</v>
      </c>
      <c r="K139" s="61">
        <f t="shared" si="51"/>
        <v>0.1597451263537906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2.1849010830324906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100.17710844476534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115.20367471148013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80.980984002888164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0.44728635379061377</v>
      </c>
      <c r="E172" s="61">
        <f t="shared" si="74"/>
        <v>2.0876563364620941</v>
      </c>
      <c r="F172" s="61">
        <f t="shared" si="74"/>
        <v>2.3071189873646221</v>
      </c>
      <c r="G172" s="61">
        <f t="shared" si="74"/>
        <v>2.3128513797833938</v>
      </c>
      <c r="H172" s="61">
        <f t="shared" si="74"/>
        <v>2.2437907472924188</v>
      </c>
      <c r="I172" s="61">
        <f t="shared" si="74"/>
        <v>3.7520582490974732</v>
      </c>
      <c r="J172" s="61">
        <f t="shared" si="74"/>
        <v>6.2239158844765354</v>
      </c>
      <c r="K172" s="61">
        <f t="shared" si="74"/>
        <v>7.0950429227436835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46.263185909025275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0.44728635379061377</v>
      </c>
      <c r="E215" s="61">
        <f t="shared" si="107"/>
        <v>2.0876563364620941</v>
      </c>
      <c r="F215" s="61">
        <f t="shared" si="107"/>
        <v>2.3071189873646221</v>
      </c>
      <c r="G215" s="61">
        <f t="shared" si="107"/>
        <v>2.3128513797833938</v>
      </c>
      <c r="H215" s="61">
        <f t="shared" si="107"/>
        <v>2.2437907472924188</v>
      </c>
      <c r="I215" s="61">
        <f t="shared" si="107"/>
        <v>3.7520582490974732</v>
      </c>
      <c r="J215" s="61">
        <f t="shared" si="107"/>
        <v>6.2239158844765354</v>
      </c>
      <c r="K215" s="61">
        <f t="shared" si="107"/>
        <v>7.0950429227436835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80.848928031768949</v>
      </c>
      <c r="AB219" t="s">
        <v>221</v>
      </c>
    </row>
    <row r="220" spans="1:28" x14ac:dyDescent="0.25">
      <c r="AA220" s="30">
        <f>SUM(B215:Y217)</f>
        <v>46.263185909025275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2023-01-09T10:50:37Z</dcterms:modified>
</cp:coreProperties>
</file>