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firstSheet="1" activeTab="3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154" r:id="rId19"/>
  </pivotCaches>
</workbook>
</file>

<file path=xl/calcChain.xml><?xml version="1.0" encoding="utf-8"?>
<calcChain xmlns="http://schemas.openxmlformats.org/spreadsheetml/2006/main">
  <c r="A78" i="18" l="1"/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N50" i="32"/>
  <c r="BM50" i="32"/>
  <c r="BM72" i="32" s="1"/>
  <c r="BL50" i="32"/>
  <c r="BK50" i="32"/>
  <c r="BJ50" i="32"/>
  <c r="BI50" i="32"/>
  <c r="BI72" i="32" s="1"/>
  <c r="BH50" i="32"/>
  <c r="BG50" i="32"/>
  <c r="BF50" i="32"/>
  <c r="BE50" i="32"/>
  <c r="BE72" i="32" s="1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B93" i="31" s="1"/>
  <c r="BA40" i="31"/>
  <c r="BA93" i="31" s="1"/>
  <c r="AZ40" i="31"/>
  <c r="AY40" i="31"/>
  <c r="AX40" i="31"/>
  <c r="AW40" i="31"/>
  <c r="AV40" i="31"/>
  <c r="AT40" i="31"/>
  <c r="BS39" i="31"/>
  <c r="BR39" i="31"/>
  <c r="BR92" i="31" s="1"/>
  <c r="BQ39" i="31"/>
  <c r="BP39" i="31"/>
  <c r="BP92" i="31" s="1"/>
  <c r="BO39" i="31"/>
  <c r="BN39" i="31"/>
  <c r="BM39" i="31"/>
  <c r="BL39" i="31"/>
  <c r="BK39" i="31"/>
  <c r="BJ39" i="31"/>
  <c r="BI39" i="31"/>
  <c r="BH39" i="31"/>
  <c r="BH92" i="31" s="1"/>
  <c r="BG39" i="31"/>
  <c r="BF39" i="31"/>
  <c r="BE39" i="31"/>
  <c r="BD39" i="31"/>
  <c r="BC39" i="31"/>
  <c r="BB39" i="31"/>
  <c r="BA39" i="31"/>
  <c r="AZ39" i="31"/>
  <c r="AZ92" i="31" s="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J90" i="31" s="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T83" i="30"/>
  <c r="S83" i="30"/>
  <c r="R83" i="30"/>
  <c r="Q83" i="30"/>
  <c r="Q20" i="30" s="1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U20" i="30" s="1"/>
  <c r="U21" i="30" s="1"/>
  <c r="U7" i="30" s="1"/>
  <c r="U12" i="30" s="1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A88" i="33"/>
  <c r="CA87" i="33"/>
  <c r="AU96" i="33"/>
  <c r="AU95" i="33"/>
  <c r="AU94" i="33"/>
  <c r="AU93" i="33"/>
  <c r="AU92" i="33"/>
  <c r="AU91" i="33"/>
  <c r="AU90" i="33"/>
  <c r="CO90" i="33" s="1"/>
  <c r="AU89" i="33"/>
  <c r="AU88" i="33"/>
  <c r="AU87" i="33"/>
  <c r="C83" i="33"/>
  <c r="C62" i="33"/>
  <c r="D62" i="33" s="1"/>
  <c r="C61" i="33"/>
  <c r="C60" i="33"/>
  <c r="C59" i="33"/>
  <c r="D59" i="33" s="1"/>
  <c r="C58" i="33"/>
  <c r="C57" i="33"/>
  <c r="C56" i="33"/>
  <c r="C55" i="33"/>
  <c r="C54" i="33"/>
  <c r="C53" i="33"/>
  <c r="C52" i="33"/>
  <c r="D52" i="33" s="1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T254" i="32"/>
  <c r="T260" i="32" s="1"/>
  <c r="U260" i="32" s="1"/>
  <c r="T246" i="32"/>
  <c r="B166" i="32" s="1"/>
  <c r="T236" i="32"/>
  <c r="C188" i="33" s="1"/>
  <c r="D188" i="33" s="1"/>
  <c r="T235" i="32"/>
  <c r="T274" i="32" s="1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D16" i="31" s="1"/>
  <c r="F16" i="31" s="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2" i="30"/>
  <c r="AH22" i="30"/>
  <c r="AE22" i="30"/>
  <c r="AD13" i="30"/>
  <c r="AD14" i="30" s="1"/>
  <c r="T233" i="32" s="1"/>
  <c r="T271" i="32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P90" i="33"/>
  <c r="BZ90" i="33"/>
  <c r="BZ154" i="33" s="1"/>
  <c r="BH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8" i="33"/>
  <c r="D57" i="33"/>
  <c r="D56" i="33"/>
  <c r="D55" i="33"/>
  <c r="D54" i="33"/>
  <c r="D53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O72" i="32"/>
  <c r="BN72" i="32"/>
  <c r="BH61" i="32"/>
  <c r="BH72" i="32" s="1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O92" i="31"/>
  <c r="BN92" i="31"/>
  <c r="BM92" i="31"/>
  <c r="BL92" i="31"/>
  <c r="BK92" i="31"/>
  <c r="BJ92" i="31"/>
  <c r="BI92" i="31"/>
  <c r="BG92" i="31"/>
  <c r="BF92" i="31"/>
  <c r="BE92" i="31"/>
  <c r="BD92" i="31"/>
  <c r="BC92" i="31"/>
  <c r="BB92" i="31"/>
  <c r="BA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T20" i="30"/>
  <c r="P20" i="30"/>
  <c r="P21" i="30" s="1"/>
  <c r="P7" i="30" s="1"/>
  <c r="P12" i="30" s="1"/>
  <c r="O20" i="30"/>
  <c r="N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J7" i="30" s="1"/>
  <c r="J12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Z5" i="30"/>
  <c r="Z9" i="30" s="1"/>
  <c r="Y5" i="30"/>
  <c r="Y9" i="30" s="1"/>
  <c r="X5" i="30"/>
  <c r="X9" i="30" s="1"/>
  <c r="W5" i="30"/>
  <c r="W9" i="30" s="1"/>
  <c r="V5" i="30"/>
  <c r="V9" i="30" s="1"/>
  <c r="T5" i="30"/>
  <c r="T9" i="30" s="1"/>
  <c r="Q5" i="30"/>
  <c r="Q9" i="30" s="1"/>
  <c r="P5" i="30"/>
  <c r="P9" i="30" s="1"/>
  <c r="O5" i="30"/>
  <c r="O9" i="30" s="1"/>
  <c r="N5" i="30"/>
  <c r="N9" i="30" s="1"/>
  <c r="M5" i="30"/>
  <c r="M9" i="30" s="1"/>
  <c r="L5" i="30"/>
  <c r="L9" i="30" s="1"/>
  <c r="K5" i="30"/>
  <c r="K9" i="30" s="1"/>
  <c r="J5" i="30"/>
  <c r="J9" i="30" s="1"/>
  <c r="I5" i="30"/>
  <c r="I9" i="30" s="1"/>
  <c r="H5" i="30"/>
  <c r="H9" i="30" s="1"/>
  <c r="E5" i="30"/>
  <c r="E9" i="30" s="1"/>
  <c r="D5" i="30"/>
  <c r="D9" i="30" s="1"/>
  <c r="C5" i="30"/>
  <c r="C9" i="30" s="1"/>
  <c r="Z4" i="30"/>
  <c r="Y4" i="30"/>
  <c r="X4" i="30"/>
  <c r="W4" i="30"/>
  <c r="V4" i="30"/>
  <c r="T4" i="30"/>
  <c r="P4" i="30"/>
  <c r="O4" i="30"/>
  <c r="N4" i="30"/>
  <c r="M4" i="30"/>
  <c r="L4" i="30"/>
  <c r="K4" i="30"/>
  <c r="J4" i="30"/>
  <c r="I4" i="30"/>
  <c r="H4" i="30"/>
  <c r="E4" i="30"/>
  <c r="D4" i="30"/>
  <c r="C4" i="30"/>
  <c r="Z3" i="30"/>
  <c r="Y3" i="30"/>
  <c r="X3" i="30"/>
  <c r="X8" i="30" s="1"/>
  <c r="W3" i="30"/>
  <c r="W8" i="30" s="1"/>
  <c r="V3" i="30"/>
  <c r="P3" i="30"/>
  <c r="T72" i="31" s="1"/>
  <c r="O3" i="30"/>
  <c r="S72" i="31" s="1"/>
  <c r="N3" i="30"/>
  <c r="M3" i="30"/>
  <c r="L3" i="30"/>
  <c r="L8" i="30" s="1"/>
  <c r="K3" i="30"/>
  <c r="J3" i="30"/>
  <c r="I3" i="30"/>
  <c r="I8" i="30" s="1"/>
  <c r="H3" i="30"/>
  <c r="E3" i="30"/>
  <c r="D3" i="30"/>
  <c r="D8" i="30" s="1"/>
  <c r="C3" i="30"/>
  <c r="C8" i="30" s="1"/>
  <c r="V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U5" i="30" l="1"/>
  <c r="U9" i="30" s="1"/>
  <c r="T3" i="30"/>
  <c r="X72" i="31" s="1"/>
  <c r="BJ70" i="32"/>
  <c r="U3" i="30"/>
  <c r="Y72" i="31" s="1"/>
  <c r="U4" i="30"/>
  <c r="U2" i="30" s="1"/>
  <c r="N8" i="30"/>
  <c r="N201" i="30" s="1"/>
  <c r="N212" i="30" s="1"/>
  <c r="R72" i="31"/>
  <c r="D2" i="30"/>
  <c r="BJ72" i="32"/>
  <c r="J8" i="30"/>
  <c r="C2" i="30"/>
  <c r="K2" i="30"/>
  <c r="K8" i="30"/>
  <c r="L2" i="30"/>
  <c r="H8" i="30"/>
  <c r="H201" i="30" s="1"/>
  <c r="H212" i="30" s="1"/>
  <c r="T2" i="30"/>
  <c r="V201" i="30"/>
  <c r="V212" i="30" s="1"/>
  <c r="V8" i="30"/>
  <c r="O8" i="30"/>
  <c r="O201" i="30" s="1"/>
  <c r="O212" i="30" s="1"/>
  <c r="P8" i="30"/>
  <c r="P201" i="30" s="1"/>
  <c r="P212" i="30" s="1"/>
  <c r="U8" i="30"/>
  <c r="U201" i="30" s="1"/>
  <c r="U212" i="30" s="1"/>
  <c r="T8" i="30"/>
  <c r="BP90" i="33"/>
  <c r="CX90" i="33"/>
  <c r="CP89" i="33"/>
  <c r="BS90" i="33"/>
  <c r="CT90" i="33"/>
  <c r="CY90" i="33"/>
  <c r="AZ90" i="33"/>
  <c r="CH90" i="33"/>
  <c r="BC90" i="33"/>
  <c r="CM90" i="33"/>
  <c r="BD90" i="33"/>
  <c r="D225" i="33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Z164" i="29"/>
  <c r="Y164" i="29"/>
  <c r="AB164" i="29" s="1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X170" i="32"/>
  <c r="AA170" i="32" s="1"/>
  <c r="T169" i="29"/>
  <c r="Z169" i="29"/>
  <c r="AC169" i="29" s="1"/>
  <c r="X169" i="29"/>
  <c r="AA169" i="29" s="1"/>
  <c r="Y169" i="29"/>
  <c r="AB169" i="29" s="1"/>
  <c r="X169" i="32"/>
  <c r="AA169" i="32" s="1"/>
  <c r="Y169" i="32"/>
  <c r="T169" i="32"/>
  <c r="Z169" i="32"/>
  <c r="AC169" i="32" s="1"/>
  <c r="BZ29" i="31"/>
  <c r="BZ93" i="31" s="1"/>
  <c r="CL89" i="33"/>
  <c r="T257" i="32"/>
  <c r="U257" i="32" s="1"/>
  <c r="F86" i="31"/>
  <c r="E2" i="30"/>
  <c r="E8" i="30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8" i="30" s="1"/>
  <c r="F5" i="30"/>
  <c r="F9" i="30" s="1"/>
  <c r="G3" i="30"/>
  <c r="G5" i="30"/>
  <c r="G9" i="30" s="1"/>
  <c r="G4" i="30"/>
  <c r="G2" i="30" s="1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AC164" i="29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A164" i="29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T201" i="30"/>
  <c r="T212" i="30" s="1"/>
  <c r="U199" i="32"/>
  <c r="J166" i="32"/>
  <c r="C234" i="33" s="1"/>
  <c r="D234" i="33" s="1"/>
  <c r="AJ199" i="32"/>
  <c r="AA27" i="29"/>
  <c r="J201" i="30"/>
  <c r="J212" i="30" s="1"/>
  <c r="K201" i="30"/>
  <c r="K212" i="30" s="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Q4" i="30"/>
  <c r="Q2" i="30" s="1"/>
  <c r="Q3" i="30"/>
  <c r="U72" i="31" s="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R9" i="30" s="1"/>
  <c r="S3" i="30"/>
  <c r="S4" i="30"/>
  <c r="S5" i="30"/>
  <c r="S9" i="30" s="1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21" i="30"/>
  <c r="I7" i="30" s="1"/>
  <c r="I12" i="30" s="1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E201" i="30"/>
  <c r="E212" i="30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C6" i="30"/>
  <c r="C10" i="30" s="1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J127" i="32"/>
  <c r="BS89" i="32"/>
  <c r="AJ90" i="32"/>
  <c r="BP90" i="32"/>
  <c r="AM93" i="32"/>
  <c r="BC93" i="32"/>
  <c r="AE100" i="32"/>
  <c r="BA105" i="32"/>
  <c r="AG107" i="32"/>
  <c r="AD89" i="32"/>
  <c r="AK90" i="32"/>
  <c r="BQ90" i="32"/>
  <c r="AQ93" i="32"/>
  <c r="BG93" i="32"/>
  <c r="AM100" i="32"/>
  <c r="AO107" i="32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W2" i="30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D251" i="33" s="1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D279" i="33" s="1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B16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B170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A166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V166" i="29"/>
  <c r="U166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O17" i="30" l="1"/>
  <c r="AD170" i="32"/>
  <c r="W72" i="31"/>
  <c r="V72" i="31"/>
  <c r="F72" i="31" s="1"/>
  <c r="F201" i="30"/>
  <c r="F212" i="30" s="1"/>
  <c r="O15" i="30"/>
  <c r="S8" i="30"/>
  <c r="F2" i="30"/>
  <c r="Q8" i="30"/>
  <c r="R8" i="30"/>
  <c r="AX61" i="31"/>
  <c r="AX107" i="31" s="1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U168" i="32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AD19" i="30"/>
  <c r="AF19" i="30" s="1"/>
  <c r="AK20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B84" i="31" s="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Q201" i="30"/>
  <c r="Q212" i="30" s="1"/>
  <c r="S2" i="30"/>
  <c r="S201" i="30"/>
  <c r="S212" i="30" s="1"/>
  <c r="R201" i="30"/>
  <c r="R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I83" i="31" s="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D82" i="31" s="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CQ63" i="31"/>
  <c r="DM84" i="31"/>
  <c r="D57" i="30"/>
  <c r="D62" i="30"/>
  <c r="C41" i="33"/>
  <c r="D41" i="33" s="1"/>
  <c r="AE33" i="30"/>
  <c r="T240" i="32" s="1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AX117" i="31"/>
  <c r="I5" i="31" s="1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1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H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M18" i="30" s="1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C228" i="29"/>
  <c r="K40" i="29" s="1"/>
  <c r="B52" i="31" s="1"/>
  <c r="C52" i="31" s="1"/>
  <c r="T273" i="32" l="1"/>
  <c r="X273" i="32" s="1"/>
  <c r="X240" i="32"/>
  <c r="C186" i="33"/>
  <c r="D186" i="33" s="1"/>
  <c r="BI84" i="31"/>
  <c r="BI81" i="31"/>
  <c r="BI82" i="31"/>
  <c r="AI169" i="29"/>
  <c r="B109" i="31"/>
  <c r="B112" i="31" s="1"/>
  <c r="C191" i="33"/>
  <c r="D191" i="33" s="1"/>
  <c r="E18" i="30"/>
  <c r="BD84" i="31"/>
  <c r="AI167" i="32"/>
  <c r="AI167" i="29"/>
  <c r="AI165" i="29"/>
  <c r="AH166" i="32"/>
  <c r="AJ169" i="32"/>
  <c r="AH170" i="29"/>
  <c r="AJ170" i="29"/>
  <c r="AI168" i="32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U18" i="30"/>
  <c r="U22" i="30" s="1"/>
  <c r="H18" i="30"/>
  <c r="J110" i="32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S85" i="31" s="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G63" i="30"/>
  <c r="G49" i="30" s="1"/>
  <c r="Y22" i="30"/>
  <c r="Y180" i="30"/>
  <c r="Y195" i="30" s="1"/>
  <c r="AC75" i="31" s="1"/>
  <c r="U42" i="30"/>
  <c r="U28" i="30" s="1"/>
  <c r="U33" i="30" s="1"/>
  <c r="I32" i="30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M180" i="30"/>
  <c r="M195" i="30" s="1"/>
  <c r="Q75" i="31" s="1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V18" i="30"/>
  <c r="DS85" i="31"/>
  <c r="O60" i="30"/>
  <c r="BJ85" i="31"/>
  <c r="C18" i="30"/>
  <c r="AZ85" i="31"/>
  <c r="CG85" i="31"/>
  <c r="N55" i="30"/>
  <c r="N53" i="30"/>
  <c r="I53" i="30"/>
  <c r="W60" i="30"/>
  <c r="L53" i="30"/>
  <c r="DG85" i="31"/>
  <c r="T53" i="30"/>
  <c r="W39" i="30"/>
  <c r="W18" i="30"/>
  <c r="F18" i="30"/>
  <c r="AY85" i="31"/>
  <c r="DV85" i="3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C275" i="33" l="1"/>
  <c r="D275" i="33" s="1"/>
  <c r="AJ217" i="33"/>
  <c r="AN217" i="33" s="1"/>
  <c r="AK231" i="33"/>
  <c r="AO231" i="33" s="1"/>
  <c r="AR231" i="33" s="1"/>
  <c r="C310" i="33"/>
  <c r="AA240" i="32"/>
  <c r="AI228" i="32"/>
  <c r="C133" i="32" s="1"/>
  <c r="J133" i="32" s="1"/>
  <c r="AI228" i="29"/>
  <c r="M64" i="30"/>
  <c r="L64" i="30"/>
  <c r="D64" i="30"/>
  <c r="Q64" i="30"/>
  <c r="W64" i="30"/>
  <c r="G64" i="30"/>
  <c r="I64" i="30"/>
  <c r="K22" i="30"/>
  <c r="U180" i="30"/>
  <c r="U195" i="30" s="1"/>
  <c r="Y75" i="31" s="1"/>
  <c r="Y77" i="31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AB240" i="32"/>
  <c r="AC240" i="32" s="1"/>
  <c r="AF240" i="32" s="1"/>
  <c r="AS231" i="33"/>
  <c r="AT231" i="33" s="1"/>
  <c r="AW231" i="33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BL102" i="31"/>
  <c r="W9" i="31" s="1"/>
  <c r="W13" i="31" s="1"/>
  <c r="CN102" i="31"/>
  <c r="S10" i="31" s="1"/>
  <c r="S13" i="31" s="1"/>
  <c r="BM102" i="31"/>
  <c r="X9" i="31" s="1"/>
  <c r="CO102" i="31"/>
  <c r="T10" i="31" s="1"/>
  <c r="T13" i="31" s="1"/>
  <c r="BF102" i="31"/>
  <c r="Q9" i="31" s="1"/>
  <c r="Q13" i="31" s="1"/>
  <c r="R13" i="31"/>
  <c r="CS102" i="31"/>
  <c r="X10" i="31" s="1"/>
  <c r="H13" i="31"/>
  <c r="K13" i="31"/>
  <c r="AD13" i="31"/>
  <c r="AC13" i="31"/>
  <c r="O13" i="31"/>
  <c r="L13" i="31"/>
  <c r="U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AJ8" i="30" s="1"/>
  <c r="D203" i="30"/>
  <c r="AJ5" i="30" s="1"/>
  <c r="X249" i="32" s="1"/>
  <c r="G13" i="31"/>
  <c r="C230" i="33"/>
  <c r="F11" i="31"/>
  <c r="B81" i="31" l="1"/>
  <c r="F81" i="31" s="1"/>
  <c r="B114" i="31" s="1"/>
  <c r="T245" i="32"/>
  <c r="F75" i="31"/>
  <c r="F76" i="31"/>
  <c r="F77" i="31"/>
  <c r="B129" i="31" s="1"/>
  <c r="F10" i="31"/>
  <c r="C249" i="33" s="1"/>
  <c r="F9" i="31"/>
  <c r="C248" i="33" s="1"/>
  <c r="X13" i="31"/>
  <c r="F13" i="31" s="1"/>
  <c r="C270" i="33"/>
  <c r="B108" i="31"/>
  <c r="B123" i="31" s="1"/>
  <c r="V265" i="32"/>
  <c r="V264" i="32"/>
  <c r="V263" i="32" s="1"/>
  <c r="J46" i="32" s="1"/>
  <c r="C210" i="33" s="1"/>
  <c r="C250" i="33"/>
  <c r="B93" i="31"/>
  <c r="D93" i="31" s="1"/>
  <c r="B92" i="31" l="1"/>
  <c r="D92" i="31" s="1"/>
  <c r="C289" i="33"/>
  <c r="B91" i="31"/>
  <c r="D91" i="31" s="1"/>
  <c r="C278" i="33"/>
  <c r="B113" i="31"/>
  <c r="B125" i="31" s="1"/>
  <c r="C277" i="33"/>
  <c r="C193" i="33"/>
  <c r="D193" i="33" s="1"/>
  <c r="X245" i="32"/>
  <c r="C189" i="33"/>
  <c r="D189" i="33" s="1"/>
  <c r="AK189" i="33" s="1"/>
  <c r="AO189" i="33" s="1"/>
  <c r="AO192" i="33" s="1"/>
  <c r="B94" i="31" l="1"/>
  <c r="X248" i="32"/>
  <c r="J141" i="32"/>
  <c r="C219" i="33" s="1"/>
  <c r="D277" i="33"/>
  <c r="D278" i="33"/>
  <c r="D291" i="33" s="1"/>
  <c r="C291" i="33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AJ36" i="32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C164" i="18"/>
  <c r="B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C82" i="33" l="1"/>
  <c r="J218" i="33" s="1"/>
  <c r="AB40" i="32"/>
  <c r="AD40" i="32" s="1"/>
  <c r="AB39" i="32"/>
  <c r="AB38" i="32"/>
  <c r="B43" i="32"/>
  <c r="J43" i="32" s="1"/>
  <c r="C207" i="33" s="1"/>
  <c r="D66" i="33"/>
  <c r="D73" i="33"/>
  <c r="K255" i="33" s="1"/>
  <c r="D78" i="33"/>
  <c r="D71" i="33"/>
  <c r="L223" i="33"/>
  <c r="AJ198" i="33" s="1"/>
  <c r="D164" i="33"/>
  <c r="L224" i="33"/>
  <c r="D147" i="33"/>
  <c r="D204" i="33"/>
  <c r="D90" i="33"/>
  <c r="K254" i="33" s="1"/>
  <c r="D69" i="33"/>
  <c r="D94" i="33"/>
  <c r="J217" i="33"/>
  <c r="D92" i="33"/>
  <c r="D222" i="33"/>
  <c r="D215" i="33"/>
  <c r="D141" i="33"/>
  <c r="D65" i="33"/>
  <c r="J193" i="33" s="1"/>
  <c r="J194" i="33" s="1"/>
  <c r="D91" i="33"/>
  <c r="D168" i="33"/>
  <c r="D85" i="33"/>
  <c r="K258" i="33" s="1"/>
  <c r="L225" i="33"/>
  <c r="D93" i="33"/>
  <c r="D64" i="33"/>
  <c r="Q193" i="33" s="1"/>
  <c r="Q194" i="33" s="1"/>
  <c r="D86" i="33"/>
  <c r="K259" i="33" s="1"/>
  <c r="D196" i="33"/>
  <c r="D228" i="33"/>
  <c r="J216" i="33"/>
  <c r="D146" i="33"/>
  <c r="D230" i="33"/>
  <c r="D217" i="33"/>
  <c r="D68" i="33"/>
  <c r="D166" i="33"/>
  <c r="D165" i="33"/>
  <c r="J42" i="32"/>
  <c r="C206" i="33" s="1"/>
  <c r="B44" i="32"/>
  <c r="J44" i="32" s="1"/>
  <c r="C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D169" i="33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232" i="33" l="1"/>
  <c r="D233" i="33"/>
  <c r="D227" i="33"/>
  <c r="D87" i="33"/>
  <c r="K260" i="33" s="1"/>
  <c r="D167" i="33"/>
  <c r="D96" i="33"/>
  <c r="D80" i="33"/>
  <c r="J206" i="33" s="1"/>
  <c r="L206" i="33" s="1"/>
  <c r="D229" i="33"/>
  <c r="D79" i="33"/>
  <c r="D231" i="33"/>
  <c r="D89" i="33"/>
  <c r="K262" i="33" s="1"/>
  <c r="D219" i="33"/>
  <c r="D213" i="33"/>
  <c r="D226" i="33"/>
  <c r="D95" i="33"/>
  <c r="D72" i="33"/>
  <c r="K256" i="33" s="1"/>
  <c r="D76" i="33"/>
  <c r="D77" i="33"/>
  <c r="D140" i="33"/>
  <c r="D81" i="33"/>
  <c r="J205" i="33" s="1"/>
  <c r="L205" i="33" s="1"/>
  <c r="L209" i="33" s="1"/>
  <c r="D63" i="33"/>
  <c r="D198" i="33"/>
  <c r="D205" i="33"/>
  <c r="D163" i="33"/>
  <c r="D74" i="33"/>
  <c r="G63" i="33"/>
  <c r="D200" i="33"/>
  <c r="D139" i="33"/>
  <c r="D88" i="33"/>
  <c r="K261" i="33" s="1"/>
  <c r="D150" i="33"/>
  <c r="D206" i="33"/>
  <c r="D208" i="33"/>
  <c r="D75" i="33"/>
  <c r="J220" i="33"/>
  <c r="J221" i="33" s="1"/>
  <c r="L210" i="33" s="1"/>
  <c r="L254" i="33"/>
  <c r="O254" i="33" s="1"/>
  <c r="AJ204" i="33"/>
  <c r="AK204" i="33" s="1"/>
  <c r="AJ203" i="33"/>
  <c r="AK203" i="33" s="1"/>
  <c r="AJ202" i="33"/>
  <c r="AK202" i="33" s="1"/>
  <c r="AJ201" i="33"/>
  <c r="AK201" i="33" s="1"/>
  <c r="AJ200" i="33"/>
  <c r="AK200" i="33" s="1"/>
  <c r="O262" i="33"/>
  <c r="D271" i="33"/>
  <c r="L258" i="33"/>
  <c r="O258" i="33" s="1"/>
  <c r="L261" i="33"/>
  <c r="D270" i="33" s="1"/>
  <c r="L260" i="33"/>
  <c r="D269" i="33" s="1"/>
  <c r="L259" i="33"/>
  <c r="O259" i="33" s="1"/>
  <c r="I199" i="33"/>
  <c r="J199" i="33" s="1"/>
  <c r="I198" i="33"/>
  <c r="J198" i="33" s="1"/>
  <c r="I200" i="33"/>
  <c r="J200" i="33" s="1"/>
  <c r="P198" i="33"/>
  <c r="Q198" i="33" s="1"/>
  <c r="Q200" i="33" s="1"/>
  <c r="D202" i="33" s="1"/>
  <c r="P199" i="33"/>
  <c r="Q199" i="33" s="1"/>
  <c r="L255" i="33"/>
  <c r="O255" i="33" s="1"/>
  <c r="W193" i="33"/>
  <c r="W194" i="33" s="1"/>
  <c r="AP198" i="33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CJ66" i="33"/>
  <c r="CJ77" i="33" s="1"/>
  <c r="CB66" i="33"/>
  <c r="CB77" i="33" s="1"/>
  <c r="BI70" i="33"/>
  <c r="BI81" i="33" s="1"/>
  <c r="BI64" i="33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K257" i="33" l="1"/>
  <c r="BJ77" i="33"/>
  <c r="BJ153" i="33"/>
  <c r="BK75" i="33"/>
  <c r="BK151" i="33"/>
  <c r="BI77" i="33"/>
  <c r="BI153" i="33"/>
  <c r="BG77" i="33"/>
  <c r="BG134" i="33" s="1"/>
  <c r="BG153" i="33"/>
  <c r="BL75" i="33"/>
  <c r="BL121" i="33" s="1"/>
  <c r="BL167" i="33" s="1"/>
  <c r="BL151" i="33"/>
  <c r="BH75" i="33"/>
  <c r="BH151" i="33"/>
  <c r="BI75" i="33"/>
  <c r="BI121" i="33" s="1"/>
  <c r="BI167" i="33" s="1"/>
  <c r="BI151" i="33"/>
  <c r="BI160" i="33" s="1"/>
  <c r="BI161" i="33" s="1"/>
  <c r="BI162" i="33" s="1"/>
  <c r="BH77" i="33"/>
  <c r="BH134" i="33" s="1"/>
  <c r="BH153" i="33"/>
  <c r="BG75" i="33"/>
  <c r="BG132" i="33" s="1"/>
  <c r="BG151" i="33"/>
  <c r="BJ75" i="33"/>
  <c r="BJ151" i="33"/>
  <c r="L211" i="33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O160" i="33" l="1"/>
  <c r="BO161" i="33" s="1"/>
  <c r="BO162" i="33" s="1"/>
  <c r="BG123" i="33"/>
  <c r="BG169" i="33" s="1"/>
  <c r="BH123" i="33"/>
  <c r="BH169" i="33" s="1"/>
  <c r="BL160" i="33"/>
  <c r="BL161" i="33" s="1"/>
  <c r="BL162" i="33" s="1"/>
  <c r="BJ160" i="33"/>
  <c r="BJ161" i="33" s="1"/>
  <c r="BJ162" i="33" s="1"/>
  <c r="BI132" i="33"/>
  <c r="BH160" i="33"/>
  <c r="BH161" i="33" s="1"/>
  <c r="BH162" i="33" s="1"/>
  <c r="BG160" i="33"/>
  <c r="BG161" i="33" s="1"/>
  <c r="BG162" i="33" s="1"/>
  <c r="BM160" i="33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AL207" i="33" s="1"/>
  <c r="D210" i="33" s="1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44" i="33" l="1"/>
  <c r="CW178" i="33"/>
  <c r="DS146" i="33"/>
  <c r="DS147" i="33" s="1"/>
  <c r="BL144" i="33"/>
  <c r="DG146" i="33"/>
  <c r="DG148" i="33" s="1"/>
  <c r="BE178" i="33"/>
  <c r="DW146" i="33"/>
  <c r="DW148" i="33" s="1"/>
  <c r="CC178" i="33"/>
  <c r="BL143" i="33"/>
  <c r="BL142" i="33"/>
  <c r="BM178" i="33"/>
  <c r="CX145" i="33"/>
  <c r="BF178" i="33"/>
  <c r="DR146" i="33"/>
  <c r="DR147" i="33" s="1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M147" i="33" s="1"/>
  <c r="DY146" i="33"/>
  <c r="DY147" i="33" s="1"/>
  <c r="CD143" i="33"/>
  <c r="DK146" i="33"/>
  <c r="DK147" i="33" s="1"/>
  <c r="BC145" i="33"/>
  <c r="BD178" i="33"/>
  <c r="BO178" i="33"/>
  <c r="BI146" i="33"/>
  <c r="BI147" i="33" s="1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BS143" i="33"/>
  <c r="BS145" i="33"/>
  <c r="BS142" i="33"/>
  <c r="BS144" i="33"/>
  <c r="CD178" i="33"/>
  <c r="AW178" i="33"/>
  <c r="BI14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BC144" i="33"/>
  <c r="BC142" i="33"/>
  <c r="BC143" i="33"/>
  <c r="AX178" i="33"/>
  <c r="CT144" i="33"/>
  <c r="CT145" i="33"/>
  <c r="CT143" i="33"/>
  <c r="CT142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M148" i="33" l="1"/>
  <c r="DG147" i="33"/>
  <c r="DS148" i="33"/>
  <c r="DR148" i="33"/>
  <c r="DR163" i="33" s="1"/>
  <c r="DY148" i="33"/>
  <c r="DY163" i="33" s="1"/>
  <c r="DW147" i="33"/>
  <c r="DW163" i="33" s="1"/>
  <c r="BJ147" i="33"/>
  <c r="BJ163" i="33" s="1"/>
  <c r="BG148" i="33"/>
  <c r="BG163" i="33" s="1"/>
  <c r="DE148" i="33"/>
  <c r="DE163" i="33" s="1"/>
  <c r="BL146" i="33"/>
  <c r="BL148" i="33" s="1"/>
  <c r="CG146" i="33"/>
  <c r="CG147" i="33" s="1"/>
  <c r="BC146" i="33"/>
  <c r="BC148" i="33" s="1"/>
  <c r="DG163" i="33"/>
  <c r="DK148" i="33"/>
  <c r="DK163" i="33" s="1"/>
  <c r="CX146" i="33"/>
  <c r="CX147" i="33" s="1"/>
  <c r="DX147" i="33"/>
  <c r="DX163" i="33" s="1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BL163" i="33" s="1"/>
  <c r="CG148" i="33"/>
  <c r="CG163" i="33" s="1"/>
  <c r="BQ148" i="33"/>
  <c r="BQ163" i="33" s="1"/>
  <c r="BN147" i="33"/>
  <c r="BN163" i="33" s="1"/>
  <c r="BC147" i="33"/>
  <c r="BC163" i="33" s="1"/>
  <c r="CX148" i="33"/>
  <c r="CX163" i="33" s="1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AD22" i="30" s="1"/>
  <c r="AF22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O203" i="18" l="1"/>
  <c r="O164" i="18"/>
  <c r="M203" i="18"/>
  <c r="M164" i="18"/>
  <c r="N203" i="18"/>
  <c r="N164" i="18"/>
  <c r="P203" i="18"/>
  <c r="P164" i="18"/>
  <c r="B83" i="31"/>
  <c r="C183" i="33"/>
  <c r="T234" i="32"/>
  <c r="AK26" i="30"/>
  <c r="C184" i="33" s="1"/>
  <c r="D184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62" i="18" s="1"/>
  <c r="O172" i="18" s="1"/>
  <c r="O215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62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2" s="1"/>
  <c r="C43" i="15"/>
  <c r="C9" i="32" s="1"/>
  <c r="Q172" i="18" l="1"/>
  <c r="Q215" i="18" s="1"/>
  <c r="N201" i="18"/>
  <c r="N162" i="18"/>
  <c r="N172" i="18" s="1"/>
  <c r="N215" i="18" s="1"/>
  <c r="S5" i="22" s="1"/>
  <c r="P201" i="18"/>
  <c r="P162" i="18"/>
  <c r="P172" i="18" s="1"/>
  <c r="P215" i="18" s="1"/>
  <c r="U5" i="22" s="1"/>
  <c r="M201" i="18"/>
  <c r="M162" i="18"/>
  <c r="M172" i="18" s="1"/>
  <c r="M215" i="18" s="1"/>
  <c r="R172" i="18"/>
  <c r="R215" i="18" s="1"/>
  <c r="W5" i="22" s="1"/>
  <c r="T272" i="32"/>
  <c r="X272" i="32" s="1"/>
  <c r="J142" i="32" s="1"/>
  <c r="C220" i="33" s="1"/>
  <c r="X234" i="32"/>
  <c r="C185" i="33"/>
  <c r="D185" i="33" s="1"/>
  <c r="D183" i="33" s="1"/>
  <c r="F84" i="31"/>
  <c r="F83" i="31"/>
  <c r="Q201" i="18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I5" i="22"/>
  <c r="R5" i="22"/>
  <c r="H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192" i="33"/>
  <c r="C276" i="33" s="1"/>
  <c r="B115" i="31"/>
  <c r="B126" i="31" s="1"/>
  <c r="B167" i="32"/>
  <c r="J167" i="32" s="1"/>
  <c r="X237" i="32"/>
  <c r="C307" i="33"/>
  <c r="D235" i="33"/>
  <c r="D236" i="33" s="1"/>
  <c r="D276" i="33"/>
  <c r="BR29" i="23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D285" i="33"/>
  <c r="D287" i="33"/>
  <c r="C142" i="33"/>
  <c r="D142" i="33" s="1"/>
  <c r="D119" i="31"/>
  <c r="B122" i="3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B128" i="31" l="1"/>
  <c r="B130" i="31" s="1"/>
  <c r="C243" i="33"/>
  <c r="D243" i="33" s="1"/>
  <c r="Z237" i="32"/>
  <c r="AA237" i="32" s="1"/>
  <c r="C235" i="33"/>
  <c r="C236" i="33" s="1"/>
  <c r="J170" i="32"/>
  <c r="C290" i="33"/>
  <c r="C292" i="33" s="1"/>
  <c r="C293" i="33"/>
  <c r="D290" i="33"/>
  <c r="D292" i="33" s="1"/>
  <c r="D293" i="33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C294" i="33" l="1"/>
  <c r="AB237" i="32"/>
  <c r="AC237" i="32" s="1"/>
  <c r="AF237" i="32" s="1"/>
  <c r="B178" i="32" s="1"/>
  <c r="C240" i="33" s="1"/>
  <c r="C244" i="33"/>
  <c r="D244" i="33" s="1"/>
  <c r="D294" i="33"/>
  <c r="K27" i="23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J40" i="32" s="1"/>
  <c r="AE40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211" i="33" l="1"/>
  <c r="C154" i="33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<sst xmlns="http://schemas.openxmlformats.org/spreadsheetml/2006/main" count="3044" uniqueCount="1475">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</sst>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0" borderId="0" xfId="0" pivotButton="1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5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36.866468378209134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126.76622681675089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0.44728635379061377</v>
      </c>
      <c r="J5" s="142">
        <f>CdTrp1!E215+CdTrp2!E215+CdTrp3!E215+CdTrp4!E215</f>
        <v>2.0876563364620941</v>
      </c>
      <c r="K5" s="142">
        <f>CdTrp1!F215+CdTrp2!F215+CdTrp3!F215+CdTrp4!F215</f>
        <v>2.3071189873646221</v>
      </c>
      <c r="L5" s="142">
        <f>CdTrp1!G215+CdTrp2!G215+CdTrp3!G215+CdTrp4!G215</f>
        <v>2.3128513797833938</v>
      </c>
      <c r="M5" s="142">
        <f>CdTrp1!H215+CdTrp2!H215+CdTrp3!H215+CdTrp4!H215</f>
        <v>2.2437907472924188</v>
      </c>
      <c r="N5" s="142">
        <f>CdTrp1!I215+CdTrp2!I215+CdTrp3!I215+CdTrp4!I215</f>
        <v>3.7520582490974732</v>
      </c>
      <c r="O5" s="142">
        <f>CdTrp1!J215+CdTrp2!J215+CdTrp3!J215+CdTrp4!J215</f>
        <v>6.2239158844765354</v>
      </c>
      <c r="P5" s="142">
        <f>CdTrp1!K215+CdTrp2!K215+CdTrp3!K215+CdTrp4!K215</f>
        <v>7.0950429227436835</v>
      </c>
      <c r="Q5" s="142">
        <f>CdTrp1!L215+CdTrp2!L215+CdTrp3!L215+CdTrp4!L215</f>
        <v>4.3833428447653437</v>
      </c>
      <c r="R5" s="142">
        <f>CdTrp1!M215+CdTrp2!M215+CdTrp3!M215+CdTrp4!M215</f>
        <v>4.3833428447653437</v>
      </c>
      <c r="S5" s="142">
        <f>CdTrp1!N215+CdTrp2!N215+CdTrp3!N215+CdTrp4!N215</f>
        <v>4.5000161133574004</v>
      </c>
      <c r="T5" s="142">
        <f>CdTrp1!O215+CdTrp2!O215+CdTrp3!O215+CdTrp4!O215</f>
        <v>4.5000161133574004</v>
      </c>
      <c r="U5" s="142">
        <f>CdTrp1!P215+CdTrp2!P215+CdTrp3!P215+CdTrp4!P215</f>
        <v>4.5000161133574004</v>
      </c>
      <c r="V5" s="142">
        <f>CdTrp1!Q215+CdTrp2!Q215+CdTrp3!Q215+CdTrp4!Q215</f>
        <v>4.5000161133574004</v>
      </c>
      <c r="W5" s="142">
        <f>CdTrp1!R215+CdTrp2!R215+CdTrp3!R215+CdTrp4!R215</f>
        <v>4.9769763465703978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70.794534896750918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126.8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0.44728635379061377</v>
      </c>
      <c r="J8" s="142">
        <f t="shared" si="0"/>
        <v>2.0876563364620941</v>
      </c>
      <c r="K8" s="142">
        <f t="shared" si="0"/>
        <v>2.3071189873646221</v>
      </c>
      <c r="L8" s="142">
        <f t="shared" si="0"/>
        <v>2.3128513797833938</v>
      </c>
      <c r="M8" s="142">
        <f t="shared" si="0"/>
        <v>2.2437907472924188</v>
      </c>
      <c r="N8" s="142">
        <f t="shared" si="0"/>
        <v>3.7520582490974732</v>
      </c>
      <c r="O8" s="142">
        <f t="shared" si="0"/>
        <v>6.2239158844765354</v>
      </c>
      <c r="P8" s="142">
        <f t="shared" si="0"/>
        <v>7.0950429227436835</v>
      </c>
      <c r="Q8" s="142">
        <f t="shared" si="0"/>
        <v>4.3833428447653437</v>
      </c>
      <c r="R8" s="142">
        <f t="shared" si="0"/>
        <v>4.3833428447653437</v>
      </c>
      <c r="S8" s="142">
        <f t="shared" si="0"/>
        <v>4.5000161133574004</v>
      </c>
      <c r="T8" s="142">
        <f t="shared" si="0"/>
        <v>4.5000161133574004</v>
      </c>
      <c r="U8" s="142">
        <f t="shared" si="0"/>
        <v>4.5000161133574004</v>
      </c>
      <c r="V8" s="142">
        <f t="shared" si="0"/>
        <v>4.5000161133574004</v>
      </c>
      <c r="W8" s="142">
        <f t="shared" si="0"/>
        <v>4.9769763465703978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70.794534896750918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0</v>
      </c>
      <c r="S9" s="142">
        <f>CdTrp1!N218+CdTrp2!N218+CdTrp3!N218+CdTrp4!N218</f>
        <v>0</v>
      </c>
      <c r="T9" s="142">
        <f>CdTrp1!O218+CdTrp2!O218+CdTrp3!O218+CdTrp4!O218</f>
        <v>0</v>
      </c>
      <c r="U9" s="142">
        <f>CdTrp1!P218+CdTrp2!P218+CdTrp3!P218+CdTrp4!P218</f>
        <v>0</v>
      </c>
      <c r="V9" s="142">
        <f>CdTrp1!Q218+CdTrp2!Q218+CdTrp3!Q218+CdTrp4!Q218</f>
        <v>0</v>
      </c>
      <c r="W9" s="142">
        <f>CdTrp1!R218+CdTrp2!R218+CdTrp3!R218+CdTrp4!R218</f>
        <v>0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0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R11" sqref="R11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40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AA2" s="139"/>
      <c r="AS2" s="288" t="s">
        <v>249</v>
      </c>
      <c r="AT2" s="288"/>
      <c r="AU2" s="287" t="s">
        <v>250</v>
      </c>
      <c r="AV2" s="287"/>
      <c r="AW2" s="287" t="s">
        <v>251</v>
      </c>
      <c r="AX2" s="287"/>
      <c r="AY2" s="287" t="s">
        <v>252</v>
      </c>
      <c r="AZ2" s="287"/>
      <c r="BA2" s="287" t="s">
        <v>253</v>
      </c>
      <c r="BB2" s="287"/>
      <c r="BC2" s="287" t="s">
        <v>254</v>
      </c>
      <c r="BD2" s="287"/>
      <c r="BE2" s="287" t="s">
        <v>255</v>
      </c>
      <c r="BF2" s="287"/>
      <c r="BG2" s="287" t="s">
        <v>256</v>
      </c>
      <c r="BH2" s="287"/>
      <c r="BI2" s="287" t="s">
        <v>257</v>
      </c>
      <c r="BJ2" s="287"/>
      <c r="BK2" s="287" t="s">
        <v>258</v>
      </c>
      <c r="BL2" s="287"/>
      <c r="BM2" s="287" t="s">
        <v>259</v>
      </c>
      <c r="BN2" s="287"/>
      <c r="BO2" s="287" t="s">
        <v>260</v>
      </c>
      <c r="BP2" s="287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0.44728635379061377</v>
      </c>
      <c r="AV5" s="13">
        <f>'Conduite Trp'!J8</f>
        <v>2.0876563364620941</v>
      </c>
      <c r="AW5" s="13">
        <f>'Conduite Trp'!K8</f>
        <v>2.3071189873646221</v>
      </c>
      <c r="AX5" s="13">
        <f>'Conduite Trp'!L8</f>
        <v>2.3128513797833938</v>
      </c>
      <c r="AY5" s="13">
        <f>'Conduite Trp'!M8</f>
        <v>2.2437907472924188</v>
      </c>
      <c r="AZ5" s="13">
        <f>'Conduite Trp'!N8</f>
        <v>3.7520582490974732</v>
      </c>
      <c r="BA5" s="13">
        <f>'Conduite Trp'!O8</f>
        <v>6.2239158844765354</v>
      </c>
      <c r="BB5" s="13">
        <f>'Conduite Trp'!P8</f>
        <v>7.0950429227436835</v>
      </c>
      <c r="BC5" s="13">
        <f>'Conduite Trp'!Q8</f>
        <v>4.3833428447653437</v>
      </c>
      <c r="BD5" s="13">
        <f>'Conduite Trp'!R8</f>
        <v>4.3833428447653437</v>
      </c>
      <c r="BE5" s="13">
        <f>'Conduite Trp'!S8</f>
        <v>4.5000161133574004</v>
      </c>
      <c r="BF5" s="13">
        <f>'Conduite Trp'!T8</f>
        <v>4.5000161133574004</v>
      </c>
      <c r="BG5" s="13">
        <f>'Conduite Trp'!U8</f>
        <v>4.5000161133574004</v>
      </c>
      <c r="BH5" s="13">
        <f>'Conduite Trp'!V8</f>
        <v>4.5000161133574004</v>
      </c>
      <c r="BI5" s="13">
        <f>'Conduite Trp'!W8</f>
        <v>4.9769763465703978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285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/>
      <c r="S7" s="286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0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2.2437907472924188</v>
      </c>
      <c r="AZ7" s="61">
        <f t="shared" si="7"/>
        <v>3.7520582490974732</v>
      </c>
      <c r="BA7" s="61">
        <f t="shared" si="7"/>
        <v>6.2239158844765354</v>
      </c>
      <c r="BB7" s="61">
        <f t="shared" si="7"/>
        <v>7.0950429227436835</v>
      </c>
      <c r="BC7" s="61">
        <f t="shared" si="7"/>
        <v>4.3833428447653437</v>
      </c>
      <c r="BD7" s="61">
        <f t="shared" si="7"/>
        <v>4.3833428447653437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28.081493493140801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36.866468378209134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/>
      <c r="S8" s="286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0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4.5000161133574004</v>
      </c>
      <c r="BF8" s="61">
        <f t="shared" si="8"/>
        <v>4.5000161133574004</v>
      </c>
      <c r="BG8" s="61">
        <f t="shared" si="8"/>
        <v>4.5000161133574004</v>
      </c>
      <c r="BH8" s="61">
        <f t="shared" si="8"/>
        <v>4.5000161133574004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18.000064453429601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36.866468378209134</v>
      </c>
      <c r="G9" s="81"/>
      <c r="H9" s="61">
        <f>SUM(L34:L43)</f>
        <v>3.9000000000000004</v>
      </c>
      <c r="I9" s="81"/>
      <c r="J9" s="81"/>
      <c r="K9" s="93">
        <f>H9-F9</f>
        <v>-32.966468378209136</v>
      </c>
      <c r="L9" s="81"/>
      <c r="M9" s="100"/>
      <c r="P9">
        <v>3</v>
      </c>
      <c r="Q9" s="39">
        <v>285</v>
      </c>
      <c r="R9" s="39">
        <v>1.5</v>
      </c>
      <c r="S9" s="286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4.9769763465703978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17.558063892779781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3.5</v>
      </c>
      <c r="S10" s="286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8.75</v>
      </c>
      <c r="AF10" s="61">
        <f t="shared" si="1"/>
        <v>0</v>
      </c>
      <c r="AG10" s="61">
        <f t="shared" si="2"/>
        <v>4.375</v>
      </c>
      <c r="AH10" s="61">
        <f t="shared" si="3"/>
        <v>0.35000000000000003</v>
      </c>
      <c r="AI10" s="61">
        <f t="shared" si="4"/>
        <v>0.875</v>
      </c>
      <c r="AJ10" s="61">
        <f t="shared" si="5"/>
        <v>0</v>
      </c>
      <c r="AK10" s="140"/>
      <c r="AL10" s="61">
        <f t="shared" si="6"/>
        <v>12.25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0.44728635379061377</v>
      </c>
      <c r="AV10" s="61">
        <f t="shared" si="11"/>
        <v>2.0876563364620941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2.5349426902527079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296</v>
      </c>
      <c r="R11" s="39">
        <v>4.5</v>
      </c>
      <c r="S11" s="286" t="str">
        <f>VLOOKUP($Q11,[1]MEP!$A$5:$D$300,3)</f>
        <v>PP excellente P étalé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3.5</v>
      </c>
      <c r="W11" s="76">
        <f>VLOOKUP($Q11,[1]MEP!$A$4:$K$300,6)</f>
        <v>2</v>
      </c>
      <c r="X11" s="76">
        <f>VLOOKUP($Q11,[1]MEP!$A$4:$K$300,7)</f>
        <v>1.5</v>
      </c>
      <c r="Y11" s="76">
        <f>VLOOKUP($Q11,[1]MEP!$A$4:$K$300,8)</f>
        <v>1</v>
      </c>
      <c r="Z11" s="76">
        <f>VLOOKUP($Q11,[1]MEP!$A$4:$K$300,9)</f>
        <v>1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15.75</v>
      </c>
      <c r="AF11" s="61">
        <f t="shared" si="1"/>
        <v>9</v>
      </c>
      <c r="AG11" s="61">
        <f t="shared" si="2"/>
        <v>6.75</v>
      </c>
      <c r="AH11" s="61">
        <f t="shared" si="3"/>
        <v>4.5</v>
      </c>
      <c r="AI11" s="61">
        <f t="shared" si="4"/>
        <v>4.5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2.3071189873646221</v>
      </c>
      <c r="AX11" s="61">
        <f t="shared" si="12"/>
        <v>2.3128513797833938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4.6199703671480155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236</v>
      </c>
      <c r="R12" s="39">
        <v>5</v>
      </c>
      <c r="S12" s="286" t="str">
        <f>VLOOKUP($Q12,[1]MEP!$A$5:$D$300,3)</f>
        <v>PP bonne 1 coupe Prtps sans P prtps</v>
      </c>
      <c r="T12" s="76" t="str">
        <f>VLOOKUP($Q12,[1]MEP!$A$5:$D$300,4)</f>
        <v>zone 2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1.423</v>
      </c>
      <c r="X12" s="76">
        <f>VLOOKUP($Q12,[1]MEP!$A$4:$K$300,7)</f>
        <v>0.85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3.27</v>
      </c>
      <c r="AE12" s="61">
        <f t="shared" si="0"/>
        <v>0</v>
      </c>
      <c r="AF12" s="61">
        <f t="shared" si="1"/>
        <v>7.1150000000000002</v>
      </c>
      <c r="AG12" s="61">
        <f t="shared" si="2"/>
        <v>4.25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16.350000000000001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28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8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28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0.44728635379061377</v>
      </c>
      <c r="AV15" s="13">
        <f>'Conduite Trp'!J5</f>
        <v>2.0876563364620941</v>
      </c>
      <c r="AW15" s="13">
        <f>'Conduite Trp'!K5</f>
        <v>2.3071189873646221</v>
      </c>
      <c r="AX15" s="13">
        <f>'Conduite Trp'!L5</f>
        <v>2.3128513797833938</v>
      </c>
      <c r="AY15" s="13">
        <f>'Conduite Trp'!M5</f>
        <v>2.2437907472924188</v>
      </c>
      <c r="AZ15" s="13">
        <f>'Conduite Trp'!N5</f>
        <v>3.7520582490974732</v>
      </c>
      <c r="BA15" s="13">
        <f>'Conduite Trp'!O5</f>
        <v>6.2239158844765354</v>
      </c>
      <c r="BB15" s="13">
        <f>'Conduite Trp'!P5</f>
        <v>7.0950429227436835</v>
      </c>
      <c r="BC15" s="13">
        <f>'Conduite Trp'!Q5</f>
        <v>4.3833428447653437</v>
      </c>
      <c r="BD15" s="13">
        <f>'Conduite Trp'!R5</f>
        <v>4.3833428447653437</v>
      </c>
      <c r="BE15" s="13">
        <f>'Conduite Trp'!S5</f>
        <v>4.5000161133574004</v>
      </c>
      <c r="BF15" s="13">
        <f>'Conduite Trp'!T5</f>
        <v>4.5000161133574004</v>
      </c>
      <c r="BG15" s="13">
        <f>'Conduite Trp'!U5</f>
        <v>4.5000161133574004</v>
      </c>
      <c r="BH15" s="13">
        <f>'Conduite Trp'!V5</f>
        <v>4.5000161133574004</v>
      </c>
      <c r="BI15" s="13">
        <f>'Conduite Trp'!W5</f>
        <v>4.9769763465703978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2.2437907472924188</v>
      </c>
      <c r="AZ19" s="61">
        <f t="shared" si="15"/>
        <v>3.7520582490974732</v>
      </c>
      <c r="BA19" s="61">
        <f t="shared" si="15"/>
        <v>6.2239158844765354</v>
      </c>
      <c r="BB19" s="61">
        <f t="shared" si="15"/>
        <v>7.0950429227436835</v>
      </c>
      <c r="BC19" s="61">
        <f t="shared" si="15"/>
        <v>4.3833428447653437</v>
      </c>
      <c r="BD19" s="61">
        <f t="shared" si="15"/>
        <v>4.3833428447653437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28.081493493140801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28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4.5000161133574004</v>
      </c>
      <c r="BF20" s="61">
        <f t="shared" si="16"/>
        <v>4.5000161133574004</v>
      </c>
      <c r="BG20" s="61">
        <f t="shared" si="16"/>
        <v>4.5000161133574004</v>
      </c>
      <c r="BH20" s="61">
        <f t="shared" si="16"/>
        <v>4.5000161133574004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18.000064453429601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8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4.9769763465703978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17.558063892779781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28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0.44728635379061377</v>
      </c>
      <c r="AV22" s="61">
        <f t="shared" si="19"/>
        <v>2.0876563364620941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2.5349426902527079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28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2.3071189873646221</v>
      </c>
      <c r="AX23" s="61">
        <f t="shared" si="20"/>
        <v>2.3128513797833938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4.6199703671480155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29</v>
      </c>
      <c r="E24" s="61">
        <f t="shared" si="21"/>
        <v>18.365000000000002</v>
      </c>
      <c r="F24" s="61">
        <f t="shared" si="21"/>
        <v>18.375</v>
      </c>
      <c r="G24" s="61">
        <f t="shared" si="21"/>
        <v>4.8499999999999996</v>
      </c>
      <c r="H24" s="61">
        <f t="shared" si="21"/>
        <v>5.375</v>
      </c>
      <c r="I24" s="61">
        <f t="shared" si="21"/>
        <v>0</v>
      </c>
      <c r="J24" s="63"/>
      <c r="K24" s="61">
        <f>AL27+AL49+AL71</f>
        <v>53.1</v>
      </c>
      <c r="L24" s="52"/>
      <c r="M24" s="100"/>
      <c r="P24">
        <v>18</v>
      </c>
      <c r="Q24" s="39"/>
      <c r="R24" s="39"/>
      <c r="S24" s="28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28.081493493140801</v>
      </c>
      <c r="E25" s="61">
        <f>BR8</f>
        <v>18.000064453429601</v>
      </c>
      <c r="F25" s="61">
        <f>BR9</f>
        <v>17.558063892779781</v>
      </c>
      <c r="G25" s="61">
        <f>BR10</f>
        <v>2.5349426902527079</v>
      </c>
      <c r="H25" s="61">
        <f>BR11</f>
        <v>4.6199703671480155</v>
      </c>
      <c r="I25" s="61">
        <f>BR12</f>
        <v>0</v>
      </c>
      <c r="J25" s="63"/>
      <c r="K25" s="76">
        <f>'Conduite Trp'!C7</f>
        <v>126.8</v>
      </c>
      <c r="L25" s="63"/>
      <c r="M25" s="100"/>
      <c r="P25">
        <v>19</v>
      </c>
      <c r="Q25" s="39"/>
      <c r="R25" s="39"/>
      <c r="S25" s="28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0.91850650685919888</v>
      </c>
      <c r="E27" s="93">
        <f t="shared" si="23"/>
        <v>0.3649355465704005</v>
      </c>
      <c r="F27" s="93">
        <f t="shared" si="23"/>
        <v>0.81693610722021859</v>
      </c>
      <c r="G27" s="93">
        <f t="shared" si="23"/>
        <v>2.3150573097472917</v>
      </c>
      <c r="H27" s="93">
        <f t="shared" si="23"/>
        <v>0.75502963285198454</v>
      </c>
      <c r="I27" s="93">
        <f t="shared" si="23"/>
        <v>0</v>
      </c>
      <c r="J27" s="63"/>
      <c r="K27" s="93">
        <f>K24-K25</f>
        <v>-73.699999999999989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29</v>
      </c>
      <c r="AF27" s="75">
        <f t="shared" ref="AF27:AJ27" si="24">SUM(AF7:AF26)</f>
        <v>18.365000000000002</v>
      </c>
      <c r="AG27" s="75">
        <f t="shared" si="24"/>
        <v>18.375</v>
      </c>
      <c r="AH27" s="75">
        <f t="shared" si="24"/>
        <v>4.8499999999999996</v>
      </c>
      <c r="AI27" s="75">
        <f t="shared" si="24"/>
        <v>5.375</v>
      </c>
      <c r="AJ27" s="75">
        <f t="shared" si="24"/>
        <v>0</v>
      </c>
      <c r="AK27"/>
      <c r="AL27" s="75">
        <f>SUM(AL7:AL26)</f>
        <v>28.6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28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28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28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7" t="s">
        <v>275</v>
      </c>
      <c r="G32" s="287"/>
      <c r="H32" s="82"/>
      <c r="I32" s="68" t="s">
        <v>279</v>
      </c>
      <c r="J32" s="82" t="s">
        <v>279</v>
      </c>
      <c r="K32" s="287" t="s">
        <v>277</v>
      </c>
      <c r="L32" s="287"/>
      <c r="M32" s="82"/>
      <c r="P32">
        <v>4</v>
      </c>
      <c r="Q32" s="39"/>
      <c r="R32" s="39"/>
      <c r="S32" s="28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8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28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28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28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28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28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8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28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29</v>
      </c>
      <c r="E72" s="61">
        <f t="shared" ref="E72:H72" si="69">AF27</f>
        <v>18.365000000000002</v>
      </c>
      <c r="F72" s="61">
        <f t="shared" si="69"/>
        <v>18.375</v>
      </c>
      <c r="G72" s="61">
        <f t="shared" si="69"/>
        <v>4.8499999999999996</v>
      </c>
      <c r="H72" s="61">
        <f t="shared" si="69"/>
        <v>5.375</v>
      </c>
      <c r="I72" s="61">
        <f t="shared" ref="I72" si="70">AJ75+AJ97+AJ119</f>
        <v>0</v>
      </c>
      <c r="J72" s="63"/>
      <c r="K72" s="61">
        <f>+K24</f>
        <v>53.1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28.081493493140801</v>
      </c>
      <c r="E73" s="61">
        <f>BR20</f>
        <v>18.000064453429601</v>
      </c>
      <c r="F73" s="61">
        <f>BR21</f>
        <v>17.558063892779781</v>
      </c>
      <c r="G73" s="61">
        <f>BR22</f>
        <v>2.5349426902527079</v>
      </c>
      <c r="H73" s="61">
        <f>BR23</f>
        <v>4.6199703671480155</v>
      </c>
      <c r="I73" s="61">
        <f>BR60</f>
        <v>0</v>
      </c>
      <c r="J73" s="63"/>
      <c r="K73" s="76">
        <f>+K25</f>
        <v>126.8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0.91850650685919888</v>
      </c>
      <c r="E75" s="93">
        <f t="shared" ref="E75:I75" si="71">E72-E73</f>
        <v>0.3649355465704005</v>
      </c>
      <c r="F75" s="93">
        <f t="shared" si="71"/>
        <v>0.81693610722021859</v>
      </c>
      <c r="G75" s="93">
        <f t="shared" si="71"/>
        <v>2.3150573097472917</v>
      </c>
      <c r="H75" s="93">
        <f t="shared" si="71"/>
        <v>0.75502963285198454</v>
      </c>
      <c r="I75" s="93">
        <f t="shared" si="71"/>
        <v>0</v>
      </c>
      <c r="J75" s="63"/>
      <c r="K75" s="93">
        <f>+K27</f>
        <v>-73.699999999999989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3" t="s">
        <v>1472</v>
      </c>
      <c r="B3" s="283" t="s">
        <v>1468</v>
      </c>
    </row>
    <row r="4" spans="1:5" x14ac:dyDescent="0.25">
      <c r="A4" s="283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4"/>
      <c r="C5" s="284">
        <v>1.3</v>
      </c>
      <c r="D5" s="284"/>
      <c r="E5" s="284">
        <v>1.3</v>
      </c>
    </row>
    <row r="6" spans="1:5" x14ac:dyDescent="0.25">
      <c r="A6" s="15">
        <v>215</v>
      </c>
      <c r="B6" s="284"/>
      <c r="C6" s="284">
        <v>0</v>
      </c>
      <c r="D6" s="284"/>
      <c r="E6" s="284">
        <v>0</v>
      </c>
    </row>
    <row r="7" spans="1:5" x14ac:dyDescent="0.25">
      <c r="A7" s="15">
        <v>277</v>
      </c>
      <c r="B7" s="284">
        <v>2.5</v>
      </c>
      <c r="C7" s="284"/>
      <c r="D7" s="284"/>
      <c r="E7" s="284">
        <v>2.5</v>
      </c>
    </row>
    <row r="8" spans="1:5" x14ac:dyDescent="0.25">
      <c r="A8" s="15">
        <v>285</v>
      </c>
      <c r="B8" s="284"/>
      <c r="C8" s="284">
        <v>1.5</v>
      </c>
      <c r="D8" s="284"/>
      <c r="E8" s="284">
        <v>1.5</v>
      </c>
    </row>
    <row r="9" spans="1:5" x14ac:dyDescent="0.25">
      <c r="A9" s="15">
        <v>286</v>
      </c>
      <c r="B9" s="284"/>
      <c r="C9" s="284">
        <v>5</v>
      </c>
      <c r="D9" s="284"/>
      <c r="E9" s="284">
        <v>5</v>
      </c>
    </row>
    <row r="10" spans="1:5" x14ac:dyDescent="0.25">
      <c r="A10" s="15" t="s">
        <v>1469</v>
      </c>
      <c r="B10" s="284"/>
      <c r="C10" s="284"/>
      <c r="D10" s="284"/>
      <c r="E10" s="284"/>
    </row>
    <row r="11" spans="1:5" x14ac:dyDescent="0.25">
      <c r="A11" s="15">
        <v>279</v>
      </c>
      <c r="B11" s="284"/>
      <c r="C11" s="284">
        <v>4</v>
      </c>
      <c r="D11" s="284"/>
      <c r="E11" s="284">
        <v>4</v>
      </c>
    </row>
    <row r="12" spans="1:5" x14ac:dyDescent="0.25">
      <c r="A12" s="15">
        <v>292</v>
      </c>
      <c r="B12" s="284"/>
      <c r="C12" s="284">
        <v>4</v>
      </c>
      <c r="D12" s="284"/>
      <c r="E12" s="284">
        <v>4</v>
      </c>
    </row>
    <row r="13" spans="1:5" x14ac:dyDescent="0.25">
      <c r="A13" s="15" t="s">
        <v>1470</v>
      </c>
      <c r="B13" s="284">
        <v>2.5</v>
      </c>
      <c r="C13" s="284">
        <v>15.8</v>
      </c>
      <c r="D13" s="284"/>
      <c r="E13" s="284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7" t="s">
        <v>2</v>
      </c>
      <c r="C2" s="287"/>
      <c r="D2" s="287" t="s">
        <v>0</v>
      </c>
      <c r="E2" s="287"/>
      <c r="F2" s="287" t="s">
        <v>1</v>
      </c>
      <c r="G2" s="287"/>
      <c r="H2" s="287" t="s">
        <v>3</v>
      </c>
      <c r="I2" s="287"/>
      <c r="J2" s="287" t="s">
        <v>4</v>
      </c>
      <c r="K2" s="287"/>
      <c r="L2" s="287" t="s">
        <v>5</v>
      </c>
      <c r="M2" s="287"/>
      <c r="N2" s="287" t="s">
        <v>6</v>
      </c>
      <c r="O2" s="287"/>
      <c r="P2" s="287" t="s">
        <v>7</v>
      </c>
      <c r="Q2" s="287"/>
      <c r="R2" s="287" t="s">
        <v>8</v>
      </c>
      <c r="S2" s="287"/>
      <c r="T2" s="287" t="s">
        <v>9</v>
      </c>
      <c r="U2" s="287"/>
      <c r="V2" s="287" t="s">
        <v>10</v>
      </c>
      <c r="W2" s="287"/>
      <c r="X2" s="287" t="s">
        <v>11</v>
      </c>
      <c r="Y2" s="287"/>
      <c r="Z2" s="156"/>
      <c r="AA2" s="156"/>
      <c r="AB2" s="156"/>
      <c r="AC2" s="156"/>
      <c r="AD2" s="156"/>
      <c r="AE2" s="156"/>
      <c r="AH2" s="287" t="s">
        <v>2</v>
      </c>
      <c r="AI2" s="287"/>
      <c r="AJ2" s="287" t="s">
        <v>0</v>
      </c>
      <c r="AK2" s="287"/>
      <c r="AL2" s="287" t="s">
        <v>1</v>
      </c>
      <c r="AM2" s="287"/>
      <c r="AN2" s="287" t="s">
        <v>3</v>
      </c>
      <c r="AO2" s="287"/>
      <c r="AP2" s="287" t="s">
        <v>4</v>
      </c>
      <c r="AQ2" s="287"/>
      <c r="AR2" s="287" t="s">
        <v>5</v>
      </c>
      <c r="AS2" s="287"/>
      <c r="AT2" s="287" t="s">
        <v>6</v>
      </c>
      <c r="AU2" s="287"/>
      <c r="AV2" s="287" t="s">
        <v>7</v>
      </c>
      <c r="AW2" s="287"/>
      <c r="AX2" s="287" t="s">
        <v>8</v>
      </c>
      <c r="AY2" s="287"/>
      <c r="AZ2" s="287" t="s">
        <v>9</v>
      </c>
      <c r="BA2" s="287"/>
      <c r="BB2" s="287" t="s">
        <v>10</v>
      </c>
      <c r="BC2" s="287"/>
      <c r="BD2" s="287" t="s">
        <v>11</v>
      </c>
      <c r="BE2" s="287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7" t="s">
        <v>2</v>
      </c>
      <c r="C43" s="287"/>
      <c r="D43" s="287" t="s">
        <v>0</v>
      </c>
      <c r="E43" s="287"/>
      <c r="F43" s="287" t="s">
        <v>1</v>
      </c>
      <c r="G43" s="287"/>
      <c r="H43" s="287" t="s">
        <v>3</v>
      </c>
      <c r="I43" s="287"/>
      <c r="J43" s="287" t="s">
        <v>4</v>
      </c>
      <c r="K43" s="287"/>
      <c r="L43" s="287" t="s">
        <v>5</v>
      </c>
      <c r="M43" s="287"/>
      <c r="N43" s="287" t="s">
        <v>6</v>
      </c>
      <c r="O43" s="287"/>
      <c r="P43" s="287" t="s">
        <v>7</v>
      </c>
      <c r="Q43" s="287"/>
      <c r="R43" s="287" t="s">
        <v>8</v>
      </c>
      <c r="S43" s="287"/>
      <c r="T43" s="287" t="s">
        <v>9</v>
      </c>
      <c r="U43" s="287"/>
      <c r="V43" s="287" t="s">
        <v>10</v>
      </c>
      <c r="W43" s="287"/>
      <c r="X43" s="287" t="s">
        <v>11</v>
      </c>
      <c r="Y43" s="287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89" zoomScale="80" zoomScaleNormal="80" workbookViewId="0">
      <selection activeCell="K94" sqref="K9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11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2.5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/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576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/>
      <c r="P58" t="s">
        <v>581</v>
      </c>
    </row>
    <row r="59" spans="10:132" x14ac:dyDescent="0.25">
      <c r="J59" s="14" t="s">
        <v>1473</v>
      </c>
      <c r="K59" s="1">
        <v>1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605</v>
      </c>
    </row>
    <row r="77" spans="10:22" x14ac:dyDescent="0.25">
      <c r="J77" s="14" t="s">
        <v>606</v>
      </c>
      <c r="K77" s="80"/>
      <c r="R77">
        <v>2</v>
      </c>
      <c r="U77" s="13">
        <v>2</v>
      </c>
      <c r="V77" s="13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>
        <v>1</v>
      </c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3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>
        <v>1</v>
      </c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/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/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640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640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>
        <v>1</v>
      </c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0</v>
      </c>
      <c r="T164" s="168">
        <f>VLOOKUP($R164,[1]MEP!$A$4:$M$300,13)</f>
        <v>2</v>
      </c>
      <c r="U164" s="168">
        <f>IF($T164&gt;0,$S164,0)</f>
        <v>0</v>
      </c>
      <c r="V164" s="168">
        <f>IF($T164&gt;1,$S164,0)</f>
        <v>0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0</v>
      </c>
      <c r="T165" s="168">
        <f>VLOOKUP(R165,[1]MEP!$A$4:$M$300,13)</f>
        <v>1</v>
      </c>
      <c r="U165" s="168">
        <f t="shared" ref="U165:U207" si="10">IF($T165&gt;0,$S165,0)</f>
        <v>0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0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0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3.5</v>
      </c>
      <c r="T167" s="168">
        <f>VLOOKUP(R167,[1]MEP!$A$4:$M$300,13)</f>
        <v>1</v>
      </c>
      <c r="U167" s="168">
        <f t="shared" si="10"/>
        <v>3.5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3.5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3.5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296</v>
      </c>
      <c r="S168" s="168">
        <f>'Alim -Surf'!R11</f>
        <v>4.5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4.5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4.5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236</v>
      </c>
      <c r="S169" s="168">
        <f>'Alim -Surf'!R12</f>
        <v>5</v>
      </c>
      <c r="T169" s="168">
        <f>VLOOKUP(R169,[1]MEP!$A$4:$M$300,13)</f>
        <v>1</v>
      </c>
      <c r="U169" s="168">
        <f t="shared" si="10"/>
        <v>5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5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5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11</v>
      </c>
      <c r="V228" s="62">
        <f t="shared" ref="V228:W228" si="22">SUM(V164:V227)</f>
        <v>2.5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6</v>
      </c>
      <c r="AI228" s="62">
        <f t="shared" si="24"/>
        <v>8.5</v>
      </c>
      <c r="AJ228" s="62">
        <f t="shared" si="24"/>
        <v>2.5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R83" sqref="R8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1</v>
      </c>
      <c r="F2" s="172">
        <f t="shared" si="0"/>
        <v>2</v>
      </c>
      <c r="G2" s="172">
        <f t="shared" si="0"/>
        <v>2</v>
      </c>
      <c r="H2" s="172">
        <f t="shared" si="0"/>
        <v>2</v>
      </c>
      <c r="I2" s="172">
        <f t="shared" si="0"/>
        <v>2</v>
      </c>
      <c r="J2" s="172">
        <f t="shared" si="0"/>
        <v>2</v>
      </c>
      <c r="K2" s="172">
        <f t="shared" si="0"/>
        <v>2</v>
      </c>
      <c r="L2" s="172">
        <f t="shared" si="0"/>
        <v>2</v>
      </c>
      <c r="M2" s="172">
        <f t="shared" si="0"/>
        <v>2</v>
      </c>
      <c r="N2" s="172">
        <f t="shared" si="0"/>
        <v>2</v>
      </c>
      <c r="O2" s="172">
        <f t="shared" si="0"/>
        <v>2</v>
      </c>
      <c r="P2" s="172">
        <f t="shared" si="0"/>
        <v>2</v>
      </c>
      <c r="Q2" s="172">
        <f t="shared" si="0"/>
        <v>2</v>
      </c>
      <c r="R2" s="172">
        <f t="shared" si="0"/>
        <v>2</v>
      </c>
      <c r="S2" s="172">
        <f t="shared" si="0"/>
        <v>2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1</v>
      </c>
      <c r="F3" s="172">
        <f t="shared" si="1"/>
        <v>2</v>
      </c>
      <c r="G3" s="172">
        <f t="shared" si="1"/>
        <v>2</v>
      </c>
      <c r="H3" s="172">
        <f t="shared" si="1"/>
        <v>2</v>
      </c>
      <c r="I3" s="172">
        <f t="shared" si="1"/>
        <v>2</v>
      </c>
      <c r="J3" s="172">
        <f t="shared" si="1"/>
        <v>2</v>
      </c>
      <c r="K3" s="172">
        <f t="shared" si="1"/>
        <v>2</v>
      </c>
      <c r="L3" s="172">
        <f t="shared" si="1"/>
        <v>2</v>
      </c>
      <c r="M3" s="172">
        <f t="shared" si="1"/>
        <v>2</v>
      </c>
      <c r="N3" s="172">
        <f t="shared" si="1"/>
        <v>2</v>
      </c>
      <c r="O3" s="172">
        <f t="shared" si="1"/>
        <v>2</v>
      </c>
      <c r="P3" s="172">
        <f t="shared" si="1"/>
        <v>2</v>
      </c>
      <c r="Q3" s="172">
        <f t="shared" si="1"/>
        <v>2</v>
      </c>
      <c r="R3" s="172">
        <f t="shared" si="1"/>
        <v>2</v>
      </c>
      <c r="S3" s="172">
        <f t="shared" si="1"/>
        <v>2</v>
      </c>
      <c r="T3" s="172">
        <f>COUNTIF(T81:T90,1)</f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4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2</v>
      </c>
      <c r="F8" s="172">
        <f>(F3+F4)*[1]Protect!$B$12</f>
        <v>4</v>
      </c>
      <c r="G8" s="172">
        <f>(G3+G4)*[1]Protect!$B$12</f>
        <v>4</v>
      </c>
      <c r="H8" s="172">
        <f>(H3+H4)*[1]Protect!$B$12</f>
        <v>4</v>
      </c>
      <c r="I8" s="172">
        <f>(I3+I4)*[1]Protect!$B$12</f>
        <v>4</v>
      </c>
      <c r="J8" s="172">
        <f>(J3+J4)*[1]Protect!$B$12</f>
        <v>4</v>
      </c>
      <c r="K8" s="172">
        <f>(K3+K4)*[1]Protect!$B$12</f>
        <v>4</v>
      </c>
      <c r="L8" s="172">
        <f>(L3+L4)*[1]Protect!$B$12</f>
        <v>4</v>
      </c>
      <c r="M8" s="172">
        <f>(M3+M4)*[1]Protect!$B$12</f>
        <v>4</v>
      </c>
      <c r="N8" s="172">
        <f>(N3+N4)*[1]Protect!$B$12</f>
        <v>4</v>
      </c>
      <c r="O8" s="172">
        <f>(O3+O4)*[1]Protect!$B$12</f>
        <v>4</v>
      </c>
      <c r="P8" s="172">
        <f>(P3+P4)*[1]Protect!$B$12</f>
        <v>4</v>
      </c>
      <c r="Q8" s="172">
        <f>(Q3+Q4)*[1]Protect!$B$12</f>
        <v>4</v>
      </c>
      <c r="R8" s="172">
        <f>(R3+R4)*[1]Protect!$B$12</f>
        <v>4</v>
      </c>
      <c r="S8" s="172">
        <f>(S3+S4)*[1]Protect!$B$12</f>
        <v>4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2</v>
      </c>
      <c r="F11" s="172">
        <f t="shared" si="13"/>
        <v>4</v>
      </c>
      <c r="G11" s="172">
        <f t="shared" si="13"/>
        <v>4</v>
      </c>
      <c r="H11" s="172">
        <f t="shared" si="13"/>
        <v>4</v>
      </c>
      <c r="I11" s="172">
        <f t="shared" si="13"/>
        <v>4</v>
      </c>
      <c r="J11" s="172">
        <f t="shared" si="13"/>
        <v>4</v>
      </c>
      <c r="K11" s="172">
        <f t="shared" si="13"/>
        <v>4</v>
      </c>
      <c r="L11" s="172">
        <f t="shared" si="13"/>
        <v>4</v>
      </c>
      <c r="M11" s="172">
        <f t="shared" si="13"/>
        <v>4</v>
      </c>
      <c r="N11" s="172">
        <f t="shared" si="13"/>
        <v>4</v>
      </c>
      <c r="O11" s="172">
        <f t="shared" si="13"/>
        <v>4</v>
      </c>
      <c r="P11" s="172">
        <f t="shared" si="13"/>
        <v>4</v>
      </c>
      <c r="Q11" s="172">
        <f t="shared" si="13"/>
        <v>4</v>
      </c>
      <c r="R11" s="172">
        <f t="shared" si="13"/>
        <v>4</v>
      </c>
      <c r="S11" s="172">
        <f t="shared" si="13"/>
        <v>4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2</v>
      </c>
      <c r="F13" s="172">
        <f t="shared" si="14"/>
        <v>4</v>
      </c>
      <c r="G13" s="172">
        <f t="shared" si="14"/>
        <v>4</v>
      </c>
      <c r="H13" s="172">
        <f t="shared" si="14"/>
        <v>4</v>
      </c>
      <c r="I13" s="172">
        <f t="shared" si="14"/>
        <v>4</v>
      </c>
      <c r="J13" s="172">
        <f t="shared" si="14"/>
        <v>4</v>
      </c>
      <c r="K13" s="172">
        <f t="shared" si="14"/>
        <v>4</v>
      </c>
      <c r="L13" s="172">
        <f t="shared" si="14"/>
        <v>4</v>
      </c>
      <c r="M13" s="172">
        <f t="shared" si="14"/>
        <v>4</v>
      </c>
      <c r="N13" s="172">
        <f t="shared" si="14"/>
        <v>4</v>
      </c>
      <c r="O13" s="172">
        <f t="shared" si="14"/>
        <v>4</v>
      </c>
      <c r="P13" s="172">
        <f t="shared" si="14"/>
        <v>4</v>
      </c>
      <c r="Q13" s="172">
        <f t="shared" si="14"/>
        <v>4</v>
      </c>
      <c r="R13" s="172">
        <f t="shared" si="14"/>
        <v>4</v>
      </c>
      <c r="S13" s="172">
        <f t="shared" si="14"/>
        <v>4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3</v>
      </c>
      <c r="F16" s="168">
        <f t="shared" si="16"/>
        <v>2</v>
      </c>
      <c r="G16" s="168">
        <f t="shared" si="16"/>
        <v>2</v>
      </c>
      <c r="H16" s="168">
        <f t="shared" si="16"/>
        <v>2</v>
      </c>
      <c r="I16" s="168">
        <f t="shared" si="16"/>
        <v>2</v>
      </c>
      <c r="J16" s="168">
        <f t="shared" si="16"/>
        <v>2</v>
      </c>
      <c r="K16" s="168">
        <f t="shared" si="16"/>
        <v>2</v>
      </c>
      <c r="L16" s="168">
        <f t="shared" si="16"/>
        <v>1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4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1</v>
      </c>
      <c r="F17" s="168">
        <f t="shared" si="17"/>
        <v>2</v>
      </c>
      <c r="G17" s="168">
        <f t="shared" si="17"/>
        <v>2</v>
      </c>
      <c r="H17" s="168">
        <f t="shared" si="17"/>
        <v>2</v>
      </c>
      <c r="I17" s="168">
        <f t="shared" si="17"/>
        <v>2</v>
      </c>
      <c r="J17" s="168">
        <f t="shared" si="17"/>
        <v>2</v>
      </c>
      <c r="K17" s="168">
        <f t="shared" si="17"/>
        <v>2</v>
      </c>
      <c r="L17" s="168">
        <f t="shared" si="17"/>
        <v>2</v>
      </c>
      <c r="M17" s="168">
        <f t="shared" si="17"/>
        <v>2</v>
      </c>
      <c r="N17" s="168">
        <f t="shared" si="17"/>
        <v>2</v>
      </c>
      <c r="O17" s="168">
        <f t="shared" si="17"/>
        <v>2</v>
      </c>
      <c r="P17" s="168">
        <f t="shared" si="17"/>
        <v>2</v>
      </c>
      <c r="Q17" s="168">
        <f t="shared" si="17"/>
        <v>2</v>
      </c>
      <c r="R17" s="168">
        <f t="shared" si="17"/>
        <v>2</v>
      </c>
      <c r="S17" s="168">
        <f t="shared" si="17"/>
        <v>2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0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3370</v>
      </c>
      <c r="AE20" s="64">
        <v>0</v>
      </c>
      <c r="AF20" s="64">
        <f>SUM(AD20:AE20)</f>
        <v>3370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3370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3370</v>
      </c>
      <c r="AE22" s="64">
        <f>IF(AND(LEFT(Scénario!K12,2)="OL",Troupeau!C3&lt;&gt;"",Scénario!K91=1),Protection!AP5+Protection!AP3,0)</f>
        <v>0</v>
      </c>
      <c r="AF22" s="64">
        <f>SUM(AD22:AE22)</f>
        <v>3370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3370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14.5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0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0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0</v>
      </c>
      <c r="AY50" s="177">
        <f>IF(CdTrp1!E78=1,1,IF(CdTrp1!E78=2,2,IF(CdTrp1!E78=3,2,0)))</f>
        <v>0</v>
      </c>
      <c r="AZ50" s="177">
        <f>IF(CdTrp1!F78=1,1,IF(CdTrp1!F78=2,2,IF(CdTrp1!F78=3,2,0)))</f>
        <v>0</v>
      </c>
      <c r="BA50" s="177">
        <f>IF(CdTrp1!G78=1,1,IF(CdTrp1!G78=2,2,IF(CdTrp1!G78=3,2,0)))</f>
        <v>0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1</v>
      </c>
      <c r="BH50" s="177">
        <f>IF(CdTrp1!N78=1,1,IF(CdTrp1!N78=2,2,IF(CdTrp1!N78=3,2,0)))</f>
        <v>1</v>
      </c>
      <c r="BI50" s="177">
        <f>IF(CdTrp1!O78=1,1,IF(CdTrp1!O78=2,2,IF(CdTrp1!O78=3,2,0)))</f>
        <v>1</v>
      </c>
      <c r="BJ50" s="177">
        <f>IF(CdTrp1!P78=1,1,IF(CdTrp1!P78=2,2,IF(CdTrp1!P78=3,2,0)))</f>
        <v>1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0.5</v>
      </c>
      <c r="O68" s="168">
        <f>IF($AA68=0,99,IF(O81&gt;3,CdTrp1!N76,CdTrp1!N52))</f>
        <v>0.5</v>
      </c>
      <c r="P68" s="168">
        <f>IF($AA68=0,99,IF(P81&gt;3,CdTrp1!O76,CdTrp1!O52))</f>
        <v>0.5</v>
      </c>
      <c r="Q68" s="168">
        <f>IF($AA68=0,99,IF(Q81&gt;3,CdTrp1!P76,CdTrp1!P52))</f>
        <v>0.5</v>
      </c>
      <c r="R68" s="168">
        <f>IF($AA68=0,99,IF(R81&gt;3,CdTrp1!Q76,CdTrp1!Q52))</f>
        <v>0.5</v>
      </c>
      <c r="S68" s="168">
        <f>IF($AA68=0,99,IF(S81&gt;3,CdTrp1!R76,CdTrp1!R52))</f>
        <v>0.5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1</v>
      </c>
      <c r="F70" s="168">
        <f>IF($AA70=0,99,IF(F83&gt;3,CdTrp1!E78,CdTrp1!E54))</f>
        <v>1</v>
      </c>
      <c r="G70" s="168">
        <f>IF($AA70=0,99,IF(G83&gt;3,CdTrp1!F78,CdTrp1!F54))</f>
        <v>1</v>
      </c>
      <c r="H70" s="168">
        <f>IF($AA70=0,99,IF(H83&gt;3,CdTrp1!G78,CdTrp1!G54))</f>
        <v>1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0.5</v>
      </c>
      <c r="O70" s="168">
        <f>IF($AA70=0,99,IF(O83&gt;3,CdTrp1!N78,CdTrp1!N54))</f>
        <v>0.5</v>
      </c>
      <c r="P70" s="168">
        <f>IF($AA70=0,99,IF(P83&gt;3,CdTrp1!O78,CdTrp1!O54))</f>
        <v>0.5</v>
      </c>
      <c r="Q70" s="168">
        <f>IF($AA70=0,99,IF(Q83&gt;3,CdTrp1!P78,CdTrp1!P54))</f>
        <v>0.5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1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0</v>
      </c>
      <c r="F83" s="168">
        <f>CdTrp1!E78</f>
        <v>0</v>
      </c>
      <c r="G83" s="168">
        <f>CdTrp1!F78</f>
        <v>0</v>
      </c>
      <c r="H83" s="168">
        <f>CdTrp1!G78</f>
        <v>0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1</v>
      </c>
      <c r="M83" s="168">
        <f>CdTrp1!L78</f>
        <v>1</v>
      </c>
      <c r="N83" s="168">
        <f>CdTrp1!M78</f>
        <v>1</v>
      </c>
      <c r="O83" s="168">
        <f>CdTrp1!N78</f>
        <v>1</v>
      </c>
      <c r="P83" s="168">
        <f>CdTrp1!O78</f>
        <v>1</v>
      </c>
      <c r="Q83" s="168">
        <f>CdTrp1!P78</f>
        <v>1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2</v>
      </c>
      <c r="F201" s="168">
        <f>IF(Troupeau!$B$3="OL",F8+F9,0)</f>
        <v>4</v>
      </c>
      <c r="G201" s="168">
        <f>IF(Troupeau!$B$3="OL",G8+G9,0)</f>
        <v>4</v>
      </c>
      <c r="H201" s="168">
        <f>IF(Troupeau!$B$3="OL",H8+H9,0)</f>
        <v>4</v>
      </c>
      <c r="I201" s="168">
        <f>IF(Troupeau!$B$3="OL",I8+I9,0)</f>
        <v>4</v>
      </c>
      <c r="J201" s="168">
        <f>IF(Troupeau!$B$3="OL",J8+J9,0)</f>
        <v>4</v>
      </c>
      <c r="K201" s="168">
        <f>IF(Troupeau!$B$3="OL",K8+K9,0)</f>
        <v>4</v>
      </c>
      <c r="L201" s="168">
        <f>IF(Troupeau!$B$3="OL",L8+L9,0)</f>
        <v>4</v>
      </c>
      <c r="M201" s="168">
        <f>IF(Troupeau!$B$3="OL",M8+M9,0)</f>
        <v>4</v>
      </c>
      <c r="N201" s="168">
        <f>IF(Troupeau!$B$3="OL",N8+N9,0)</f>
        <v>4</v>
      </c>
      <c r="O201" s="168">
        <f>IF(Troupeau!$B$3="OL",O8+O9,0)</f>
        <v>4</v>
      </c>
      <c r="P201" s="168">
        <f>IF(Troupeau!$B$3="OL",P8+P9,0)</f>
        <v>4</v>
      </c>
      <c r="Q201" s="168">
        <f>IF(Troupeau!$B$3="OL",Q8+Q9,0)</f>
        <v>4</v>
      </c>
      <c r="R201" s="168">
        <f>IF(Troupeau!$B$3="OL",R8+R9,0)</f>
        <v>4</v>
      </c>
      <c r="S201" s="168">
        <f>IF(Troupeau!$B$3="OL",S8+S9,0)</f>
        <v>4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2</v>
      </c>
      <c r="F203" s="168">
        <f t="shared" si="50"/>
        <v>4</v>
      </c>
      <c r="G203" s="168">
        <f t="shared" si="50"/>
        <v>4</v>
      </c>
      <c r="H203" s="168">
        <f t="shared" si="50"/>
        <v>4</v>
      </c>
      <c r="I203" s="168">
        <f t="shared" si="50"/>
        <v>4</v>
      </c>
      <c r="J203" s="168">
        <f t="shared" si="50"/>
        <v>4</v>
      </c>
      <c r="K203" s="168">
        <f t="shared" si="50"/>
        <v>4</v>
      </c>
      <c r="L203" s="168">
        <f t="shared" si="50"/>
        <v>4</v>
      </c>
      <c r="M203" s="168">
        <f t="shared" si="50"/>
        <v>4</v>
      </c>
      <c r="N203" s="168">
        <f t="shared" si="50"/>
        <v>4</v>
      </c>
      <c r="O203" s="168">
        <f t="shared" si="50"/>
        <v>4</v>
      </c>
      <c r="P203" s="168">
        <f t="shared" si="50"/>
        <v>4</v>
      </c>
      <c r="Q203" s="168">
        <f t="shared" si="50"/>
        <v>4</v>
      </c>
      <c r="R203" s="168">
        <f t="shared" si="50"/>
        <v>4</v>
      </c>
      <c r="S203" s="168">
        <f t="shared" si="50"/>
        <v>4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2</v>
      </c>
      <c r="F212" s="168">
        <f t="shared" si="51"/>
        <v>4</v>
      </c>
      <c r="G212" s="168">
        <f t="shared" si="51"/>
        <v>4</v>
      </c>
      <c r="H212" s="168">
        <f t="shared" si="51"/>
        <v>4</v>
      </c>
      <c r="I212" s="168">
        <f t="shared" si="51"/>
        <v>4</v>
      </c>
      <c r="J212" s="168">
        <f t="shared" si="51"/>
        <v>4</v>
      </c>
      <c r="K212" s="168">
        <f t="shared" si="51"/>
        <v>4</v>
      </c>
      <c r="L212" s="168">
        <f t="shared" si="51"/>
        <v>4</v>
      </c>
      <c r="M212" s="168">
        <f t="shared" si="51"/>
        <v>4</v>
      </c>
      <c r="N212" s="168">
        <f t="shared" si="51"/>
        <v>4</v>
      </c>
      <c r="O212" s="168">
        <f t="shared" si="51"/>
        <v>4</v>
      </c>
      <c r="P212" s="168">
        <f t="shared" si="51"/>
        <v>4</v>
      </c>
      <c r="Q212" s="168">
        <f t="shared" si="51"/>
        <v>4</v>
      </c>
      <c r="R212" s="168">
        <f t="shared" si="51"/>
        <v>4</v>
      </c>
      <c r="S212" s="168">
        <f t="shared" si="51"/>
        <v>4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0</v>
      </c>
      <c r="O213" s="168">
        <f t="shared" si="51"/>
        <v>0</v>
      </c>
      <c r="P213" s="168">
        <f t="shared" si="51"/>
        <v>0</v>
      </c>
      <c r="Q213" s="168">
        <f t="shared" si="51"/>
        <v>0</v>
      </c>
      <c r="R213" s="168">
        <f t="shared" si="51"/>
        <v>0</v>
      </c>
      <c r="S213" s="168">
        <f t="shared" si="51"/>
        <v>0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2</v>
      </c>
      <c r="F214" s="168">
        <f t="shared" si="52"/>
        <v>4</v>
      </c>
      <c r="G214" s="168">
        <f t="shared" si="52"/>
        <v>4</v>
      </c>
      <c r="H214" s="168">
        <f t="shared" si="52"/>
        <v>4</v>
      </c>
      <c r="I214" s="168">
        <f t="shared" si="52"/>
        <v>4</v>
      </c>
      <c r="J214" s="168">
        <f t="shared" si="52"/>
        <v>4</v>
      </c>
      <c r="K214" s="168">
        <f t="shared" si="52"/>
        <v>4</v>
      </c>
      <c r="L214" s="168">
        <f t="shared" si="52"/>
        <v>4</v>
      </c>
      <c r="M214" s="168">
        <f t="shared" si="52"/>
        <v>4</v>
      </c>
      <c r="N214" s="168">
        <f t="shared" si="52"/>
        <v>4</v>
      </c>
      <c r="O214" s="168">
        <f t="shared" si="52"/>
        <v>4</v>
      </c>
      <c r="P214" s="168">
        <f t="shared" si="52"/>
        <v>4</v>
      </c>
      <c r="Q214" s="168">
        <f t="shared" si="52"/>
        <v>4</v>
      </c>
      <c r="R214" s="168">
        <f t="shared" si="52"/>
        <v>4</v>
      </c>
      <c r="S214" s="168">
        <f t="shared" si="52"/>
        <v>4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2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546</v>
      </c>
      <c r="G5" s="168">
        <f>AV117</f>
        <v>0</v>
      </c>
      <c r="H5" s="168">
        <f t="shared" ref="H5:AD5" si="0">AW117</f>
        <v>0</v>
      </c>
      <c r="I5" s="168">
        <f t="shared" si="0"/>
        <v>14</v>
      </c>
      <c r="J5" s="168">
        <f t="shared" si="0"/>
        <v>28</v>
      </c>
      <c r="K5" s="168">
        <f t="shared" si="0"/>
        <v>28</v>
      </c>
      <c r="L5" s="168">
        <f t="shared" si="0"/>
        <v>28</v>
      </c>
      <c r="M5" s="168">
        <f t="shared" si="0"/>
        <v>28</v>
      </c>
      <c r="N5" s="168">
        <f t="shared" si="0"/>
        <v>28</v>
      </c>
      <c r="O5" s="168">
        <f t="shared" si="0"/>
        <v>28</v>
      </c>
      <c r="P5" s="168">
        <f t="shared" si="0"/>
        <v>28</v>
      </c>
      <c r="Q5" s="168">
        <f t="shared" si="0"/>
        <v>28</v>
      </c>
      <c r="R5" s="168">
        <f t="shared" si="0"/>
        <v>28</v>
      </c>
      <c r="S5" s="168">
        <f t="shared" si="0"/>
        <v>28</v>
      </c>
      <c r="T5" s="168">
        <f t="shared" si="0"/>
        <v>28</v>
      </c>
      <c r="U5" s="168">
        <f t="shared" si="0"/>
        <v>28</v>
      </c>
      <c r="V5" s="168">
        <f t="shared" si="0"/>
        <v>28</v>
      </c>
      <c r="W5" s="168">
        <f t="shared" si="0"/>
        <v>28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982.84953068592063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49.93072202166065</v>
      </c>
      <c r="M9" s="30">
        <f t="shared" si="4"/>
        <v>49.899891696750906</v>
      </c>
      <c r="N9" s="30">
        <f t="shared" si="4"/>
        <v>49.869061371841156</v>
      </c>
      <c r="O9" s="30">
        <f t="shared" si="4"/>
        <v>49.838231046931412</v>
      </c>
      <c r="P9" s="30">
        <f t="shared" si="4"/>
        <v>49.807400722021661</v>
      </c>
      <c r="Q9" s="30">
        <f t="shared" si="4"/>
        <v>28.375776173285196</v>
      </c>
      <c r="R9" s="30">
        <f t="shared" si="4"/>
        <v>28.375776173285196</v>
      </c>
      <c r="S9" s="30">
        <f t="shared" si="4"/>
        <v>28.375776173285196</v>
      </c>
      <c r="T9" s="30">
        <f t="shared" si="4"/>
        <v>28.375776173285196</v>
      </c>
      <c r="U9" s="30">
        <f t="shared" si="4"/>
        <v>28.375776173285196</v>
      </c>
      <c r="V9" s="30">
        <f t="shared" si="4"/>
        <v>28.375776173285196</v>
      </c>
      <c r="W9" s="30">
        <f t="shared" si="4"/>
        <v>28.375776173285196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1528.8495306859202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64.516498194945854</v>
      </c>
      <c r="J13" s="30">
        <f t="shared" si="8"/>
        <v>78.023212996389901</v>
      </c>
      <c r="K13" s="30">
        <f t="shared" si="8"/>
        <v>77.9615523465704</v>
      </c>
      <c r="L13" s="30">
        <f t="shared" si="8"/>
        <v>77.930722021660642</v>
      </c>
      <c r="M13" s="30">
        <f t="shared" si="8"/>
        <v>77.899891696750899</v>
      </c>
      <c r="N13" s="30">
        <f t="shared" si="8"/>
        <v>77.869061371841156</v>
      </c>
      <c r="O13" s="30">
        <f t="shared" si="8"/>
        <v>77.838231046931412</v>
      </c>
      <c r="P13" s="30">
        <f t="shared" si="8"/>
        <v>77.807400722021669</v>
      </c>
      <c r="Q13" s="30">
        <f t="shared" si="8"/>
        <v>56.375776173285196</v>
      </c>
      <c r="R13" s="30">
        <f t="shared" si="8"/>
        <v>56.375776173285196</v>
      </c>
      <c r="S13" s="30">
        <f t="shared" si="8"/>
        <v>56.375776173285196</v>
      </c>
      <c r="T13" s="30">
        <f t="shared" si="8"/>
        <v>56.375776173285196</v>
      </c>
      <c r="U13" s="30">
        <f t="shared" si="8"/>
        <v>56.375776173285196</v>
      </c>
      <c r="V13" s="30">
        <f t="shared" si="8"/>
        <v>56.375776173285196</v>
      </c>
      <c r="W13" s="30">
        <f t="shared" si="8"/>
        <v>56.375776173285196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0</v>
      </c>
      <c r="C16" s="183">
        <f>VALUE(LEFT(Scénario!K57,1))</f>
        <v>1</v>
      </c>
      <c r="D16" s="183">
        <f>IF(B16&gt;0,VLOOKUP(C16,[1]Trav!$A$86:$D$90,4),0)</f>
        <v>0</v>
      </c>
      <c r="E16" s="183">
        <f>Scénario!K54*2</f>
        <v>0</v>
      </c>
      <c r="F16" s="168">
        <f>IF(B16&gt;0,D16*E16/B16,0)</f>
        <v>0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2</v>
      </c>
      <c r="BH37" s="168">
        <f>IF(CdTrp1!N52=1,3,IF(CdTrp1!N52=0.5,2,IF(CdTrp1!N52=0,1,0)))</f>
        <v>2</v>
      </c>
      <c r="BI37" s="168">
        <f>IF(CdTrp1!O52=1,3,IF(CdTrp1!O52=0.5,2,IF(CdTrp1!O52=0,1,0)))</f>
        <v>2</v>
      </c>
      <c r="BJ37" s="168">
        <f>IF(CdTrp1!P52=1,3,IF(CdTrp1!P52=0.5,2,IF(CdTrp1!P52=0,1,0)))</f>
        <v>2</v>
      </c>
      <c r="BK37" s="168">
        <f>IF(CdTrp1!Q52=1,3,IF(CdTrp1!Q52=0.5,2,IF(CdTrp1!Q52=0,1,0)))</f>
        <v>2</v>
      </c>
      <c r="BL37" s="168">
        <f>IF(CdTrp1!R52=1,3,IF(CdTrp1!R52=0.5,2,IF(CdTrp1!R52=0,1,0)))</f>
        <v>2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3</v>
      </c>
      <c r="AY39" s="168">
        <f>IF(CdTrp1!E54=1,3,IF(CdTrp1!E54=0.5,2,IF(CdTrp1!E54=0,1,0)))</f>
        <v>3</v>
      </c>
      <c r="AZ39" s="168">
        <f>IF(CdTrp1!F54=1,3,IF(CdTrp1!F54=0.5,2,IF(CdTrp1!F54=0,1,0)))</f>
        <v>3</v>
      </c>
      <c r="BA39" s="168">
        <f>IF(CdTrp1!G54=1,3,IF(CdTrp1!G54=0.5,2,IF(CdTrp1!G54=0,1,0)))</f>
        <v>3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2</v>
      </c>
      <c r="BH39" s="168">
        <f>IF(CdTrp1!N54=1,3,IF(CdTrp1!N54=0.5,2,IF(CdTrp1!N54=0,1,0)))</f>
        <v>2</v>
      </c>
      <c r="BI39" s="168">
        <f>IF(CdTrp1!O54=1,3,IF(CdTrp1!O54=0.5,2,IF(CdTrp1!O54=0,1,0)))</f>
        <v>2</v>
      </c>
      <c r="BJ39" s="168">
        <f>IF(CdTrp1!P54=1,3,IF(CdTrp1!P54=0.5,2,IF(CdTrp1!P54=0,1,0)))</f>
        <v>2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3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0</v>
      </c>
      <c r="AY50" s="168">
        <f>IF(CdTrp1!E78=1,1,IF(CdTrp1!E78=2,2,IF(CdTrp1!E78=3,2,0)))</f>
        <v>0</v>
      </c>
      <c r="AZ50" s="168">
        <f>IF(CdTrp1!F78=1,1,IF(CdTrp1!F78=2,2,IF(CdTrp1!F78=3,2,0)))</f>
        <v>0</v>
      </c>
      <c r="BA50" s="168">
        <f>IF(CdTrp1!G78=1,1,IF(CdTrp1!G78=2,2,IF(CdTrp1!G78=3,2,0)))</f>
        <v>0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1</v>
      </c>
      <c r="BH50" s="168">
        <f>IF(CdTrp1!N78=1,1,IF(CdTrp1!N78=2,2,IF(CdTrp1!N78=3,2,0)))</f>
        <v>1</v>
      </c>
      <c r="BI50" s="168">
        <f>IF(CdTrp1!O78=1,1,IF(CdTrp1!O78=2,2,IF(CdTrp1!O78=3,2,0)))</f>
        <v>1</v>
      </c>
      <c r="BJ50" s="168">
        <f>IF(CdTrp1!P78=1,1,IF(CdTrp1!P78=2,2,IF(CdTrp1!P78=3,2,0)))</f>
        <v>1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11</v>
      </c>
      <c r="C55" s="183">
        <f>IF(B55&gt;[1]Trav!E121,[1]Trav!C121,[1]Trav!B121)</f>
        <v>7.2</v>
      </c>
      <c r="D55"/>
      <c r="E55" s="167"/>
      <c r="F55" s="168">
        <f t="shared" si="32"/>
        <v>79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2.5</v>
      </c>
      <c r="C56" s="183">
        <f>IF(B56&gt;[1]Trav!E121,[1]Trav!C121,[1]Trav!B121)</f>
        <v>7.2</v>
      </c>
      <c r="D56"/>
      <c r="E56" s="167"/>
      <c r="F56" s="168">
        <f t="shared" si="32"/>
        <v>18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221</v>
      </c>
      <c r="BH60" s="168">
        <f>IF(BH15=0,0,IF(BH37=3,0,VALUE(CONCATENATE(Travail!BH26,Travail!BH37,Travail!BH48))))</f>
        <v>221</v>
      </c>
      <c r="BI60" s="168">
        <f>IF(BI15=0,0,IF(BI37=3,0,VALUE(CONCATENATE(Travail!BI26,Travail!BI37,Travail!BI48))))</f>
        <v>221</v>
      </c>
      <c r="BJ60" s="168">
        <f>IF(BJ15=0,0,IF(BJ37=3,0,VALUE(CONCATENATE(Travail!BJ26,Travail!BJ37,Travail!BJ48))))</f>
        <v>221</v>
      </c>
      <c r="BK60" s="168">
        <f>IF(BK15=0,0,IF(BK37=3,0,VALUE(CONCATENATE(Travail!BK26,Travail!BK37,Travail!BK48))))</f>
        <v>221</v>
      </c>
      <c r="BL60" s="168">
        <f>IF(BL15=0,0,IF(BL37=3,0,VALUE(CONCATENATE(Travail!BL26,Travail!BL37,Travail!BL48))))</f>
        <v>221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221</v>
      </c>
      <c r="AY61" s="168">
        <f>IF(AY16=0,0,IF(AY38=3,0,VALUE(CONCATENATE(Travail!AY27,Travail!AY38,Travail!AY49))))</f>
        <v>221</v>
      </c>
      <c r="AZ61" s="168">
        <f>IF(AZ16=0,0,IF(AZ38=3,0,VALUE(CONCATENATE(Travail!AZ27,Travail!AZ38,Travail!AZ49))))</f>
        <v>221</v>
      </c>
      <c r="BA61" s="168">
        <f>IF(BA16=0,0,IF(BA38=3,0,VALUE(CONCATENATE(Travail!BA27,Travail!BA38,Travail!BA49))))</f>
        <v>221</v>
      </c>
      <c r="BB61" s="168">
        <f>IF(BB16=0,0,IF(BB38=3,0,VALUE(CONCATENATE(Travail!BB27,Travail!BB38,Travail!BB49))))</f>
        <v>221</v>
      </c>
      <c r="BC61" s="168">
        <f>IF(BC16=0,0,IF(BC38=3,0,VALUE(CONCATENATE(Travail!BC27,Travail!BC38,Travail!BC49))))</f>
        <v>221</v>
      </c>
      <c r="BD61" s="168">
        <f>IF(BD16=0,0,IF(BD38=3,0,VALUE(CONCATENATE(Travail!BD27,Travail!BD38,Travail!BD49))))</f>
        <v>221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0</v>
      </c>
      <c r="AY62" s="168">
        <f>IF(AY17=0,0,IF(AY39=3,0,VALUE(CONCATENATE(Travail!AY28,Travail!AY39,Travail!AY50))))</f>
        <v>0</v>
      </c>
      <c r="AZ62" s="168">
        <f>IF(AZ17=0,0,IF(AZ39=3,0,VALUE(CONCATENATE(Travail!AZ28,Travail!AZ39,Travail!AZ50))))</f>
        <v>0</v>
      </c>
      <c r="BA62" s="168">
        <f>IF(BA17=0,0,IF(BA39=3,0,VALUE(CONCATENATE(Travail!BA28,Travail!BA39,Travail!BA50))))</f>
        <v>0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221</v>
      </c>
      <c r="BH62" s="168">
        <f>IF(BH17=0,0,IF(BH39=3,0,VALUE(CONCATENATE(Travail!BH28,Travail!BH39,Travail!BH50))))</f>
        <v>221</v>
      </c>
      <c r="BI62" s="168">
        <f>IF(BI17=0,0,IF(BI39=3,0,VALUE(CONCATENATE(Travail!BI28,Travail!BI39,Travail!BI50))))</f>
        <v>221</v>
      </c>
      <c r="BJ62" s="168">
        <f>IF(BJ17=0,0,IF(BJ39=3,0,VALUE(CONCATENATE(Travail!BJ28,Travail!BJ39,Travail!BJ50))))</f>
        <v>221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22</v>
      </c>
      <c r="BH71" s="168">
        <f t="shared" si="36"/>
        <v>22</v>
      </c>
      <c r="BI71" s="168">
        <f t="shared" si="36"/>
        <v>22</v>
      </c>
      <c r="BJ71" s="168">
        <f t="shared" si="36"/>
        <v>22</v>
      </c>
      <c r="BK71" s="168">
        <f t="shared" si="36"/>
        <v>22</v>
      </c>
      <c r="BL71" s="168">
        <f t="shared" si="36"/>
        <v>22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195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23</v>
      </c>
      <c r="AW72" s="168">
        <f t="shared" si="36"/>
        <v>23</v>
      </c>
      <c r="AX72" s="168">
        <f t="shared" si="36"/>
        <v>22</v>
      </c>
      <c r="AY72" s="168">
        <f t="shared" si="36"/>
        <v>22</v>
      </c>
      <c r="AZ72" s="168">
        <f t="shared" si="36"/>
        <v>22</v>
      </c>
      <c r="BA72" s="168">
        <f t="shared" si="36"/>
        <v>22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23</v>
      </c>
      <c r="AY73" s="168">
        <f t="shared" si="36"/>
        <v>23</v>
      </c>
      <c r="AZ73" s="168">
        <f t="shared" si="36"/>
        <v>23</v>
      </c>
      <c r="BA73" s="168">
        <f t="shared" si="36"/>
        <v>23</v>
      </c>
      <c r="BB73" s="168">
        <f t="shared" si="36"/>
        <v>23</v>
      </c>
      <c r="BC73" s="168">
        <f t="shared" si="36"/>
        <v>23</v>
      </c>
      <c r="BD73" s="168">
        <f t="shared" si="36"/>
        <v>23</v>
      </c>
      <c r="BE73" s="168">
        <f t="shared" si="36"/>
        <v>22</v>
      </c>
      <c r="BF73" s="168">
        <f t="shared" si="36"/>
        <v>22</v>
      </c>
      <c r="BG73" s="168">
        <f t="shared" si="36"/>
        <v>22</v>
      </c>
      <c r="BH73" s="168">
        <f t="shared" si="36"/>
        <v>22</v>
      </c>
      <c r="BI73" s="168">
        <f t="shared" si="36"/>
        <v>22</v>
      </c>
      <c r="BJ73" s="168">
        <f t="shared" si="36"/>
        <v>22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23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23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279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0.56999999999999995</v>
      </c>
      <c r="C81" s="183">
        <f>[1]Protect!$B$10</f>
        <v>4</v>
      </c>
      <c r="D81" s="167"/>
      <c r="E81" s="167"/>
      <c r="F81" s="168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4</v>
      </c>
      <c r="AW81" s="168">
        <f t="shared" ref="AW81:BS81" si="44">COUNTIF(AW$71:AW$80,23)</f>
        <v>4</v>
      </c>
      <c r="AX81" s="168">
        <f t="shared" si="44"/>
        <v>3</v>
      </c>
      <c r="AY81" s="168">
        <f t="shared" si="44"/>
        <v>2</v>
      </c>
      <c r="AZ81" s="168">
        <f t="shared" si="44"/>
        <v>2</v>
      </c>
      <c r="BA81" s="168">
        <f t="shared" si="44"/>
        <v>2</v>
      </c>
      <c r="BB81" s="168">
        <f t="shared" si="44"/>
        <v>2</v>
      </c>
      <c r="BC81" s="168">
        <f t="shared" si="44"/>
        <v>2</v>
      </c>
      <c r="BD81" s="168">
        <f t="shared" si="44"/>
        <v>2</v>
      </c>
      <c r="BE81" s="168">
        <f t="shared" si="44"/>
        <v>1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2</v>
      </c>
      <c r="BQ81" s="168">
        <f t="shared" si="44"/>
        <v>2</v>
      </c>
      <c r="BR81" s="168">
        <f t="shared" si="44"/>
        <v>4</v>
      </c>
      <c r="BS81" s="168">
        <f t="shared" si="44"/>
        <v>4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3.37</v>
      </c>
      <c r="C83" s="183">
        <f>[1]Protect!$B$24+[1]Protect!$B$26</f>
        <v>0.33</v>
      </c>
      <c r="D83" s="167"/>
      <c r="E83" s="167"/>
      <c r="F83" s="168">
        <f>ROUND(B83*C83,1)</f>
        <v>1.1000000000000001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1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2</v>
      </c>
      <c r="BH83" s="168">
        <f t="shared" si="50"/>
        <v>2</v>
      </c>
      <c r="BI83" s="168">
        <f t="shared" si="50"/>
        <v>2</v>
      </c>
      <c r="BJ83" s="168">
        <f t="shared" si="50"/>
        <v>2</v>
      </c>
      <c r="BK83" s="168">
        <f t="shared" si="50"/>
        <v>2</v>
      </c>
      <c r="BL83" s="168">
        <f t="shared" si="50"/>
        <v>2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0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2.7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21</v>
      </c>
      <c r="BG86" s="183">
        <f>IF(BG85=0,0,HLOOKUP(BG85,[1]Trav!$C$39:$G$59,$AU$105))</f>
        <v>21</v>
      </c>
      <c r="BH86" s="183">
        <f>IF(BH85=0,0,HLOOKUP(BH85,[1]Trav!$C$39:$G$59,$AU$105))</f>
        <v>21</v>
      </c>
      <c r="BI86" s="183">
        <f>IF(BI85=0,0,HLOOKUP(BI85,[1]Trav!$C$39:$G$59,$AU$105))</f>
        <v>21</v>
      </c>
      <c r="BJ86" s="183">
        <f>IF(BJ85=0,0,HLOOKUP(BJ85,[1]Trav!$C$39:$G$59,$AU$105))</f>
        <v>21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213.1696750902527</v>
      </c>
      <c r="BH90" s="168">
        <f t="shared" si="60"/>
        <v>213.1696750902527</v>
      </c>
      <c r="BI90" s="168">
        <f t="shared" si="60"/>
        <v>213.1696750902527</v>
      </c>
      <c r="BJ90" s="168">
        <f t="shared" si="60"/>
        <v>213.1696750902527</v>
      </c>
      <c r="BK90" s="168">
        <f t="shared" si="60"/>
        <v>213.1696750902527</v>
      </c>
      <c r="BL90" s="168">
        <f t="shared" si="60"/>
        <v>213.1696750902527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1528.8495306859206</v>
      </c>
      <c r="C91" s="5"/>
      <c r="D91" s="197">
        <f>B91/Troupeau!$B$17</f>
        <v>6.2657767651062324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47.566787003610109</v>
      </c>
      <c r="BH92" s="168">
        <f t="shared" si="60"/>
        <v>47.566787003610109</v>
      </c>
      <c r="BI92" s="168">
        <f t="shared" si="60"/>
        <v>47.566787003610109</v>
      </c>
      <c r="BJ92" s="168">
        <f t="shared" si="60"/>
        <v>47.566787003610109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1528.8495306859206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0</v>
      </c>
      <c r="C95" s="5"/>
      <c r="D95" s="197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0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260.73646209386283</v>
      </c>
      <c r="BH99" s="62">
        <f t="shared" si="68"/>
        <v>260.73646209386283</v>
      </c>
      <c r="BI99" s="62">
        <f t="shared" si="68"/>
        <v>260.73646209386283</v>
      </c>
      <c r="BJ99" s="62">
        <f t="shared" si="68"/>
        <v>260.73646209386283</v>
      </c>
      <c r="BK99" s="62">
        <f t="shared" si="68"/>
        <v>260.73646209386283</v>
      </c>
      <c r="BL99" s="62">
        <f t="shared" si="68"/>
        <v>260.73646209386283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5.2147292418772562</v>
      </c>
      <c r="BH100" s="168">
        <f t="shared" si="71"/>
        <v>5.2147292418772562</v>
      </c>
      <c r="BI100" s="168">
        <f t="shared" si="71"/>
        <v>5.2147292418772562</v>
      </c>
      <c r="BJ100" s="168">
        <f t="shared" si="71"/>
        <v>5.2147292418772562</v>
      </c>
      <c r="BK100" s="168">
        <f t="shared" si="71"/>
        <v>5.2147292418772562</v>
      </c>
      <c r="BL100" s="168">
        <f t="shared" si="71"/>
        <v>5.2147292418772562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4.2147292418772562</v>
      </c>
      <c r="BH101" s="168">
        <f t="shared" si="74"/>
        <v>4.2147292418772562</v>
      </c>
      <c r="BI101" s="168">
        <f t="shared" si="74"/>
        <v>4.2147292418772562</v>
      </c>
      <c r="BJ101" s="168">
        <f t="shared" si="74"/>
        <v>4.2147292418772562</v>
      </c>
      <c r="BK101" s="168">
        <f t="shared" si="74"/>
        <v>4.2147292418772562</v>
      </c>
      <c r="BL101" s="168">
        <f t="shared" si="74"/>
        <v>4.2147292418772562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49.93072202166065</v>
      </c>
      <c r="BB102" s="62">
        <f t="shared" si="77"/>
        <v>49.899891696750906</v>
      </c>
      <c r="BC102" s="62">
        <f t="shared" si="77"/>
        <v>49.869061371841156</v>
      </c>
      <c r="BD102" s="62">
        <f t="shared" si="77"/>
        <v>49.838231046931412</v>
      </c>
      <c r="BE102" s="62">
        <f t="shared" si="77"/>
        <v>49.807400722021661</v>
      </c>
      <c r="BF102" s="62">
        <f t="shared" si="77"/>
        <v>28.375776173285196</v>
      </c>
      <c r="BG102" s="62">
        <f t="shared" si="77"/>
        <v>28.375776173285196</v>
      </c>
      <c r="BH102" s="62">
        <f t="shared" si="77"/>
        <v>28.375776173285196</v>
      </c>
      <c r="BI102" s="62">
        <f t="shared" si="77"/>
        <v>28.375776173285196</v>
      </c>
      <c r="BJ102" s="62">
        <f t="shared" si="77"/>
        <v>28.375776173285196</v>
      </c>
      <c r="BK102" s="62">
        <f t="shared" si="77"/>
        <v>28.375776173285196</v>
      </c>
      <c r="BL102" s="62">
        <f t="shared" si="77"/>
        <v>28.375776173285196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14</v>
      </c>
      <c r="BH106" s="183">
        <f>IF(BH60&gt;0,HLOOKUP(BH60,[1]Trav!$C$11:$O$31,$AU$105),0)</f>
        <v>14</v>
      </c>
      <c r="BI106" s="183">
        <f>IF(BI60&gt;0,HLOOKUP(BI60,[1]Trav!$C$11:$O$31,$AU$105),0)</f>
        <v>14</v>
      </c>
      <c r="BJ106" s="183">
        <f>IF(BJ60&gt;0,HLOOKUP(BJ60,[1]Trav!$C$11:$O$31,$AU$105),0)</f>
        <v>14</v>
      </c>
      <c r="BK106" s="183">
        <f>IF(BK60&gt;0,HLOOKUP(BK60,[1]Trav!$C$11:$O$31,$AU$105),0)</f>
        <v>14</v>
      </c>
      <c r="BL106" s="183">
        <f>IF(BL60&gt;0,HLOOKUP(BL60,[1]Trav!$C$11:$O$31,$AU$105),0)</f>
        <v>14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148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0</v>
      </c>
      <c r="AY108" s="183">
        <f>IF(AY62&gt;0,HLOOKUP(AY62,[1]Trav!$C$11:$O$31,$AU$105),0)</f>
        <v>0</v>
      </c>
      <c r="AZ108" s="183">
        <f>IF(AZ62&gt;0,HLOOKUP(AZ62,[1]Trav!$C$11:$O$31,$AU$105),0)</f>
        <v>0</v>
      </c>
      <c r="BA108" s="183">
        <f>IF(BA62&gt;0,HLOOKUP(BA62,[1]Trav!$C$11:$O$31,$AU$105),0)</f>
        <v>0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14</v>
      </c>
      <c r="BH108" s="183">
        <f>IF(BH62&gt;0,HLOOKUP(BH62,[1]Trav!$C$11:$O$31,$AU$105),0)</f>
        <v>14</v>
      </c>
      <c r="BI108" s="183">
        <f>IF(BI62&gt;0,HLOOKUP(BI62,[1]Trav!$C$11:$O$31,$AU$105),0)</f>
        <v>14</v>
      </c>
      <c r="BJ108" s="183">
        <f>IF(BJ62&gt;0,HLOOKUP(BJ62,[1]Trav!$C$11:$O$31,$AU$105),0)</f>
        <v>14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195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195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0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18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3.8000000000000003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14</v>
      </c>
      <c r="AY117" s="168">
        <f t="shared" si="83"/>
        <v>28</v>
      </c>
      <c r="AZ117" s="168">
        <f t="shared" si="83"/>
        <v>28</v>
      </c>
      <c r="BA117" s="168">
        <f t="shared" si="83"/>
        <v>28</v>
      </c>
      <c r="BB117" s="168">
        <f t="shared" si="83"/>
        <v>28</v>
      </c>
      <c r="BC117" s="168">
        <f t="shared" si="83"/>
        <v>28</v>
      </c>
      <c r="BD117" s="168">
        <f t="shared" si="83"/>
        <v>28</v>
      </c>
      <c r="BE117" s="168">
        <f t="shared" si="83"/>
        <v>28</v>
      </c>
      <c r="BF117" s="168">
        <f t="shared" si="83"/>
        <v>28</v>
      </c>
      <c r="BG117" s="168">
        <f t="shared" si="83"/>
        <v>28</v>
      </c>
      <c r="BH117" s="168">
        <f t="shared" si="83"/>
        <v>28</v>
      </c>
      <c r="BI117" s="168">
        <f t="shared" si="83"/>
        <v>28</v>
      </c>
      <c r="BJ117" s="168">
        <f t="shared" si="83"/>
        <v>28</v>
      </c>
      <c r="BK117" s="168">
        <f t="shared" si="83"/>
        <v>28</v>
      </c>
      <c r="BL117" s="168">
        <f t="shared" si="83"/>
        <v>28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3874.6595306859208</v>
      </c>
      <c r="D118" s="197">
        <f>B118/Troupeau!$B$17</f>
        <v>15.879752174942299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3874.6595306859208</v>
      </c>
    </row>
    <row r="123" spans="1:132" x14ac:dyDescent="0.25">
      <c r="A123" s="2" t="s">
        <v>891</v>
      </c>
      <c r="B123" s="30">
        <f>B108</f>
        <v>148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195</v>
      </c>
    </row>
    <row r="126" spans="1:132" x14ac:dyDescent="0.25">
      <c r="A126" s="2" t="s">
        <v>907</v>
      </c>
      <c r="B126" s="30">
        <f>B114+B115+B116</f>
        <v>21.8</v>
      </c>
    </row>
    <row r="128" spans="1:132" x14ac:dyDescent="0.25">
      <c r="A128" s="2" t="s">
        <v>908</v>
      </c>
      <c r="B128" s="196">
        <f>SUM(B122:B126)</f>
        <v>4839.459530685921</v>
      </c>
    </row>
    <row r="129" spans="1:2" x14ac:dyDescent="0.25">
      <c r="A129" s="2" t="s">
        <v>909</v>
      </c>
      <c r="B129" s="30">
        <f>IF(Scénario!K129=1,Travail!F77+Travail!F86,F86)</f>
        <v>279</v>
      </c>
    </row>
    <row r="130" spans="1:2" x14ac:dyDescent="0.25">
      <c r="A130" s="2" t="s">
        <v>910</v>
      </c>
      <c r="B130" s="196">
        <f>ROUND((B128-B129)/(Scénario!K4+Scénario!K6),0)</f>
        <v>2280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2.06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17.78</v>
      </c>
      <c r="AA38" s="14" t="s">
        <v>1011</v>
      </c>
      <c r="AB38" s="168">
        <f>IF(Z39&gt;25, 25,Z39)</f>
        <v>17.78</v>
      </c>
      <c r="AC38" s="168">
        <f>AC40+AC36</f>
        <v>328</v>
      </c>
      <c r="AD38" s="168">
        <f>AB38*AC38</f>
        <v>5831.84</v>
      </c>
      <c r="AE38" s="278">
        <f>IF($AJ$40=0,AB38*$AC$40,AD38*$AJ$40/100)</f>
        <v>5248.6559999999999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17.78</v>
      </c>
      <c r="AA39" s="14" t="s">
        <v>1014</v>
      </c>
      <c r="AB39" s="168">
        <f>IF(Z39&gt;50,25,IF(Z39&gt;25,Z39-25,0))</f>
        <v>0</v>
      </c>
      <c r="AC39" s="168">
        <f>AC40+0.66*AC36</f>
        <v>240.28</v>
      </c>
      <c r="AD39" s="168">
        <f t="shared" ref="AD39:AD40" si="21">AB39*AC39</f>
        <v>0</v>
      </c>
      <c r="AE39" s="278">
        <f>IF($AJ$40=0,AB39*$AC$40,AD39*$AJ$40/100)</f>
        <v>0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78">
        <f>IF($AJ$40=0,AB40*$AC$40,AD40*$AJ$40/100)</f>
        <v>0</v>
      </c>
      <c r="AF40" s="276"/>
      <c r="AG40" s="276"/>
      <c r="AH40" s="276"/>
      <c r="AI40" s="280" t="s">
        <v>1449</v>
      </c>
      <c r="AJ40" s="278">
        <f>IF(AJ36&lt;=AJ38,100,IF(AJ36&lt;=AJ39,90,0))</f>
        <v>90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5831.84</v>
      </c>
      <c r="AE41" s="281">
        <f>ROUND(SUM(AE38:AE40)*T25,0)</f>
        <v>5249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17.78</v>
      </c>
      <c r="C42" s="210">
        <f>[1]Eco!$B$24</f>
        <v>97</v>
      </c>
      <c r="J42" s="168">
        <f>B42*C42</f>
        <v>1724.66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17.78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871.22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17.78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1191.26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5249</v>
      </c>
      <c r="K45" s="168"/>
      <c r="L45" s="168"/>
      <c r="M45" s="168"/>
      <c r="N45" s="168"/>
      <c r="O45" s="205"/>
      <c r="U45" s="14" t="s">
        <v>1025</v>
      </c>
      <c r="V45" s="168">
        <f>S55</f>
        <v>0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2893.6000000000004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17.78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91873.94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1</v>
      </c>
      <c r="BH48" s="216">
        <f>IF(CdTrp1!N76=1,1,IF(CdTrp1!N76=2,2,IF(CdTrp1!N76=3,2,0)))</f>
        <v>1</v>
      </c>
      <c r="BI48" s="216">
        <f>IF(CdTrp1!O76=1,1,IF(CdTrp1!O76=2,2,IF(CdTrp1!O76=3,2,0)))</f>
        <v>1</v>
      </c>
      <c r="BJ48" s="216">
        <f>IF(CdTrp1!P76=1,1,IF(CdTrp1!P76=2,2,IF(CdTrp1!P76=3,2,0)))</f>
        <v>1</v>
      </c>
      <c r="BK48" s="216">
        <f>IF(CdTrp1!Q76=1,1,IF(CdTrp1!Q76=2,2,IF(CdTrp1!Q76=3,2,0)))</f>
        <v>1</v>
      </c>
      <c r="BL48" s="216">
        <f>IF(CdTrp1!R76=1,1,IF(CdTrp1!R76=2,2,IF(CdTrp1!R76=3,2,0)))</f>
        <v>1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0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0</v>
      </c>
      <c r="AY50" s="216">
        <f>IF(CdTrp1!E78=1,1,IF(CdTrp1!E78=2,2,IF(CdTrp1!E78=3,2,0)))</f>
        <v>0</v>
      </c>
      <c r="AZ50" s="216">
        <f>IF(CdTrp1!F78=1,1,IF(CdTrp1!F78=2,2,IF(CdTrp1!F78=3,2,0)))</f>
        <v>0</v>
      </c>
      <c r="BA50" s="216">
        <f>IF(CdTrp1!G78=1,1,IF(CdTrp1!G78=2,2,IF(CdTrp1!G78=3,2,0)))</f>
        <v>0</v>
      </c>
      <c r="BB50" s="216">
        <f>IF(CdTrp1!H78=1,1,IF(CdTrp1!H78=2,2,IF(CdTrp1!H78=3,2,0)))</f>
        <v>0</v>
      </c>
      <c r="BC50" s="216">
        <f>IF(CdTrp1!I78=1,1,IF(CdTrp1!I78=2,2,IF(CdTrp1!I78=3,2,0)))</f>
        <v>0</v>
      </c>
      <c r="BD50" s="216">
        <f>IF(CdTrp1!J78=1,1,IF(CdTrp1!J78=2,2,IF(CdTrp1!J78=3,2,0)))</f>
        <v>0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1</v>
      </c>
      <c r="BH50" s="216">
        <f>IF(CdTrp1!N78=1,1,IF(CdTrp1!N78=2,2,IF(CdTrp1!N78=3,2,0)))</f>
        <v>1</v>
      </c>
      <c r="BI50" s="216">
        <f>IF(CdTrp1!O78=1,1,IF(CdTrp1!O78=2,2,IF(CdTrp1!O78=3,2,0)))</f>
        <v>1</v>
      </c>
      <c r="BJ50" s="216">
        <f>IF(CdTrp1!P78=1,1,IF(CdTrp1!P78=2,2,IF(CdTrp1!P78=3,2,0)))</f>
        <v>1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0</v>
      </c>
      <c r="BB51" s="216">
        <f>IF(CdTrp1!H79=1,1,IF(CdTrp1!H79=2,2,IF(CdTrp1!H79=3,2,0)))</f>
        <v>0</v>
      </c>
      <c r="BC51" s="216">
        <f>IF(CdTrp1!I79=1,1,IF(CdTrp1!I79=2,2,IF(CdTrp1!I79=3,2,0)))</f>
        <v>0</v>
      </c>
      <c r="BD51" s="216">
        <f>IF(CdTrp1!J79=1,1,IF(CdTrp1!J79=2,2,IF(CdTrp1!J79=3,2,0)))</f>
        <v>0</v>
      </c>
      <c r="BE51" s="216">
        <f>IF(CdTrp1!K79=1,1,IF(CdTrp1!K79=2,2,IF(CdTrp1!K79=3,2,0)))</f>
        <v>0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0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0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1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1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1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1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73.699999999999989</v>
      </c>
      <c r="C118" s="183">
        <f>IF(Scénario!$K$12="BV",[1]Eco!$B$78,IF(Scénario!$K$12="BL",[1]Eco!$B$77,[1]Eco!$B$76))</f>
        <v>223</v>
      </c>
      <c r="J118" s="168">
        <f>B118*C118</f>
        <v>16435.099999999999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32.966468378209136</v>
      </c>
      <c r="C119" s="183">
        <f>[1]Eco!$B$79</f>
        <v>80</v>
      </c>
      <c r="J119" s="168">
        <f>B119*C119</f>
        <v>2637.3174702567308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6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270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8.5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514.33500000000004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2.5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169.375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3617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303.29999999999995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43897.827470256736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11</v>
      </c>
      <c r="X153" t="s">
        <v>50</v>
      </c>
      <c r="Y153" s="168">
        <f>W153-Scénario!K28</f>
        <v>-4.5</v>
      </c>
      <c r="Z153" s="168">
        <f>Y153-Y156</f>
        <v>-4.5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2.5</v>
      </c>
      <c r="X154" t="s">
        <v>50</v>
      </c>
      <c r="Y154" s="168">
        <f>W154-Scénario!K29</f>
        <v>-4</v>
      </c>
      <c r="Z154" s="168">
        <f>Y154</f>
        <v>-4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-4.5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-162.9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-4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-120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0</v>
      </c>
      <c r="T164" s="168">
        <f>VLOOKUP($R164,[1]MEP!$A$4:$M$300,13)</f>
        <v>2</v>
      </c>
      <c r="U164" s="168">
        <f>IF($T164&gt;0,$S164,0)</f>
        <v>0</v>
      </c>
      <c r="V164" s="168">
        <f>IF($T164&gt;1,$S164,0)</f>
        <v>0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0</v>
      </c>
      <c r="T165" s="168">
        <f>VLOOKUP(R165,[1]MEP!$A$4:$M$300,13)</f>
        <v>1</v>
      </c>
      <c r="U165" s="168">
        <f t="shared" ref="U165:U207" si="72">IF($T165&gt;0,$S165,0)</f>
        <v>0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0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0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300.8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3197.5040000000004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3.5</v>
      </c>
      <c r="T167" s="168">
        <f>VLOOKUP(R167,[1]MEP!$A$4:$M$300,13)</f>
        <v>1</v>
      </c>
      <c r="U167" s="168">
        <f t="shared" si="72"/>
        <v>3.5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3.5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3.5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296</v>
      </c>
      <c r="S168" s="168">
        <f>'Alim -Surf'!R11</f>
        <v>4.5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4.5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4.5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236</v>
      </c>
      <c r="S169" s="168">
        <f>'Alim -Surf'!R12</f>
        <v>5</v>
      </c>
      <c r="T169" s="168">
        <f>VLOOKUP(R169,[1]MEP!$A$4:$M$300,13)</f>
        <v>1</v>
      </c>
      <c r="U169" s="168">
        <f t="shared" si="72"/>
        <v>5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5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5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40598.303999999996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7377.8085297432699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3689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498.58857887107212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879.21995087219784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440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11</v>
      </c>
      <c r="V228" s="62">
        <f t="shared" ref="V228:W228" si="84">SUM(V164:V227)</f>
        <v>2.5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6</v>
      </c>
      <c r="AI228" s="62">
        <f t="shared" si="86"/>
        <v>8.5</v>
      </c>
      <c r="AJ228" s="62">
        <f t="shared" si="86"/>
        <v>2.5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3370</v>
      </c>
      <c r="U234" t="s">
        <v>1139</v>
      </c>
      <c r="V234" s="168"/>
      <c r="W234" s="168">
        <f>[1]Protect!$B$4</f>
        <v>6</v>
      </c>
      <c r="X234" s="168">
        <f>T234*W234</f>
        <v>20220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20220</v>
      </c>
      <c r="Z237" s="30">
        <f>IF(Scénario!K84=1,MIN(0.8*'Calcul éco'!X237,[1]Protect!$B$68),IF(Scénario!K84=2,MIN(0.8*'Calcul éco'!X237,[1]Protect!$B$67),0))</f>
        <v>16176</v>
      </c>
      <c r="AA237" s="30">
        <f>X237-Z237</f>
        <v>4044</v>
      </c>
      <c r="AB237" s="30">
        <f>(Scénario!K127/100)*AA237</f>
        <v>0</v>
      </c>
      <c r="AC237" s="30">
        <f>AA237-AB237</f>
        <v>4044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498.58857887107212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4</v>
      </c>
      <c r="X245" s="168">
        <f>ROUND((([1]Protect!$B$5/[1]Protect!$B$11)+[1]Protect!$B$8)*T245,0)</f>
        <v>3617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1154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1155</v>
      </c>
      <c r="X248" s="168">
        <f>SUM(X245:X247)</f>
        <v>3617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3617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0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1</v>
      </c>
      <c r="U256" s="168">
        <f>IF(T256=0,0,[1]Protect!$B76)</f>
        <v>7500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0</v>
      </c>
      <c r="U257" s="168">
        <f>IF(T257=0,0,[1]Protect!$B77)</f>
        <v>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0</v>
      </c>
      <c r="U258" s="168">
        <f>IF(T258=0,0,[1]Protect!$B78)</f>
        <v>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2893.6000000000004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2893.6000000000004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50.55</v>
      </c>
      <c r="U272" s="168"/>
      <c r="V272" s="168"/>
      <c r="W272" s="168">
        <f>W234</f>
        <v>6</v>
      </c>
      <c r="X272" s="168">
        <f>T272*W272</f>
        <v>303.29999999999995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Z2_OL_T1_s3</v>
      </c>
      <c r="D1" s="252" t="str">
        <f>CONCATENATE(C1,"_corr")</f>
        <v>Z2_OL_T1_s3_corr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573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574</v>
      </c>
      <c r="C25" s="172">
        <f>Scénario!K56</f>
        <v>0</v>
      </c>
      <c r="D25" s="172">
        <f t="shared" si="0"/>
        <v>0</v>
      </c>
    </row>
    <row r="26" spans="2:5" x14ac:dyDescent="0.25">
      <c r="B26" s="14" t="s">
        <v>577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580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582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3</v>
      </c>
      <c r="D51" s="172">
        <f t="shared" si="0"/>
        <v>3</v>
      </c>
      <c r="E51" s="14"/>
    </row>
    <row r="52" spans="1:132" x14ac:dyDescent="0.25">
      <c r="B52" s="19" t="s">
        <v>603</v>
      </c>
      <c r="C52" s="172">
        <f>Scénario!K84</f>
        <v>1</v>
      </c>
      <c r="D52" s="172">
        <f t="shared" si="0"/>
        <v>1</v>
      </c>
      <c r="E52" s="14"/>
    </row>
    <row r="53" spans="1:132" x14ac:dyDescent="0.25">
      <c r="B53" s="14" t="s">
        <v>614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631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11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2.5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2</v>
      </c>
      <c r="D98" s="168">
        <f>C98</f>
        <v>2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2</v>
      </c>
      <c r="BH98" s="168">
        <f>IF(CdTrp1!N52=1,3,IF(CdTrp1!N52=0.5,2,IF(CdTrp1!N52=0,1,0)))</f>
        <v>2</v>
      </c>
      <c r="BI98" s="168">
        <f>IF(CdTrp1!O52=1,3,IF(CdTrp1!O52=0.5,2,IF(CdTrp1!O52=0,1,0)))</f>
        <v>2</v>
      </c>
      <c r="BJ98" s="168">
        <f>IF(CdTrp1!P52=1,3,IF(CdTrp1!P52=0.5,2,IF(CdTrp1!P52=0,1,0)))</f>
        <v>2</v>
      </c>
      <c r="BK98" s="168">
        <f>IF(CdTrp1!Q52=1,3,IF(CdTrp1!Q52=0.5,2,IF(CdTrp1!Q52=0,1,0)))</f>
        <v>2</v>
      </c>
      <c r="BL98" s="168">
        <f>IF(CdTrp1!R52=1,3,IF(CdTrp1!R52=0.5,2,IF(CdTrp1!R52=0,1,0)))</f>
        <v>2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3</v>
      </c>
      <c r="AY100" s="168">
        <f>IF(CdTrp1!E54=1,3,IF(CdTrp1!E54=0.5,2,IF(CdTrp1!E54=0,1,0)))</f>
        <v>3</v>
      </c>
      <c r="AZ100" s="168">
        <f>IF(CdTrp1!F54=1,3,IF(CdTrp1!F54=0.5,2,IF(CdTrp1!F54=0,1,0)))</f>
        <v>3</v>
      </c>
      <c r="BA100" s="168">
        <f>IF(CdTrp1!G54=1,3,IF(CdTrp1!G54=0.5,2,IF(CdTrp1!G54=0,1,0)))</f>
        <v>3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2</v>
      </c>
      <c r="BH100" s="168">
        <f>IF(CdTrp1!N54=1,3,IF(CdTrp1!N54=0.5,2,IF(CdTrp1!N54=0,1,0)))</f>
        <v>2</v>
      </c>
      <c r="BI100" s="168">
        <f>IF(CdTrp1!O54=1,3,IF(CdTrp1!O54=0.5,2,IF(CdTrp1!O54=0,1,0)))</f>
        <v>2</v>
      </c>
      <c r="BJ100" s="168">
        <f>IF(CdTrp1!P54=1,3,IF(CdTrp1!P54=0.5,2,IF(CdTrp1!P54=0,1,0)))</f>
        <v>2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3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2</v>
      </c>
      <c r="D101" s="168">
        <f t="shared" si="25"/>
        <v>2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19.5</v>
      </c>
      <c r="D106" s="168">
        <f t="shared" si="25"/>
        <v>19.5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19.5</v>
      </c>
      <c r="D109" s="168">
        <f t="shared" si="25"/>
        <v>19.5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19.5</v>
      </c>
      <c r="D110" s="168">
        <f t="shared" si="25"/>
        <v>19.5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0</v>
      </c>
      <c r="AY111" s="168">
        <f>IF(CdTrp1!E78=1,1,IF(CdTrp1!E78=2,2,IF(CdTrp1!E78=3,2,IF(CdTrp1!E78=4,4,0))))</f>
        <v>0</v>
      </c>
      <c r="AZ111" s="168">
        <f>IF(CdTrp1!F78=1,1,IF(CdTrp1!F78=2,2,IF(CdTrp1!F78=3,2,IF(CdTrp1!F78=4,4,0))))</f>
        <v>0</v>
      </c>
      <c r="BA111" s="168">
        <f>IF(CdTrp1!G78=1,1,IF(CdTrp1!G78=2,2,IF(CdTrp1!G78=3,2,IF(CdTrp1!G78=4,4,0))))</f>
        <v>0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1</v>
      </c>
      <c r="BH111" s="168">
        <f>IF(CdTrp1!N78=1,1,IF(CdTrp1!N78=2,2,IF(CdTrp1!N78=3,2,IF(CdTrp1!N78=4,4,0))))</f>
        <v>1</v>
      </c>
      <c r="BI111" s="168">
        <f>IF(CdTrp1!O78=1,1,IF(CdTrp1!O78=2,2,IF(CdTrp1!O78=3,2,IF(CdTrp1!O78=4,4,0))))</f>
        <v>1</v>
      </c>
      <c r="BJ111" s="168">
        <f>IF(CdTrp1!P78=1,1,IF(CdTrp1!P78=2,2,IF(CdTrp1!P78=3,2,IF(CdTrp1!P78=4,4,0))))</f>
        <v>1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0</v>
      </c>
      <c r="D122" s="168">
        <f t="shared" si="25"/>
        <v>0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0</v>
      </c>
      <c r="D125" s="168">
        <f t="shared" si="25"/>
        <v>0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0</v>
      </c>
      <c r="D128" s="168">
        <f t="shared" si="25"/>
        <v>0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70.926590867870075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126.76622681675089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75.965000000000003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70.794534896750903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53.1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126.8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5.1704651032491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93.2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-73.699999999999989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73.699999999999989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63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3370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14.5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232</v>
      </c>
      <c r="D185" s="168">
        <f>C185</f>
        <v>232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1345</v>
      </c>
      <c r="C188" s="168">
        <f>'Calcul éco'!T236</f>
        <v>0</v>
      </c>
      <c r="D188" s="168">
        <f t="shared" ref="D188:D189" si="101">C188</f>
        <v>0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4</v>
      </c>
      <c r="D189" s="168">
        <f t="shared" si="101"/>
        <v>4</v>
      </c>
      <c r="AH189" s="15"/>
      <c r="AJ189" s="14" t="s">
        <v>1152</v>
      </c>
      <c r="AK189" s="30">
        <f>D189</f>
        <v>4</v>
      </c>
      <c r="AO189" s="168">
        <f>ROUND((([1]Protect!$B$5/[1]Protect!$B$11)+[1]Protect!$B$8)*AK189,0)</f>
        <v>3617</v>
      </c>
    </row>
    <row r="190" spans="1:132" x14ac:dyDescent="0.25">
      <c r="B190" s="14" t="s">
        <v>1347</v>
      </c>
      <c r="C190" s="168">
        <f>'Calcul éco'!T246*(30)</f>
        <v>0</v>
      </c>
      <c r="D190" s="168">
        <f>C190</f>
        <v>0</v>
      </c>
      <c r="AH190" s="15"/>
      <c r="AJ190" s="14" t="s">
        <v>1153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1348</v>
      </c>
      <c r="C191" s="193">
        <f>ROUND(SUM(Travail!F69:F74)/8,1)</f>
        <v>24.4</v>
      </c>
      <c r="D191" s="168">
        <f>C191</f>
        <v>24.4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1352</v>
      </c>
      <c r="C192" s="168">
        <f>(Travail!F83+Travail!F84)/8</f>
        <v>0.47500000000000003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3617</v>
      </c>
    </row>
    <row r="193" spans="1:43" x14ac:dyDescent="0.25">
      <c r="B193" s="14" t="s">
        <v>1354</v>
      </c>
      <c r="C193" s="168">
        <f>(Travail!F75+Travail!F76+Travail!F81)/8</f>
        <v>12.75</v>
      </c>
      <c r="D193" s="168">
        <f>C193</f>
        <v>12.75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1725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871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3617</v>
      </c>
      <c r="AQ207" s="5"/>
    </row>
    <row r="208" spans="1:43" x14ac:dyDescent="0.25">
      <c r="B208" s="206" t="s">
        <v>1022</v>
      </c>
      <c r="C208" s="168">
        <f>ROUND('Calcul éco'!J44,0)</f>
        <v>1191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3617</v>
      </c>
      <c r="AQ208" s="239"/>
    </row>
    <row r="209" spans="1:43" x14ac:dyDescent="0.25">
      <c r="B209" s="19" t="s">
        <v>1024</v>
      </c>
      <c r="C209" s="168">
        <f>ROUND('Calcul éco'!J45,0)</f>
        <v>5249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3617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2894</v>
      </c>
      <c r="D210" s="261">
        <f>ROUND(AL207,0)</f>
        <v>3617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17859.2</v>
      </c>
      <c r="D211" s="261">
        <f>ROUND(SUM(D201:D210),0)</f>
        <v>3617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953.71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19072.417470256729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3617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303.29999999999995</v>
      </c>
      <c r="D220" s="261">
        <f>SUM(AN215:AN219)</f>
        <v>0</v>
      </c>
      <c r="E220" s="17" t="s">
        <v>1390</v>
      </c>
      <c r="H220" s="14" t="s">
        <v>1035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43897</v>
      </c>
      <c r="D221" s="261">
        <f>ROUND(SUM(D216:D220),0)</f>
        <v>0</v>
      </c>
      <c r="E221" s="17" t="s">
        <v>1390</v>
      </c>
      <c r="H221" s="14" t="s">
        <v>1036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-162.9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-120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1398</v>
      </c>
      <c r="C235" s="168">
        <f>'Calcul éco'!J167</f>
        <v>3197.5040000000004</v>
      </c>
      <c r="D235" s="261">
        <f>(D191+D192)*8*[1]Eco!$B$106</f>
        <v>2074.9760000000001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40598</v>
      </c>
      <c r="D236" s="261">
        <f>ROUND(SUM(D222:D235),0)</f>
        <v>17961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7379.1999999999971</v>
      </c>
      <c r="D237" s="261">
        <f>D194+D211-D221-D236</f>
        <v>-14344</v>
      </c>
    </row>
    <row r="238" spans="1:49" x14ac:dyDescent="0.25">
      <c r="B238" s="206" t="s">
        <v>1128</v>
      </c>
      <c r="C238" s="168">
        <f>ROUND(C237/Scénario!$K$4,0)</f>
        <v>3690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498.58857887107212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881</v>
      </c>
      <c r="D241" s="265">
        <f>ROUND(D237-D239-D240,0)</f>
        <v>-20344</v>
      </c>
    </row>
    <row r="242" spans="1:15" x14ac:dyDescent="0.25">
      <c r="B242" s="206" t="s">
        <v>1132</v>
      </c>
      <c r="C242" s="168">
        <f>ROUND(C241/Scénario!K4,0)</f>
        <v>441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20220</v>
      </c>
      <c r="D243" s="168">
        <f>C243</f>
        <v>20220</v>
      </c>
    </row>
    <row r="244" spans="1:15" x14ac:dyDescent="0.25">
      <c r="B244" s="206" t="s">
        <v>1403</v>
      </c>
      <c r="C244" s="168">
        <f>'Calcul éco'!AA237+'Calcul éco'!AA240</f>
        <v>4044</v>
      </c>
      <c r="D244" s="168">
        <f>C244</f>
        <v>4044</v>
      </c>
    </row>
    <row r="245" spans="1:15" x14ac:dyDescent="0.25">
      <c r="A245" s="2" t="s">
        <v>1404</v>
      </c>
      <c r="B245" s="14" t="s">
        <v>570</v>
      </c>
      <c r="C245" s="267">
        <f>Travail!F5</f>
        <v>546</v>
      </c>
      <c r="D245" s="168">
        <f>C245</f>
        <v>546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982.84953068592063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0</v>
      </c>
      <c r="D251" s="168">
        <f>C251</f>
        <v>0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79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18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195.2</v>
      </c>
      <c r="D275" s="168">
        <f>C275</f>
        <v>195.2</v>
      </c>
    </row>
    <row r="276" spans="1:4" x14ac:dyDescent="0.25">
      <c r="A276" s="23"/>
      <c r="B276" s="32" t="s">
        <v>1414</v>
      </c>
      <c r="C276" s="267">
        <f>C192*8</f>
        <v>3.8000000000000003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102</v>
      </c>
      <c r="D277" s="168">
        <f>C277</f>
        <v>102</v>
      </c>
    </row>
    <row r="278" spans="1:4" x14ac:dyDescent="0.25">
      <c r="B278" s="32" t="s">
        <v>1416</v>
      </c>
      <c r="C278" s="267">
        <f>Travail!F76</f>
        <v>0</v>
      </c>
      <c r="D278" s="168">
        <f>C278</f>
        <v>0</v>
      </c>
    </row>
    <row r="279" spans="1:4" x14ac:dyDescent="0.25">
      <c r="B279" s="32" t="s">
        <v>1417</v>
      </c>
      <c r="C279" s="267">
        <f>Travail!F86</f>
        <v>0</v>
      </c>
      <c r="D279" s="267">
        <f>C279</f>
        <v>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3874</v>
      </c>
      <c r="D281" s="261">
        <f>ROUND(D245+D248+D251+D254+D257+D260+D261,0)</f>
        <v>766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15.88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3874</v>
      </c>
      <c r="D287" s="261">
        <f>SUM(D281:D283)</f>
        <v>766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148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301</v>
      </c>
      <c r="D290" s="268">
        <f>D275+D276+D277</f>
        <v>297.2</v>
      </c>
    </row>
    <row r="291" spans="2:4" x14ac:dyDescent="0.25">
      <c r="B291" s="14" t="s">
        <v>1430</v>
      </c>
      <c r="C291" s="267">
        <f>C278+C279+C280</f>
        <v>0</v>
      </c>
      <c r="D291" s="267">
        <f>D278+D279+D280</f>
        <v>0</v>
      </c>
    </row>
    <row r="292" spans="2:4" x14ac:dyDescent="0.25">
      <c r="B292" s="14" t="s">
        <v>908</v>
      </c>
      <c r="C292" s="168">
        <f>ROUND(SUM(C287:C291),0)</f>
        <v>4923</v>
      </c>
      <c r="D292" s="261">
        <f>ROUND(SUM(D287:D291),0)</f>
        <v>1663</v>
      </c>
    </row>
    <row r="293" spans="2:4" x14ac:dyDescent="0.25">
      <c r="B293" s="14" t="s">
        <v>909</v>
      </c>
      <c r="C293" s="168">
        <f>ROUND(IF(Scénario!$K$129=1,SUM(C275:C280),SUM(C278:C280)),0)</f>
        <v>301</v>
      </c>
      <c r="D293" s="168">
        <f>ROUND(IF(Scénario!$K$129=1,SUM(D275:D280),SUM(D278:D280)),0)</f>
        <v>297</v>
      </c>
    </row>
    <row r="294" spans="2:4" x14ac:dyDescent="0.25">
      <c r="B294" s="14" t="s">
        <v>910</v>
      </c>
      <c r="C294" s="168">
        <f>ROUND((C292-C293)/C83,0)</f>
        <v>2311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70.794534896750918</v>
      </c>
    </row>
    <row r="299" spans="2:4" x14ac:dyDescent="0.25">
      <c r="B299" s="14" t="s">
        <v>1454</v>
      </c>
      <c r="C299" s="168">
        <f>IF(Troupeau!$B$3="OL",CdTrp1!AA221,0)</f>
        <v>0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20220</v>
      </c>
    </row>
    <row r="308" spans="2:3" x14ac:dyDescent="0.25">
      <c r="B308" s="14" t="s">
        <v>1463</v>
      </c>
      <c r="C308" s="168">
        <f>'Calcul éco'!X235</f>
        <v>0</v>
      </c>
    </row>
    <row r="309" spans="2:3" x14ac:dyDescent="0.25">
      <c r="B309" s="14" t="s">
        <v>1464</v>
      </c>
      <c r="C309" s="168">
        <f>'Calcul éco'!X236</f>
        <v>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109" activePane="bottomLeft" state="frozen"/>
      <selection pane="bottomLeft" activeCell="N126" sqref="N12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36.866468378209134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239.81588447653428</v>
      </c>
      <c r="N63" s="61">
        <f t="shared" si="17"/>
        <v>247.80974729241873</v>
      </c>
      <c r="O63" s="61">
        <f t="shared" si="17"/>
        <v>247.80974729241873</v>
      </c>
      <c r="P63" s="61">
        <f t="shared" si="17"/>
        <v>247.80974729241873</v>
      </c>
      <c r="Q63" s="61">
        <f t="shared" si="17"/>
        <v>247.80974729241873</v>
      </c>
      <c r="R63" s="61">
        <f t="shared" si="17"/>
        <v>239.81588447653428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45.875523465703971</v>
      </c>
      <c r="E65" s="61">
        <f t="shared" si="19"/>
        <v>45.875523465703971</v>
      </c>
      <c r="F65" s="61">
        <f t="shared" si="19"/>
        <v>80.282166064981951</v>
      </c>
      <c r="G65" s="61">
        <f t="shared" si="19"/>
        <v>80.282166064981951</v>
      </c>
      <c r="H65" s="61">
        <f t="shared" si="19"/>
        <v>77.692418772563187</v>
      </c>
      <c r="I65" s="61">
        <f t="shared" si="19"/>
        <v>77.692418772563187</v>
      </c>
      <c r="J65" s="61">
        <f t="shared" si="19"/>
        <v>80.282166064981951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24.97256317689531</v>
      </c>
      <c r="N65" s="61">
        <f t="shared" si="19"/>
        <v>55.296389891696755</v>
      </c>
      <c r="O65" s="61">
        <f t="shared" si="19"/>
        <v>55.296389891696755</v>
      </c>
      <c r="P65" s="61">
        <f t="shared" si="19"/>
        <v>55.296389891696755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50.790758122743682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12.288086642599277</v>
      </c>
      <c r="H66" s="61">
        <f t="shared" si="20"/>
        <v>11.891696750902526</v>
      </c>
      <c r="I66" s="61">
        <f t="shared" si="20"/>
        <v>11.891696750902526</v>
      </c>
      <c r="J66" s="61">
        <f t="shared" si="20"/>
        <v>12.288086642599277</v>
      </c>
      <c r="K66" s="61">
        <f t="shared" si="20"/>
        <v>12.288086642599277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479</v>
      </c>
      <c r="E73" s="64">
        <f t="shared" si="27"/>
        <v>282</v>
      </c>
      <c r="F73" s="64">
        <f t="shared" si="27"/>
        <v>339</v>
      </c>
      <c r="G73" s="64">
        <f t="shared" si="27"/>
        <v>338</v>
      </c>
      <c r="H73" s="64">
        <f t="shared" si="27"/>
        <v>326</v>
      </c>
      <c r="I73" s="64">
        <f t="shared" si="27"/>
        <v>325</v>
      </c>
      <c r="J73" s="64">
        <f t="shared" si="27"/>
        <v>335</v>
      </c>
      <c r="K73" s="64">
        <f t="shared" si="27"/>
        <v>294</v>
      </c>
      <c r="L73" s="64">
        <f t="shared" si="27"/>
        <v>265</v>
      </c>
      <c r="M73" s="64">
        <f t="shared" si="27"/>
        <v>265</v>
      </c>
      <c r="N73" s="64">
        <f t="shared" si="27"/>
        <v>303</v>
      </c>
      <c r="O73" s="64">
        <f t="shared" si="27"/>
        <v>303</v>
      </c>
      <c r="P73" s="64">
        <f t="shared" si="27"/>
        <v>303</v>
      </c>
      <c r="Q73" s="64">
        <f t="shared" si="27"/>
        <v>303</v>
      </c>
      <c r="R73" s="64">
        <f t="shared" si="27"/>
        <v>293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602</v>
      </c>
      <c r="Y73" s="64">
        <f t="shared" si="27"/>
        <v>602</v>
      </c>
      <c r="Z73" s="52"/>
      <c r="AA73" s="56">
        <f>ROUND(SUM(B73:Y73),0)</f>
        <v>8595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19.5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159">
        <v>0.8</v>
      </c>
      <c r="N123" s="159">
        <v>0.7</v>
      </c>
      <c r="O123" s="159">
        <v>0.7</v>
      </c>
      <c r="P123" s="159">
        <v>0.7</v>
      </c>
      <c r="Q123" s="159">
        <v>0.7</v>
      </c>
      <c r="R123" s="159">
        <v>0.8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/>
      <c r="C125" s="60"/>
      <c r="D125" s="60"/>
      <c r="E125" s="60"/>
      <c r="F125" s="60"/>
      <c r="G125" s="60"/>
      <c r="H125" s="60"/>
      <c r="I125" s="159"/>
      <c r="J125" s="159"/>
      <c r="K125" s="159">
        <v>0.8</v>
      </c>
      <c r="L125" s="159">
        <v>0.8</v>
      </c>
      <c r="M125" s="159">
        <v>0.8</v>
      </c>
      <c r="N125" s="159">
        <v>0.7</v>
      </c>
      <c r="O125" s="159">
        <v>0.7</v>
      </c>
      <c r="P125" s="159">
        <v>0.7</v>
      </c>
      <c r="Q125" s="159">
        <v>0.7</v>
      </c>
      <c r="R125" s="159">
        <v>0.8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0.96597838267148006</v>
      </c>
      <c r="N136" s="61">
        <f t="shared" si="50"/>
        <v>1.4972664931407942</v>
      </c>
      <c r="O136" s="61">
        <f t="shared" si="50"/>
        <v>1.4972664931407942</v>
      </c>
      <c r="P136" s="61">
        <f t="shared" si="50"/>
        <v>1.4972664931407942</v>
      </c>
      <c r="Q136" s="61">
        <f t="shared" si="50"/>
        <v>1.4972664931407942</v>
      </c>
      <c r="R136" s="61">
        <f t="shared" si="50"/>
        <v>0.96597838267148006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81.40070117545126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0.59638180505415161</v>
      </c>
      <c r="E138" s="61">
        <f t="shared" si="51"/>
        <v>0.59638180505415161</v>
      </c>
      <c r="F138" s="61">
        <f t="shared" si="51"/>
        <v>1.0436681588447654</v>
      </c>
      <c r="G138" s="61">
        <f t="shared" si="51"/>
        <v>1.0436681588447654</v>
      </c>
      <c r="H138" s="61">
        <f t="shared" si="51"/>
        <v>1.0100014440433214</v>
      </c>
      <c r="I138" s="61">
        <f t="shared" si="51"/>
        <v>1.0100014440433214</v>
      </c>
      <c r="J138" s="61">
        <f t="shared" si="51"/>
        <v>1.0436681588447654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0.12985732851985557</v>
      </c>
      <c r="N138" s="61">
        <f t="shared" si="51"/>
        <v>0.4313118411552348</v>
      </c>
      <c r="O138" s="61">
        <f t="shared" si="51"/>
        <v>0.4313118411552348</v>
      </c>
      <c r="P138" s="61">
        <f t="shared" si="51"/>
        <v>0.4313118411552348</v>
      </c>
      <c r="Q138" s="61">
        <f t="shared" si="51"/>
        <v>0.4313118411552348</v>
      </c>
      <c r="R138" s="61">
        <f t="shared" si="51"/>
        <v>0.27826570397111905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14.003876144404332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0.1597451263537906</v>
      </c>
      <c r="H139" s="61">
        <f t="shared" si="51"/>
        <v>0.15459205776173282</v>
      </c>
      <c r="I139" s="61">
        <f t="shared" si="51"/>
        <v>0.15459205776173282</v>
      </c>
      <c r="J139" s="61">
        <f t="shared" si="51"/>
        <v>0.1597451263537906</v>
      </c>
      <c r="K139" s="61">
        <f t="shared" si="51"/>
        <v>0.1597451263537906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2.1849010830324906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110.23150157978338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126.76622681675089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3.8639135306859211</v>
      </c>
      <c r="N149" s="61">
        <f t="shared" si="54"/>
        <v>3.4936218173285192</v>
      </c>
      <c r="O149" s="61">
        <f t="shared" si="54"/>
        <v>3.4936218173285192</v>
      </c>
      <c r="P149" s="61">
        <f t="shared" si="54"/>
        <v>3.4936218173285192</v>
      </c>
      <c r="Q149" s="61">
        <f t="shared" si="54"/>
        <v>3.4936218173285192</v>
      </c>
      <c r="R149" s="61">
        <f t="shared" si="54"/>
        <v>3.8639135306859211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0.5194293140794225</v>
      </c>
      <c r="N151" s="61">
        <f t="shared" si="56"/>
        <v>1.006394296028881</v>
      </c>
      <c r="O151" s="61">
        <f t="shared" si="56"/>
        <v>1.006394296028881</v>
      </c>
      <c r="P151" s="61">
        <f t="shared" si="56"/>
        <v>1.006394296028881</v>
      </c>
      <c r="Q151" s="61">
        <f t="shared" si="56"/>
        <v>1.006394296028881</v>
      </c>
      <c r="R151" s="61">
        <f t="shared" si="56"/>
        <v>1.1130628158844766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70.926590867870075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3.8639135306859211</v>
      </c>
      <c r="N162" s="61">
        <f t="shared" si="64"/>
        <v>3.4936218173285192</v>
      </c>
      <c r="O162" s="61">
        <f t="shared" si="64"/>
        <v>3.4936218173285192</v>
      </c>
      <c r="P162" s="61">
        <f t="shared" si="64"/>
        <v>3.4936218173285192</v>
      </c>
      <c r="Q162" s="61">
        <f t="shared" si="64"/>
        <v>3.4936218173285192</v>
      </c>
      <c r="R162" s="61">
        <f t="shared" si="64"/>
        <v>3.8639135306859211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0.5194293140794225</v>
      </c>
      <c r="N164" s="61">
        <f t="shared" si="66"/>
        <v>1.006394296028881</v>
      </c>
      <c r="O164" s="61">
        <f t="shared" si="66"/>
        <v>1.006394296028881</v>
      </c>
      <c r="P164" s="61">
        <f t="shared" si="66"/>
        <v>1.006394296028881</v>
      </c>
      <c r="Q164" s="61">
        <f t="shared" si="66"/>
        <v>1.006394296028881</v>
      </c>
      <c r="R164" s="61">
        <f t="shared" si="66"/>
        <v>1.1130628158844766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0.44728635379061377</v>
      </c>
      <c r="E172" s="61">
        <f t="shared" si="74"/>
        <v>2.0876563364620941</v>
      </c>
      <c r="F172" s="61">
        <f t="shared" si="74"/>
        <v>2.3071189873646221</v>
      </c>
      <c r="G172" s="61">
        <f t="shared" si="74"/>
        <v>2.3128513797833938</v>
      </c>
      <c r="H172" s="61">
        <f t="shared" si="74"/>
        <v>2.2437907472924188</v>
      </c>
      <c r="I172" s="61">
        <f t="shared" si="74"/>
        <v>3.7520582490974732</v>
      </c>
      <c r="J172" s="61">
        <f t="shared" si="74"/>
        <v>6.2239158844765354</v>
      </c>
      <c r="K172" s="61">
        <f t="shared" si="74"/>
        <v>7.0950429227436835</v>
      </c>
      <c r="L172" s="61">
        <f t="shared" si="74"/>
        <v>4.3833428447653437</v>
      </c>
      <c r="M172" s="61">
        <f t="shared" si="74"/>
        <v>4.3833428447653437</v>
      </c>
      <c r="N172" s="61">
        <f t="shared" si="74"/>
        <v>4.5000161133574004</v>
      </c>
      <c r="O172" s="61">
        <f t="shared" si="74"/>
        <v>4.5000161133574004</v>
      </c>
      <c r="P172" s="61">
        <f t="shared" si="74"/>
        <v>4.5000161133574004</v>
      </c>
      <c r="Q172" s="61">
        <f t="shared" si="74"/>
        <v>4.5000161133574004</v>
      </c>
      <c r="R172" s="61">
        <f t="shared" si="74"/>
        <v>4.9769763465703978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70.794534896750918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0</v>
      </c>
      <c r="N201" s="61">
        <f t="shared" si="96"/>
        <v>0</v>
      </c>
      <c r="O201" s="61">
        <f t="shared" si="96"/>
        <v>0</v>
      </c>
      <c r="P201" s="61">
        <f t="shared" si="96"/>
        <v>0</v>
      </c>
      <c r="Q201" s="61">
        <f t="shared" si="96"/>
        <v>0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</v>
      </c>
      <c r="N203" s="61">
        <f t="shared" si="98"/>
        <v>0</v>
      </c>
      <c r="O203" s="61">
        <f t="shared" si="98"/>
        <v>0</v>
      </c>
      <c r="P203" s="61">
        <f t="shared" si="98"/>
        <v>0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0</v>
      </c>
      <c r="N211" s="61">
        <f t="shared" si="106"/>
        <v>0</v>
      </c>
      <c r="O211" s="61">
        <f t="shared" si="106"/>
        <v>0</v>
      </c>
      <c r="P211" s="61">
        <f t="shared" si="106"/>
        <v>0</v>
      </c>
      <c r="Q211" s="61">
        <f t="shared" si="106"/>
        <v>0</v>
      </c>
      <c r="R211" s="61">
        <f t="shared" si="106"/>
        <v>0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0.44728635379061377</v>
      </c>
      <c r="E215" s="61">
        <f t="shared" si="107"/>
        <v>2.0876563364620941</v>
      </c>
      <c r="F215" s="61">
        <f t="shared" si="107"/>
        <v>2.3071189873646221</v>
      </c>
      <c r="G215" s="61">
        <f t="shared" si="107"/>
        <v>2.3128513797833938</v>
      </c>
      <c r="H215" s="61">
        <f t="shared" si="107"/>
        <v>2.2437907472924188</v>
      </c>
      <c r="I215" s="61">
        <f t="shared" si="107"/>
        <v>3.7520582490974732</v>
      </c>
      <c r="J215" s="61">
        <f t="shared" si="107"/>
        <v>6.2239158844765354</v>
      </c>
      <c r="K215" s="61">
        <f t="shared" si="107"/>
        <v>7.0950429227436835</v>
      </c>
      <c r="L215" s="61">
        <f t="shared" si="107"/>
        <v>4.3833428447653437</v>
      </c>
      <c r="M215" s="61">
        <f t="shared" si="107"/>
        <v>4.3833428447653437</v>
      </c>
      <c r="N215" s="61">
        <f t="shared" si="107"/>
        <v>4.5000161133574004</v>
      </c>
      <c r="O215" s="61">
        <f t="shared" si="107"/>
        <v>4.5000161133574004</v>
      </c>
      <c r="P215" s="61">
        <f t="shared" si="107"/>
        <v>4.5000161133574004</v>
      </c>
      <c r="Q215" s="61">
        <f t="shared" si="107"/>
        <v>4.5000161133574004</v>
      </c>
      <c r="R215" s="61">
        <f t="shared" si="107"/>
        <v>4.9769763465703978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0</v>
      </c>
      <c r="N218" s="61">
        <f t="shared" si="110"/>
        <v>0</v>
      </c>
      <c r="O218" s="61">
        <f t="shared" si="110"/>
        <v>0</v>
      </c>
      <c r="P218" s="61">
        <f t="shared" si="110"/>
        <v>0</v>
      </c>
      <c r="Q218" s="61">
        <f t="shared" si="110"/>
        <v>0</v>
      </c>
      <c r="R218" s="61">
        <f t="shared" si="110"/>
        <v>0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70.794534896750918</v>
      </c>
      <c r="AB219" t="s">
        <v>221</v>
      </c>
    </row>
    <row r="220" spans="1:28" x14ac:dyDescent="0.25">
      <c r="AA220" s="30">
        <f>SUM(B215:Y217)</f>
        <v>70.794534896750918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2023-01-09T10:13:36Z</dcterms:modified>
</cp:coreProperties>
</file>