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3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l" sheetId="27" r:id="rId16"/>
  </sheets>
  <externalReferences>
    <externalReference r:id="rId17"/>
  </externalReferences>
  <calcPr calcId="162913"/>
  <pivotCaches>
    <pivotCache cacheId="175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BD5" i="29" s="1"/>
  <c r="BE5" i="29" s="1"/>
  <c r="BF5" i="29" s="1"/>
  <c r="AX5" i="29"/>
  <c r="AY5" i="29"/>
  <c r="AZ5" i="29"/>
  <c r="BA5" i="29"/>
  <c r="BB5" i="29"/>
  <c r="BC5" i="29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BD8" i="29" s="1"/>
  <c r="BE8" i="29" s="1"/>
  <c r="BF8" i="29" s="1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BE10" i="29"/>
  <c r="BF10" i="29" s="1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BD13" i="29"/>
  <c r="BE13" i="29"/>
  <c r="BF13" i="29" s="1"/>
  <c r="AV14" i="29"/>
  <c r="AW14" i="29"/>
  <c r="BJ14" i="29" s="1"/>
  <c r="AX14" i="29"/>
  <c r="AY14" i="29"/>
  <c r="AZ14" i="29"/>
  <c r="BA14" i="29"/>
  <c r="BB14" i="29"/>
  <c r="BC14" i="29"/>
  <c r="BH14" i="29"/>
  <c r="BI14" i="29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BG15" i="29"/>
  <c r="BH15" i="29"/>
  <c r="BI15" i="29"/>
  <c r="BJ15" i="29"/>
  <c r="BK15" i="29"/>
  <c r="BL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BG16" i="29"/>
  <c r="BH16" i="29"/>
  <c r="BI16" i="29"/>
  <c r="BJ16" i="29"/>
  <c r="BK16" i="29"/>
  <c r="BL16" i="29"/>
  <c r="AV17" i="29"/>
  <c r="AW17" i="29"/>
  <c r="BG17" i="29" s="1"/>
  <c r="AX17" i="29"/>
  <c r="AY17" i="29"/>
  <c r="AZ17" i="29"/>
  <c r="BA17" i="29"/>
  <c r="BB17" i="29"/>
  <c r="BC17" i="29"/>
  <c r="AV18" i="29"/>
  <c r="AW18" i="29"/>
  <c r="BI18" i="29" s="1"/>
  <c r="AX18" i="29"/>
  <c r="AY18" i="29"/>
  <c r="AZ18" i="29"/>
  <c r="BA18" i="29"/>
  <c r="BB18" i="29"/>
  <c r="BC18" i="29"/>
  <c r="AV19" i="29"/>
  <c r="AW19" i="29"/>
  <c r="BG19" i="29" s="1"/>
  <c r="AX19" i="29"/>
  <c r="AY19" i="29"/>
  <c r="AZ19" i="29"/>
  <c r="BA19" i="29"/>
  <c r="BB19" i="29"/>
  <c r="BC19" i="29"/>
  <c r="BD19" i="29"/>
  <c r="BE19" i="29" s="1"/>
  <c r="BF19" i="29" s="1"/>
  <c r="BH19" i="29"/>
  <c r="BK19" i="29"/>
  <c r="BL19" i="29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BG20" i="29"/>
  <c r="BH20" i="29"/>
  <c r="BI20" i="29"/>
  <c r="BJ20" i="29"/>
  <c r="BK20" i="29"/>
  <c r="BL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J22" i="29" s="1"/>
  <c r="AX22" i="29"/>
  <c r="AY22" i="29"/>
  <c r="AZ22" i="29"/>
  <c r="BA22" i="29"/>
  <c r="BB22" i="29"/>
  <c r="BC22" i="29"/>
  <c r="BH22" i="29"/>
  <c r="BI22" i="29"/>
  <c r="AV23" i="29"/>
  <c r="AW23" i="29"/>
  <c r="AX23" i="29"/>
  <c r="AY23" i="29"/>
  <c r="BD23" i="29" s="1"/>
  <c r="BE23" i="29" s="1"/>
  <c r="BF23" i="29" s="1"/>
  <c r="AZ23" i="29"/>
  <c r="BA23" i="29"/>
  <c r="BB23" i="29"/>
  <c r="BC23" i="29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K27" i="29"/>
  <c r="BL27" i="29"/>
  <c r="AV28" i="29"/>
  <c r="AW28" i="29"/>
  <c r="BH28" i="29" s="1"/>
  <c r="AX28" i="29"/>
  <c r="AY28" i="29"/>
  <c r="BD28" i="29" s="1"/>
  <c r="BE28" i="29" s="1"/>
  <c r="BF28" i="29" s="1"/>
  <c r="AZ28" i="29"/>
  <c r="BA28" i="29"/>
  <c r="BB28" i="29"/>
  <c r="BC28" i="29"/>
  <c r="BG28" i="29"/>
  <c r="BJ28" i="29"/>
  <c r="BK28" i="29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H30" i="29"/>
  <c r="BI30" i="29"/>
  <c r="C150" i="31"/>
  <c r="C151" i="31"/>
  <c r="C152" i="31"/>
  <c r="C153" i="31"/>
  <c r="C154" i="31"/>
  <c r="C155" i="31"/>
  <c r="C149" i="31"/>
  <c r="BK13" i="29" l="1"/>
  <c r="BJ13" i="29"/>
  <c r="BG11" i="29"/>
  <c r="BJ6" i="29"/>
  <c r="BK6" i="29"/>
  <c r="BI6" i="29"/>
  <c r="BL6" i="29"/>
  <c r="BH6" i="29"/>
  <c r="BG6" i="29"/>
  <c r="BL11" i="29"/>
  <c r="BH11" i="29"/>
  <c r="BK11" i="29"/>
  <c r="BI10" i="29"/>
  <c r="BH8" i="29"/>
  <c r="BK8" i="29"/>
  <c r="BG8" i="29"/>
  <c r="BI8" i="29"/>
  <c r="BJ8" i="29"/>
  <c r="BL12" i="29"/>
  <c r="BG12" i="29"/>
  <c r="BK12" i="29"/>
  <c r="BI12" i="29"/>
  <c r="BJ12" i="29"/>
  <c r="BK5" i="29"/>
  <c r="BL5" i="29"/>
  <c r="BJ5" i="29"/>
  <c r="BI5" i="29"/>
  <c r="BH5" i="29"/>
  <c r="BH12" i="29"/>
  <c r="BI7" i="29"/>
  <c r="BJ7" i="29"/>
  <c r="BH7" i="29"/>
  <c r="BK7" i="29"/>
  <c r="BL7" i="29"/>
  <c r="BG7" i="29"/>
  <c r="BL4" i="29"/>
  <c r="BK4" i="29"/>
  <c r="BG4" i="29"/>
  <c r="BH4" i="29"/>
  <c r="BJ4" i="29"/>
  <c r="BI4" i="29"/>
  <c r="BL26" i="29"/>
  <c r="BL18" i="29"/>
  <c r="BG30" i="29"/>
  <c r="BI28" i="29"/>
  <c r="BJ27" i="29"/>
  <c r="BK26" i="29"/>
  <c r="BL25" i="29"/>
  <c r="BD25" i="29"/>
  <c r="BE25" i="29" s="1"/>
  <c r="BF25" i="29" s="1"/>
  <c r="BG22" i="29"/>
  <c r="BJ19" i="29"/>
  <c r="BK18" i="29"/>
  <c r="BL17" i="29"/>
  <c r="BD17" i="29"/>
  <c r="BE17" i="29" s="1"/>
  <c r="BF17" i="29" s="1"/>
  <c r="BG14" i="29"/>
  <c r="BH13" i="29"/>
  <c r="BJ11" i="29"/>
  <c r="BK10" i="29"/>
  <c r="BD9" i="29"/>
  <c r="BD26" i="29"/>
  <c r="BE26" i="29" s="1"/>
  <c r="BF26" i="29" s="1"/>
  <c r="BD18" i="29"/>
  <c r="BE18" i="29" s="1"/>
  <c r="BF18" i="29" s="1"/>
  <c r="BI13" i="29"/>
  <c r="BL10" i="29"/>
  <c r="BD10" i="29"/>
  <c r="BE9" i="29"/>
  <c r="BF9" i="29" s="1"/>
  <c r="BL9" i="29" s="1"/>
  <c r="BI27" i="29"/>
  <c r="BJ26" i="29"/>
  <c r="BK25" i="29"/>
  <c r="BI19" i="29"/>
  <c r="BJ18" i="29"/>
  <c r="BK17" i="29"/>
  <c r="BG13" i="29"/>
  <c r="BI11" i="29"/>
  <c r="BJ10" i="29"/>
  <c r="BL8" i="29"/>
  <c r="BG5" i="29"/>
  <c r="BI26" i="29"/>
  <c r="BJ17" i="29"/>
  <c r="BL30" i="29"/>
  <c r="BD30" i="29"/>
  <c r="BE30" i="29" s="1"/>
  <c r="BF30" i="29" s="1"/>
  <c r="BH26" i="29"/>
  <c r="BI25" i="29"/>
  <c r="BL22" i="29"/>
  <c r="BD22" i="29"/>
  <c r="BE22" i="29" s="1"/>
  <c r="BF22" i="29" s="1"/>
  <c r="BH18" i="29"/>
  <c r="BI17" i="29"/>
  <c r="BL14" i="29"/>
  <c r="BD14" i="29"/>
  <c r="BE14" i="29" s="1"/>
  <c r="BF14" i="29" s="1"/>
  <c r="BH10" i="29"/>
  <c r="BK30" i="29"/>
  <c r="BH25" i="29"/>
  <c r="BK22" i="29"/>
  <c r="BG18" i="29"/>
  <c r="BH17" i="29"/>
  <c r="BK14" i="29"/>
  <c r="BL13" i="29"/>
  <c r="BG10" i="29"/>
  <c r="BJ25" i="29"/>
  <c r="BJ9" i="29" l="1"/>
  <c r="BH9" i="29"/>
  <c r="BG9" i="29"/>
  <c r="BI9" i="29"/>
  <c r="BK9" i="29"/>
  <c r="AF4" i="18" l="1"/>
  <c r="T38" i="31" l="1"/>
  <c r="C295" i="32" l="1"/>
  <c r="C301" i="32"/>
  <c r="C300" i="32"/>
  <c r="C299" i="32"/>
  <c r="C298" i="32"/>
  <c r="C297" i="32"/>
  <c r="C296" i="32"/>
  <c r="O8" i="23" l="1"/>
  <c r="J3" i="7"/>
  <c r="J4" i="7"/>
  <c r="J5" i="7"/>
  <c r="J6" i="7"/>
  <c r="J7" i="7"/>
  <c r="J8" i="7"/>
  <c r="J9" i="7"/>
  <c r="J10" i="7"/>
  <c r="J2" i="7"/>
  <c r="S8" i="23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AX110" i="30"/>
  <c r="AW110" i="30"/>
  <c r="AV110" i="30"/>
  <c r="BS109" i="30"/>
  <c r="BR109" i="30"/>
  <c r="BQ109" i="30"/>
  <c r="AX109" i="30"/>
  <c r="AW109" i="30"/>
  <c r="AV109" i="30"/>
  <c r="BS108" i="30"/>
  <c r="BR108" i="30"/>
  <c r="BQ108" i="30"/>
  <c r="AX108" i="30"/>
  <c r="AW108" i="30"/>
  <c r="AV108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E12" i="29"/>
  <c r="D12" i="29"/>
  <c r="C12" i="29"/>
  <c r="C10" i="29"/>
  <c r="Z9" i="29"/>
  <c r="Y9" i="29"/>
  <c r="X9" i="29"/>
  <c r="E9" i="29"/>
  <c r="D9" i="29"/>
  <c r="C9" i="29"/>
  <c r="Z8" i="29"/>
  <c r="Y8" i="29"/>
  <c r="X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O213" i="29" s="1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P196" i="29" s="1"/>
  <c r="T76" i="30" s="1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X195" i="29" s="1"/>
  <c r="AB75" i="30" s="1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K195" i="29" s="1"/>
  <c r="O75" i="30" s="1"/>
  <c r="J180" i="29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Y195" i="29"/>
  <c r="AC75" i="30" s="1"/>
  <c r="R195" i="29"/>
  <c r="V75" i="30" s="1"/>
  <c r="J195" i="29"/>
  <c r="N75" i="30" s="1"/>
  <c r="C195" i="29"/>
  <c r="G75" i="30" s="1"/>
  <c r="AJ8" i="29"/>
  <c r="T245" i="31" s="1"/>
  <c r="X245" i="31" s="1"/>
  <c r="N203" i="29" l="1"/>
  <c r="E213" i="29"/>
  <c r="L196" i="29"/>
  <c r="P76" i="30" s="1"/>
  <c r="V203" i="29"/>
  <c r="B81" i="30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E214" i="29" s="1"/>
  <c r="G212" i="29"/>
  <c r="I212" i="29"/>
  <c r="K212" i="29"/>
  <c r="M212" i="29"/>
  <c r="O212" i="29"/>
  <c r="O214" i="29" s="1"/>
  <c r="Q212" i="29"/>
  <c r="S212" i="29"/>
  <c r="U212" i="29"/>
  <c r="W212" i="29"/>
  <c r="M213" i="29"/>
  <c r="Y213" i="29"/>
  <c r="Z212" i="29"/>
  <c r="Z214" i="29" s="1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X214" i="29" l="1"/>
  <c r="G214" i="29"/>
  <c r="F76" i="30"/>
  <c r="C278" i="32" s="1"/>
  <c r="D278" i="32" s="1"/>
  <c r="H214" i="29"/>
  <c r="F75" i="30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C229" i="32" l="1"/>
  <c r="B152" i="31" l="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s="1"/>
  <c r="C83" i="32" l="1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B134" i="32" s="1"/>
  <c r="AA94" i="32"/>
  <c r="Z94" i="32"/>
  <c r="Y94" i="32"/>
  <c r="X94" i="32"/>
  <c r="W94" i="32"/>
  <c r="V94" i="32"/>
  <c r="U94" i="32"/>
  <c r="T94" i="32"/>
  <c r="T129" i="32" s="1"/>
  <c r="S94" i="32"/>
  <c r="R94" i="32"/>
  <c r="Q94" i="32"/>
  <c r="P94" i="32"/>
  <c r="O94" i="32"/>
  <c r="N94" i="32"/>
  <c r="M94" i="32"/>
  <c r="L94" i="32"/>
  <c r="L134" i="32" s="1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S153" i="32" s="1"/>
  <c r="BR100" i="32"/>
  <c r="BR153" i="32" s="1"/>
  <c r="BQ100" i="32"/>
  <c r="BQ153" i="32" s="1"/>
  <c r="BP100" i="32"/>
  <c r="BP153" i="32" s="1"/>
  <c r="BO100" i="32"/>
  <c r="BO153" i="32" s="1"/>
  <c r="BN100" i="32"/>
  <c r="BN153" i="32" s="1"/>
  <c r="BM100" i="32"/>
  <c r="BL100" i="32"/>
  <c r="BL153" i="32" s="1"/>
  <c r="BK100" i="32"/>
  <c r="BK153" i="32" s="1"/>
  <c r="BJ100" i="32"/>
  <c r="BJ153" i="32" s="1"/>
  <c r="BI100" i="32"/>
  <c r="BI153" i="32" s="1"/>
  <c r="BH100" i="32"/>
  <c r="BH153" i="32" s="1"/>
  <c r="BG100" i="32"/>
  <c r="BG153" i="32" s="1"/>
  <c r="BF100" i="32"/>
  <c r="BF153" i="32" s="1"/>
  <c r="BE100" i="32"/>
  <c r="BD100" i="32"/>
  <c r="BD153" i="32" s="1"/>
  <c r="BC100" i="32"/>
  <c r="BC153" i="32" s="1"/>
  <c r="BB100" i="32"/>
  <c r="BB153" i="32" s="1"/>
  <c r="BA100" i="32"/>
  <c r="BA153" i="32" s="1"/>
  <c r="AZ100" i="32"/>
  <c r="AZ153" i="32" s="1"/>
  <c r="AY100" i="32"/>
  <c r="AY153" i="32" s="1"/>
  <c r="AX100" i="32"/>
  <c r="AX153" i="32" s="1"/>
  <c r="AW100" i="32"/>
  <c r="AW153" i="32" s="1"/>
  <c r="AV100" i="32"/>
  <c r="AV153" i="32" s="1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P39" i="30"/>
  <c r="BO39" i="30"/>
  <c r="BN39" i="30"/>
  <c r="BM39" i="30"/>
  <c r="BM92" i="30" s="1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B92" i="30" s="1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I91" i="30" s="1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L110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R7" i="30"/>
  <c r="BR18" i="30" s="1"/>
  <c r="BQ7" i="30"/>
  <c r="BP7" i="30"/>
  <c r="BO7" i="30"/>
  <c r="BO18" i="30" s="1"/>
  <c r="BO63" i="30" s="1"/>
  <c r="BO109" i="30" s="1"/>
  <c r="BN7" i="30"/>
  <c r="BM7" i="30"/>
  <c r="BL7" i="30"/>
  <c r="BL18" i="30" s="1"/>
  <c r="BK7" i="30"/>
  <c r="BJ7" i="30"/>
  <c r="BI7" i="30"/>
  <c r="BH7" i="30"/>
  <c r="BG7" i="30"/>
  <c r="BG18" i="30" s="1"/>
  <c r="BG63" i="30" s="1"/>
  <c r="BG109" i="30" s="1"/>
  <c r="BF7" i="30"/>
  <c r="BE7" i="30"/>
  <c r="BD7" i="30"/>
  <c r="BD18" i="30" s="1"/>
  <c r="BC7" i="30"/>
  <c r="BB7" i="30"/>
  <c r="BB18" i="30" s="1"/>
  <c r="BA7" i="30"/>
  <c r="AZ7" i="30"/>
  <c r="AY7" i="30"/>
  <c r="AY18" i="30" s="1"/>
  <c r="AY63" i="30" s="1"/>
  <c r="AY109" i="30" s="1"/>
  <c r="AX7" i="30"/>
  <c r="AW7" i="30"/>
  <c r="AV7" i="30"/>
  <c r="BS6" i="30"/>
  <c r="BR6" i="30"/>
  <c r="BQ6" i="30"/>
  <c r="BP6" i="30"/>
  <c r="BO6" i="30"/>
  <c r="BO17" i="30" s="1"/>
  <c r="BO73" i="30" s="1"/>
  <c r="BN6" i="30"/>
  <c r="BM6" i="30"/>
  <c r="BL6" i="30"/>
  <c r="BK6" i="30"/>
  <c r="BJ6" i="30"/>
  <c r="BI6" i="30"/>
  <c r="BH6" i="30"/>
  <c r="BG6" i="30"/>
  <c r="BF6" i="30"/>
  <c r="BE6" i="30"/>
  <c r="BD6" i="30"/>
  <c r="BD17" i="30" s="1"/>
  <c r="BC6" i="30"/>
  <c r="BB6" i="30"/>
  <c r="BA6" i="30"/>
  <c r="AZ6" i="30"/>
  <c r="AY6" i="30"/>
  <c r="AY17" i="30" s="1"/>
  <c r="AY73" i="30" s="1"/>
  <c r="AX6" i="30"/>
  <c r="AW6" i="30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E5" i="30"/>
  <c r="BD5" i="30"/>
  <c r="BD16" i="30" s="1"/>
  <c r="BC5" i="30"/>
  <c r="BC16" i="30" s="1"/>
  <c r="BB5" i="30"/>
  <c r="BA5" i="30"/>
  <c r="BA16" i="30" s="1"/>
  <c r="AZ5" i="30"/>
  <c r="AY5" i="30"/>
  <c r="AX5" i="30"/>
  <c r="AW5" i="30"/>
  <c r="AV5" i="30"/>
  <c r="BS4" i="30"/>
  <c r="BS15" i="30" s="1"/>
  <c r="BR4" i="30"/>
  <c r="BQ4" i="30"/>
  <c r="BQ90" i="30" s="1"/>
  <c r="BP4" i="30"/>
  <c r="BP15" i="30" s="1"/>
  <c r="BO4" i="30"/>
  <c r="BO15" i="30" s="1"/>
  <c r="BN4" i="30"/>
  <c r="BM4" i="30"/>
  <c r="BL4" i="30"/>
  <c r="BK4" i="30"/>
  <c r="BJ4" i="30"/>
  <c r="BI4" i="30"/>
  <c r="BI15" i="30" s="1"/>
  <c r="BH4" i="30"/>
  <c r="BG4" i="30"/>
  <c r="BF4" i="30"/>
  <c r="BE4" i="30"/>
  <c r="BD4" i="30"/>
  <c r="BD15" i="30" s="1"/>
  <c r="BC4" i="30"/>
  <c r="BC15" i="30" s="1"/>
  <c r="BB4" i="30"/>
  <c r="BA4" i="30"/>
  <c r="BA15" i="30" s="1"/>
  <c r="AZ4" i="30"/>
  <c r="AZ15" i="30" s="1"/>
  <c r="AY4" i="30"/>
  <c r="AX4" i="30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N3" i="29" s="1"/>
  <c r="M81" i="29"/>
  <c r="L81" i="29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T70" i="29"/>
  <c r="L70" i="29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C80" i="32" s="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V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BM153" i="32"/>
  <c r="BE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Q92" i="30"/>
  <c r="BP92" i="30"/>
  <c r="BO92" i="30"/>
  <c r="BN92" i="30"/>
  <c r="BL92" i="30"/>
  <c r="BK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L91" i="30"/>
  <c r="BK91" i="30"/>
  <c r="BH91" i="30"/>
  <c r="BB91" i="30"/>
  <c r="AZ91" i="30"/>
  <c r="AW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AZ90" i="30"/>
  <c r="AX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N22" i="30"/>
  <c r="BN67" i="30" s="1"/>
  <c r="BJ22" i="30"/>
  <c r="BJ67" i="30" s="1"/>
  <c r="BH22" i="30"/>
  <c r="BH67" i="30" s="1"/>
  <c r="BF22" i="30"/>
  <c r="BF67" i="30" s="1"/>
  <c r="BB22" i="30"/>
  <c r="BB67" i="30" s="1"/>
  <c r="AZ22" i="30"/>
  <c r="AZ67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N21" i="30"/>
  <c r="BN77" i="30" s="1"/>
  <c r="BJ21" i="30"/>
  <c r="BJ77" i="30" s="1"/>
  <c r="BH21" i="30"/>
  <c r="BH66" i="30" s="1"/>
  <c r="BF21" i="30"/>
  <c r="BF77" i="30" s="1"/>
  <c r="BB21" i="30"/>
  <c r="BB77" i="30" s="1"/>
  <c r="AZ21" i="30"/>
  <c r="AZ66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N20" i="30"/>
  <c r="BN76" i="30" s="1"/>
  <c r="BJ20" i="30"/>
  <c r="BJ76" i="30" s="1"/>
  <c r="BH20" i="30"/>
  <c r="BH65" i="30" s="1"/>
  <c r="BF20" i="30"/>
  <c r="BF76" i="30" s="1"/>
  <c r="AZ20" i="30"/>
  <c r="AZ65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P110" i="30" s="1"/>
  <c r="BN19" i="30"/>
  <c r="BN75" i="30" s="1"/>
  <c r="BJ19" i="30"/>
  <c r="BJ75" i="30" s="1"/>
  <c r="BH19" i="30"/>
  <c r="BH64" i="30" s="1"/>
  <c r="BH110" i="30" s="1"/>
  <c r="BF19" i="30"/>
  <c r="BF75" i="30" s="1"/>
  <c r="BD19" i="30"/>
  <c r="BD64" i="30" s="1"/>
  <c r="BD110" i="30" s="1"/>
  <c r="AZ19" i="30"/>
  <c r="AZ64" i="30" s="1"/>
  <c r="AZ110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S18" i="30"/>
  <c r="BS63" i="30" s="1"/>
  <c r="BQ18" i="30"/>
  <c r="BQ74" i="30" s="1"/>
  <c r="BM18" i="30"/>
  <c r="BM74" i="30" s="1"/>
  <c r="BK18" i="30"/>
  <c r="BK63" i="30" s="1"/>
  <c r="BK109" i="30" s="1"/>
  <c r="BI18" i="30"/>
  <c r="BI74" i="30" s="1"/>
  <c r="BE18" i="30"/>
  <c r="BE74" i="30" s="1"/>
  <c r="BC18" i="30"/>
  <c r="BC63" i="30" s="1"/>
  <c r="BC109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S17" i="30"/>
  <c r="BS73" i="30" s="1"/>
  <c r="BQ17" i="30"/>
  <c r="BQ73" i="30" s="1"/>
  <c r="BM17" i="30"/>
  <c r="BM73" i="30" s="1"/>
  <c r="BK17" i="30"/>
  <c r="BK73" i="30" s="1"/>
  <c r="BI17" i="30"/>
  <c r="BI73" i="30" s="1"/>
  <c r="BG17" i="30"/>
  <c r="BG73" i="30" s="1"/>
  <c r="BE17" i="30"/>
  <c r="BE73" i="30" s="1"/>
  <c r="BC17" i="30"/>
  <c r="BC73" i="30" s="1"/>
  <c r="BA17" i="30"/>
  <c r="BA73" i="30" s="1"/>
  <c r="AW17" i="30"/>
  <c r="AW73" i="30" s="1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W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AV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L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F16" i="30"/>
  <c r="BB16" i="30"/>
  <c r="AZ16" i="30"/>
  <c r="AX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T20" i="29"/>
  <c r="T21" i="29" s="1"/>
  <c r="T7" i="29" s="1"/>
  <c r="T12" i="29" s="1"/>
  <c r="L20" i="29"/>
  <c r="L21" i="29" s="1"/>
  <c r="L7" i="29" s="1"/>
  <c r="L12" i="29" s="1"/>
  <c r="H3" i="29"/>
  <c r="D20" i="29"/>
  <c r="D21" i="29" s="1"/>
  <c r="D7" i="29" s="1"/>
  <c r="Y3" i="29"/>
  <c r="U3" i="29"/>
  <c r="Q3" i="29"/>
  <c r="M3" i="29"/>
  <c r="I3" i="29"/>
  <c r="E3" i="29"/>
  <c r="Z4" i="29"/>
  <c r="N4" i="29"/>
  <c r="W20" i="29"/>
  <c r="W21" i="29" s="1"/>
  <c r="W7" i="29" s="1"/>
  <c r="W12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2" i="29"/>
  <c r="AK25" i="29" s="1"/>
  <c r="AK21" i="29"/>
  <c r="AK20" i="29"/>
  <c r="N20" i="29"/>
  <c r="N21" i="29" s="1"/>
  <c r="N7" i="29" s="1"/>
  <c r="N12" i="29" s="1"/>
  <c r="F20" i="29"/>
  <c r="F21" i="29" s="1"/>
  <c r="F7" i="29" s="1"/>
  <c r="F12" i="29" s="1"/>
  <c r="X5" i="29"/>
  <c r="T5" i="29"/>
  <c r="T9" i="29" s="1"/>
  <c r="L5" i="29"/>
  <c r="L9" i="29" s="1"/>
  <c r="H5" i="29"/>
  <c r="H9" i="29" s="1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J3" i="29" l="1"/>
  <c r="R72" i="30"/>
  <c r="P5" i="29"/>
  <c r="P9" i="29" s="1"/>
  <c r="R4" i="29"/>
  <c r="F8" i="29"/>
  <c r="J72" i="30"/>
  <c r="BK90" i="30"/>
  <c r="D223" i="32"/>
  <c r="U133" i="31"/>
  <c r="U137" i="31"/>
  <c r="U132" i="31"/>
  <c r="U136" i="31"/>
  <c r="U135" i="31"/>
  <c r="K113" i="31" s="1"/>
  <c r="U134" i="31"/>
  <c r="AF145" i="31"/>
  <c r="AF142" i="31"/>
  <c r="AF136" i="31"/>
  <c r="AF130" i="31"/>
  <c r="AF139" i="31"/>
  <c r="AF133" i="31"/>
  <c r="AF127" i="31"/>
  <c r="C224" i="32"/>
  <c r="C10" i="32"/>
  <c r="D10" i="32" s="1"/>
  <c r="C161" i="31"/>
  <c r="C160" i="31"/>
  <c r="C159" i="31"/>
  <c r="C158" i="31"/>
  <c r="T208" i="31"/>
  <c r="X208" i="31"/>
  <c r="AA208" i="31" s="1"/>
  <c r="Z208" i="31"/>
  <c r="AC208" i="31" s="1"/>
  <c r="Y208" i="31"/>
  <c r="AB208" i="31" s="1"/>
  <c r="BD91" i="30"/>
  <c r="BG91" i="30"/>
  <c r="BO91" i="30"/>
  <c r="AV90" i="30"/>
  <c r="BC90" i="30"/>
  <c r="BC99" i="30" s="1"/>
  <c r="BC100" i="30" s="1"/>
  <c r="BC101" i="30" s="1"/>
  <c r="BD90" i="30"/>
  <c r="BD99" i="30" s="1"/>
  <c r="BD100" i="30" s="1"/>
  <c r="BD101" i="30" s="1"/>
  <c r="BE91" i="30"/>
  <c r="BM91" i="30"/>
  <c r="BC91" i="30"/>
  <c r="BF91" i="30"/>
  <c r="BN91" i="30"/>
  <c r="Y170" i="28"/>
  <c r="AB170" i="28" s="1"/>
  <c r="T170" i="28"/>
  <c r="U170" i="28" s="1"/>
  <c r="X170" i="28"/>
  <c r="AA170" i="28" s="1"/>
  <c r="Z170" i="28"/>
  <c r="AC170" i="28" s="1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AI168" i="31" s="1"/>
  <c r="Z168" i="28"/>
  <c r="AC168" i="28" s="1"/>
  <c r="Y168" i="28"/>
  <c r="AB168" i="28" s="1"/>
  <c r="X168" i="28"/>
  <c r="AA168" i="28" s="1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BS99" i="30" s="1"/>
  <c r="BS100" i="30" s="1"/>
  <c r="BS101" i="30" s="1"/>
  <c r="V29" i="31"/>
  <c r="BK15" i="30"/>
  <c r="M69" i="29"/>
  <c r="BA91" i="30"/>
  <c r="BR91" i="30"/>
  <c r="BQ91" i="30"/>
  <c r="BQ99" i="30" s="1"/>
  <c r="BQ100" i="30" s="1"/>
  <c r="BQ101" i="30" s="1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BR99" i="30" s="1"/>
  <c r="BR100" i="30" s="1"/>
  <c r="BR101" i="30" s="1"/>
  <c r="AW90" i="30"/>
  <c r="BM90" i="30"/>
  <c r="BN90" i="30"/>
  <c r="BN99" i="30" s="1"/>
  <c r="BN100" i="30" s="1"/>
  <c r="BN101" i="30" s="1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99" i="30" s="1"/>
  <c r="BL100" i="30" s="1"/>
  <c r="BL101" i="30" s="1"/>
  <c r="BL15" i="30"/>
  <c r="AV91" i="30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AY91" i="30"/>
  <c r="AY16" i="30"/>
  <c r="AY61" i="30" s="1"/>
  <c r="AY107" i="30" s="1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BO99" i="30" s="1"/>
  <c r="BO100" i="30" s="1"/>
  <c r="BO101" i="30" s="1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G12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Z19" i="29" s="1"/>
  <c r="Z6" i="29" s="1"/>
  <c r="Z10" i="29" s="1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BH99" i="30" s="1"/>
  <c r="BH100" i="30" s="1"/>
  <c r="BH101" i="30" s="1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BH28" i="30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AC49" i="31"/>
  <c r="AC51" i="31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AZ88" i="32"/>
  <c r="BP88" i="32"/>
  <c r="CL88" i="32"/>
  <c r="AZ27" i="30"/>
  <c r="AZ72" i="30" s="1"/>
  <c r="BH27" i="30"/>
  <c r="BH61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AC26" i="28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164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AX100" i="30" s="1"/>
  <c r="AX101" i="30" s="1"/>
  <c r="BF99" i="30"/>
  <c r="BF100" i="30" s="1"/>
  <c r="BF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V68" i="29"/>
  <c r="D69" i="29"/>
  <c r="H69" i="29"/>
  <c r="L69" i="29"/>
  <c r="L15" i="29" s="1"/>
  <c r="P69" i="29"/>
  <c r="T69" i="29"/>
  <c r="F70" i="29"/>
  <c r="J70" i="29"/>
  <c r="N70" i="29"/>
  <c r="R70" i="29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R77" i="30"/>
  <c r="AU120" i="32"/>
  <c r="AU166" i="32" s="1"/>
  <c r="AU59" i="30"/>
  <c r="AU105" i="30" s="1"/>
  <c r="DD120" i="32"/>
  <c r="DD166" i="32" s="1"/>
  <c r="DD59" i="30"/>
  <c r="DD105" i="30" s="1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I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O3" i="29"/>
  <c r="S3" i="29"/>
  <c r="W3" i="29"/>
  <c r="D4" i="29"/>
  <c r="H4" i="29"/>
  <c r="H8" i="29" s="1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H12" i="29" s="1"/>
  <c r="P20" i="29"/>
  <c r="P21" i="29" s="1"/>
  <c r="P7" i="29" s="1"/>
  <c r="P12" i="29" s="1"/>
  <c r="X20" i="29"/>
  <c r="X21" i="29" s="1"/>
  <c r="X7" i="29" s="1"/>
  <c r="AF22" i="29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74" i="30"/>
  <c r="BB63" i="30"/>
  <c r="BB109" i="30" s="1"/>
  <c r="BB74" i="30"/>
  <c r="BF63" i="30"/>
  <c r="BF109" i="30" s="1"/>
  <c r="BF74" i="30"/>
  <c r="BJ63" i="30"/>
  <c r="BJ109" i="30" s="1"/>
  <c r="BJ74" i="30"/>
  <c r="BN63" i="30"/>
  <c r="BN109" i="30" s="1"/>
  <c r="BN74" i="30"/>
  <c r="BR63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110" i="30" s="1"/>
  <c r="AY75" i="30"/>
  <c r="BC64" i="30"/>
  <c r="BC110" i="30" s="1"/>
  <c r="BC75" i="30"/>
  <c r="BG64" i="30"/>
  <c r="BG110" i="30" s="1"/>
  <c r="BG75" i="30"/>
  <c r="BK64" i="30"/>
  <c r="BK110" i="30" s="1"/>
  <c r="BK75" i="30"/>
  <c r="BO64" i="30"/>
  <c r="BO110" i="30" s="1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77" i="30"/>
  <c r="BE66" i="30"/>
  <c r="BE77" i="30"/>
  <c r="BI66" i="30"/>
  <c r="BI77" i="30"/>
  <c r="BM66" i="30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T3" i="29"/>
  <c r="E4" i="29"/>
  <c r="I4" i="29"/>
  <c r="I8" i="29" s="1"/>
  <c r="M4" i="29"/>
  <c r="Q72" i="30" s="1"/>
  <c r="Q77" i="30" s="1"/>
  <c r="Q4" i="29"/>
  <c r="Q8" i="29" s="1"/>
  <c r="U4" i="29"/>
  <c r="U8" i="29" s="1"/>
  <c r="Y4" i="29"/>
  <c r="F5" i="29"/>
  <c r="F9" i="29" s="1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AD77" i="30"/>
  <c r="CA120" i="32"/>
  <c r="CA166" i="32" s="1"/>
  <c r="CA59" i="30"/>
  <c r="CA105" i="30" s="1"/>
  <c r="AX61" i="30"/>
  <c r="AX107" i="30" s="1"/>
  <c r="BJ72" i="30"/>
  <c r="BJ61" i="30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78" i="30"/>
  <c r="BE67" i="30"/>
  <c r="BE78" i="30"/>
  <c r="BI67" i="30"/>
  <c r="BI78" i="30"/>
  <c r="BM67" i="30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G9" i="29" s="1"/>
  <c r="K5" i="29"/>
  <c r="K9" i="29" s="1"/>
  <c r="O5" i="29"/>
  <c r="O9" i="29" s="1"/>
  <c r="S5" i="29"/>
  <c r="S9" i="29" s="1"/>
  <c r="W5" i="29"/>
  <c r="W9" i="29" s="1"/>
  <c r="C182" i="32"/>
  <c r="D182" i="32" s="1"/>
  <c r="AJ215" i="32" s="1"/>
  <c r="X271" i="31"/>
  <c r="X233" i="31"/>
  <c r="C306" i="32" s="1"/>
  <c r="G46" i="29"/>
  <c r="O46" i="29"/>
  <c r="W46" i="29"/>
  <c r="H77" i="30"/>
  <c r="AX60" i="30"/>
  <c r="AX106" i="30" s="1"/>
  <c r="BJ71" i="30"/>
  <c r="BJ60" i="30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Z73" i="30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74" i="30"/>
  <c r="AZ63" i="30"/>
  <c r="AZ109" i="30" s="1"/>
  <c r="AZ74" i="30"/>
  <c r="BD63" i="30"/>
  <c r="BD109" i="30" s="1"/>
  <c r="BD74" i="30"/>
  <c r="BH63" i="30"/>
  <c r="BH109" i="30" s="1"/>
  <c r="BH74" i="30"/>
  <c r="BL63" i="30"/>
  <c r="BL109" i="30" s="1"/>
  <c r="BL74" i="30"/>
  <c r="BP63" i="30"/>
  <c r="BP109" i="30" s="1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77" i="30"/>
  <c r="BC66" i="30"/>
  <c r="BC77" i="30"/>
  <c r="BG66" i="30"/>
  <c r="BG77" i="30"/>
  <c r="BK66" i="30"/>
  <c r="BK77" i="30"/>
  <c r="BO66" i="30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V99" i="30"/>
  <c r="AV100" i="30" s="1"/>
  <c r="AV101" i="30" s="1"/>
  <c r="AZ99" i="30"/>
  <c r="AZ100" i="30" s="1"/>
  <c r="AZ101" i="30" s="1"/>
  <c r="BP99" i="30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BA62" i="30"/>
  <c r="BA108" i="30" s="1"/>
  <c r="BE62" i="30"/>
  <c r="BE108" i="30" s="1"/>
  <c r="BI62" i="30"/>
  <c r="BI108" i="30" s="1"/>
  <c r="BM62" i="30"/>
  <c r="BM108" i="30" s="1"/>
  <c r="BQ62" i="30"/>
  <c r="AW63" i="30"/>
  <c r="BA63" i="30"/>
  <c r="BA109" i="30" s="1"/>
  <c r="BE63" i="30"/>
  <c r="BE109" i="30" s="1"/>
  <c r="BI63" i="30"/>
  <c r="BI109" i="30" s="1"/>
  <c r="BM63" i="30"/>
  <c r="BM109" i="30" s="1"/>
  <c r="BQ63" i="30"/>
  <c r="DC63" i="30"/>
  <c r="AX66" i="30"/>
  <c r="BB66" i="30"/>
  <c r="BF66" i="30"/>
  <c r="BJ66" i="30"/>
  <c r="BN66" i="30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BP100" i="30"/>
  <c r="BP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B110" i="30" s="1"/>
  <c r="BF64" i="30"/>
  <c r="BF110" i="30" s="1"/>
  <c r="BJ64" i="30"/>
  <c r="BJ110" i="30" s="1"/>
  <c r="BN64" i="30"/>
  <c r="BN110" i="30" s="1"/>
  <c r="BR64" i="30"/>
  <c r="AX65" i="30"/>
  <c r="BB65" i="30"/>
  <c r="BF65" i="30"/>
  <c r="BJ65" i="30"/>
  <c r="BN65" i="30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BS61" i="30"/>
  <c r="BS107" i="30" s="1"/>
  <c r="AY62" i="30"/>
  <c r="AY108" i="30" s="1"/>
  <c r="BC62" i="30"/>
  <c r="BC108" i="30" s="1"/>
  <c r="BG62" i="30"/>
  <c r="BG108" i="30" s="1"/>
  <c r="BK62" i="30"/>
  <c r="BK108" i="30" s="1"/>
  <c r="BO62" i="30"/>
  <c r="BO108" i="30" s="1"/>
  <c r="BS62" i="30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CE27" i="30"/>
  <c r="CI27" i="30"/>
  <c r="CM27" i="30"/>
  <c r="CQ27" i="30"/>
  <c r="CU27" i="30"/>
  <c r="DF27" i="30"/>
  <c r="DJ27" i="30"/>
  <c r="DN27" i="30"/>
  <c r="DR27" i="30"/>
  <c r="DV27" i="30"/>
  <c r="AY28" i="30"/>
  <c r="BC28" i="30"/>
  <c r="BG28" i="30"/>
  <c r="BK28" i="30"/>
  <c r="BO28" i="30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AY99" i="30"/>
  <c r="AY100" i="30" s="1"/>
  <c r="AY101" i="30" s="1"/>
  <c r="BG99" i="30"/>
  <c r="BG100" i="30" s="1"/>
  <c r="BG101" i="30" s="1"/>
  <c r="BK99" i="30"/>
  <c r="BK100" i="30" s="1"/>
  <c r="BK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K110" i="31"/>
  <c r="V133" i="31"/>
  <c r="W133" i="31" s="1"/>
  <c r="T136" i="31"/>
  <c r="X136" i="31"/>
  <c r="Y136" i="31" s="1"/>
  <c r="AI146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L114" i="3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U167" i="31" l="1"/>
  <c r="S8" i="29"/>
  <c r="W72" i="30"/>
  <c r="W77" i="30" s="1"/>
  <c r="M72" i="30"/>
  <c r="M77" i="30" s="1"/>
  <c r="O8" i="29"/>
  <c r="S72" i="30"/>
  <c r="S77" i="30" s="1"/>
  <c r="K8" i="29"/>
  <c r="O72" i="30"/>
  <c r="O77" i="30" s="1"/>
  <c r="V8" i="29"/>
  <c r="Z72" i="30"/>
  <c r="Z77" i="30" s="1"/>
  <c r="L72" i="30"/>
  <c r="L77" i="30" s="1"/>
  <c r="G8" i="29"/>
  <c r="K72" i="30"/>
  <c r="M8" i="29"/>
  <c r="R8" i="29"/>
  <c r="V72" i="30"/>
  <c r="V77" i="30" s="1"/>
  <c r="Y72" i="30"/>
  <c r="Y77" i="30" s="1"/>
  <c r="T8" i="29"/>
  <c r="X72" i="30"/>
  <c r="X77" i="30" s="1"/>
  <c r="N72" i="30"/>
  <c r="N77" i="30" s="1"/>
  <c r="AA72" i="30"/>
  <c r="AA77" i="30" s="1"/>
  <c r="W8" i="29"/>
  <c r="L8" i="29"/>
  <c r="P72" i="30"/>
  <c r="P77" i="30" s="1"/>
  <c r="T72" i="30"/>
  <c r="T77" i="30" s="1"/>
  <c r="U72" i="30"/>
  <c r="U77" i="30" s="1"/>
  <c r="BM99" i="30"/>
  <c r="BM100" i="30" s="1"/>
  <c r="BM101" i="30" s="1"/>
  <c r="C185" i="32"/>
  <c r="D224" i="32"/>
  <c r="D225" i="32"/>
  <c r="AP29" i="31"/>
  <c r="J35" i="31" s="1"/>
  <c r="C202" i="32" s="1"/>
  <c r="AK231" i="32"/>
  <c r="AO231" i="32" s="1"/>
  <c r="AR231" i="32" s="1"/>
  <c r="AS231" i="32" s="1"/>
  <c r="AT231" i="32" s="1"/>
  <c r="AW231" i="32" s="1"/>
  <c r="AD168" i="28"/>
  <c r="AH168" i="28" s="1"/>
  <c r="K111" i="31"/>
  <c r="BJ107" i="30"/>
  <c r="BJ106" i="30"/>
  <c r="BM107" i="30"/>
  <c r="AC29" i="28"/>
  <c r="AC34" i="28" s="1"/>
  <c r="K39" i="28" s="1"/>
  <c r="C96" i="32" s="1"/>
  <c r="Y29" i="28"/>
  <c r="BN107" i="30"/>
  <c r="AA29" i="28"/>
  <c r="Z29" i="28"/>
  <c r="BL106" i="30"/>
  <c r="X29" i="28"/>
  <c r="W29" i="28"/>
  <c r="BD106" i="30"/>
  <c r="BH107" i="30"/>
  <c r="X26" i="28"/>
  <c r="AA26" i="28"/>
  <c r="AA34" i="28" s="1"/>
  <c r="K38" i="28" s="1"/>
  <c r="C94" i="32" s="1"/>
  <c r="W26" i="28"/>
  <c r="Z26" i="28"/>
  <c r="Y26" i="28"/>
  <c r="R17" i="29"/>
  <c r="AY72" i="30"/>
  <c r="AY84" i="30" s="1"/>
  <c r="R19" i="29"/>
  <c r="R6" i="29" s="1"/>
  <c r="R10" i="29" s="1"/>
  <c r="AA240" i="31"/>
  <c r="AB240" i="31" s="1"/>
  <c r="C310" i="32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H194" i="31" s="1"/>
  <c r="AD182" i="31"/>
  <c r="AH182" i="31" s="1"/>
  <c r="AI168" i="28"/>
  <c r="AG167" i="28"/>
  <c r="AD214" i="31"/>
  <c r="AH214" i="31" s="1"/>
  <c r="U168" i="28"/>
  <c r="V168" i="28"/>
  <c r="AJ168" i="28"/>
  <c r="AG168" i="28"/>
  <c r="AE168" i="28"/>
  <c r="AF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BN84" i="30" s="1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AD204" i="31"/>
  <c r="AH204" i="31" s="1"/>
  <c r="Z59" i="29"/>
  <c r="W38" i="29"/>
  <c r="H61" i="29"/>
  <c r="H48" i="29" s="1"/>
  <c r="G37" i="29"/>
  <c r="G39" i="29" s="1"/>
  <c r="G43" i="29" s="1"/>
  <c r="BL71" i="30"/>
  <c r="BL83" i="30" s="1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G3" i="29"/>
  <c r="BE101" i="31"/>
  <c r="BD94" i="31"/>
  <c r="AD190" i="28"/>
  <c r="AH190" i="28" s="1"/>
  <c r="AD225" i="31"/>
  <c r="AH225" i="31" s="1"/>
  <c r="AS101" i="31"/>
  <c r="BZ106" i="31" s="1"/>
  <c r="DN83" i="30"/>
  <c r="BG84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L18" i="29" s="1"/>
  <c r="L22" i="29" s="1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AY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X272" i="31"/>
  <c r="X234" i="31"/>
  <c r="AD164" i="28"/>
  <c r="AH164" i="28" s="1"/>
  <c r="AO166" i="28"/>
  <c r="AC228" i="28"/>
  <c r="K40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R11" i="29" l="1"/>
  <c r="R13" i="29" s="1"/>
  <c r="AC240" i="31"/>
  <c r="AF240" i="31" s="1"/>
  <c r="L11" i="29"/>
  <c r="L13" i="29" s="1"/>
  <c r="F72" i="30"/>
  <c r="K77" i="30"/>
  <c r="F77" i="30" s="1"/>
  <c r="D185" i="32"/>
  <c r="Y34" i="28"/>
  <c r="K36" i="28" s="1"/>
  <c r="C92" i="32" s="1"/>
  <c r="W34" i="28"/>
  <c r="K34" i="28" s="1"/>
  <c r="B51" i="30" s="1"/>
  <c r="C51" i="30" s="1"/>
  <c r="Z34" i="28"/>
  <c r="K37" i="28" s="1"/>
  <c r="C93" i="32" s="1"/>
  <c r="B52" i="30"/>
  <c r="C52" i="30" s="1"/>
  <c r="X34" i="28"/>
  <c r="K35" i="28" s="1"/>
  <c r="C91" i="32" s="1"/>
  <c r="BL81" i="30"/>
  <c r="BL82" i="30"/>
  <c r="BL84" i="30"/>
  <c r="AY83" i="30"/>
  <c r="X18" i="29"/>
  <c r="X22" i="29" s="1"/>
  <c r="BN81" i="30"/>
  <c r="BN82" i="30"/>
  <c r="AZ82" i="30"/>
  <c r="AZ85" i="30" s="1"/>
  <c r="BA85" i="30"/>
  <c r="BA87" i="30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Z18" i="29"/>
  <c r="Z22" i="29" s="1"/>
  <c r="AZ83" i="30"/>
  <c r="AZ106" i="30"/>
  <c r="AZ117" i="30" s="1"/>
  <c r="K5" i="30" s="1"/>
  <c r="BA106" i="30"/>
  <c r="BA117" i="30" s="1"/>
  <c r="L5" i="30" s="1"/>
  <c r="BQ87" i="30"/>
  <c r="BQ86" i="30"/>
  <c r="D22" i="29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I117" i="30"/>
  <c r="T5" i="30" s="1"/>
  <c r="BM81" i="30"/>
  <c r="BE117" i="30"/>
  <c r="P5" i="30" s="1"/>
  <c r="BM84" i="30"/>
  <c r="BF117" i="30"/>
  <c r="Q5" i="30" s="1"/>
  <c r="CO85" i="30"/>
  <c r="T64" i="29"/>
  <c r="BD84" i="30"/>
  <c r="BO117" i="30"/>
  <c r="Z5" i="30" s="1"/>
  <c r="BI85" i="30"/>
  <c r="BD81" i="30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BN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C138" i="31"/>
  <c r="J138" i="31" s="1"/>
  <c r="V32" i="29"/>
  <c r="V34" i="29" s="1"/>
  <c r="AD228" i="28"/>
  <c r="K41" i="28" s="1"/>
  <c r="B54" i="30" s="1"/>
  <c r="C54" i="30" s="1"/>
  <c r="AO165" i="28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C90" i="32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BL85" i="30"/>
  <c r="D32" i="29"/>
  <c r="D34" i="29" s="1"/>
  <c r="DF85" i="30"/>
  <c r="K33" i="28" l="1"/>
  <c r="C71" i="32" s="1"/>
  <c r="C74" i="32" s="1"/>
  <c r="K253" i="32"/>
  <c r="L253" i="32" s="1"/>
  <c r="B109" i="30"/>
  <c r="B112" i="30" s="1"/>
  <c r="B125" i="30" s="1"/>
  <c r="C191" i="32"/>
  <c r="D243" i="32"/>
  <c r="B50" i="30"/>
  <c r="C50" i="30" s="1"/>
  <c r="V44" i="31"/>
  <c r="V46" i="31" s="1"/>
  <c r="BD85" i="30"/>
  <c r="BM85" i="30"/>
  <c r="BM86" i="30" s="1"/>
  <c r="BA86" i="30"/>
  <c r="BA102" i="30" s="1"/>
  <c r="L9" i="30" s="1"/>
  <c r="AA237" i="31"/>
  <c r="AB237" i="31" s="1"/>
  <c r="AC237" i="31" s="1"/>
  <c r="AF237" i="31" s="1"/>
  <c r="B178" i="31" s="1"/>
  <c r="C240" i="32" s="1"/>
  <c r="AQ3" i="29"/>
  <c r="AK26" i="29" s="1"/>
  <c r="C184" i="32" s="1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BN87" i="30"/>
  <c r="BN86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1" i="30"/>
  <c r="C263" i="32" s="1"/>
  <c r="F56" i="30"/>
  <c r="C268" i="32" s="1"/>
  <c r="CW102" i="30"/>
  <c r="AB10" i="30" s="1"/>
  <c r="DH102" i="30"/>
  <c r="J11" i="30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CS102" i="30"/>
  <c r="X10" i="30" s="1"/>
  <c r="BQ102" i="30"/>
  <c r="AB9" i="30" s="1"/>
  <c r="D193" i="32"/>
  <c r="C247" i="32"/>
  <c r="CV102" i="30"/>
  <c r="AA10" i="30" s="1"/>
  <c r="K48" i="28" l="1"/>
  <c r="B154" i="31" s="1"/>
  <c r="J154" i="31" s="1"/>
  <c r="C227" i="32" s="1"/>
  <c r="F50" i="30"/>
  <c r="D191" i="32"/>
  <c r="C275" i="32"/>
  <c r="D275" i="32" s="1"/>
  <c r="BM87" i="30"/>
  <c r="BM102" i="30" s="1"/>
  <c r="X9" i="30" s="1"/>
  <c r="Z38" i="31"/>
  <c r="Z39" i="31" s="1"/>
  <c r="B43" i="31" s="1"/>
  <c r="J43" i="31" s="1"/>
  <c r="C207" i="32" s="1"/>
  <c r="B42" i="31"/>
  <c r="B44" i="31" s="1"/>
  <c r="J44" i="31" s="1"/>
  <c r="C208" i="32" s="1"/>
  <c r="BI102" i="30"/>
  <c r="T9" i="30" s="1"/>
  <c r="AW102" i="30"/>
  <c r="H9" i="30" s="1"/>
  <c r="C244" i="32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262" i="32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DT102" i="30"/>
  <c r="V11" i="30" s="1"/>
  <c r="CE102" i="30"/>
  <c r="J10" i="30" s="1"/>
  <c r="DR102" i="30"/>
  <c r="T11" i="30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B155" i="31" l="1"/>
  <c r="I155" i="31" s="1"/>
  <c r="B149" i="31"/>
  <c r="J149" i="31" s="1"/>
  <c r="C222" i="32" s="1"/>
  <c r="C290" i="32"/>
  <c r="H13" i="30"/>
  <c r="D244" i="32"/>
  <c r="X13" i="30"/>
  <c r="J42" i="31"/>
  <c r="C206" i="32" s="1"/>
  <c r="AB40" i="31"/>
  <c r="AD40" i="31" s="1"/>
  <c r="AB39" i="31"/>
  <c r="AB38" i="31"/>
  <c r="T13" i="30"/>
  <c r="P13" i="30"/>
  <c r="AA13" i="30"/>
  <c r="S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B108" i="30" l="1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Q77" i="32" s="1"/>
  <c r="BM66" i="32"/>
  <c r="BM77" i="32" s="1"/>
  <c r="BI66" i="32"/>
  <c r="BI77" i="32" s="1"/>
  <c r="BE66" i="32"/>
  <c r="BE77" i="32" s="1"/>
  <c r="BA66" i="32"/>
  <c r="BA77" i="32" s="1"/>
  <c r="AW66" i="32"/>
  <c r="AW77" i="32" s="1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P77" i="32" s="1"/>
  <c r="BL66" i="32"/>
  <c r="BL77" i="32" s="1"/>
  <c r="BH66" i="32"/>
  <c r="BH77" i="32" s="1"/>
  <c r="BD66" i="32"/>
  <c r="BD77" i="32" s="1"/>
  <c r="AZ66" i="32"/>
  <c r="AZ77" i="32" s="1"/>
  <c r="AV66" i="32"/>
  <c r="AV77" i="32" s="1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S77" i="32" s="1"/>
  <c r="BO66" i="32"/>
  <c r="BO77" i="32" s="1"/>
  <c r="BK66" i="32"/>
  <c r="BK77" i="32" s="1"/>
  <c r="BG66" i="32"/>
  <c r="BG77" i="32" s="1"/>
  <c r="BC66" i="32"/>
  <c r="BC77" i="32" s="1"/>
  <c r="AY66" i="32"/>
  <c r="AY77" i="32" s="1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F77" i="32" s="1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R77" i="32" s="1"/>
  <c r="BB66" i="32"/>
  <c r="BB77" i="32" s="1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BN77" i="32" s="1"/>
  <c r="AX66" i="32"/>
  <c r="AX77" i="32" s="1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BJ77" i="32" s="1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P198" i="32"/>
  <c r="Q198" i="32" s="1"/>
  <c r="DL81" i="32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C236" i="32"/>
  <c r="K262" i="32"/>
  <c r="Q200" i="32" l="1"/>
  <c r="D202" i="32" s="1"/>
  <c r="BN76" i="32"/>
  <c r="BN122" i="32" s="1"/>
  <c r="BN168" i="32" s="1"/>
  <c r="BN152" i="32"/>
  <c r="BN160" i="32" s="1"/>
  <c r="BN161" i="32" s="1"/>
  <c r="BN162" i="32" s="1"/>
  <c r="BL76" i="32"/>
  <c r="BL122" i="32" s="1"/>
  <c r="BL168" i="32" s="1"/>
  <c r="BL152" i="32"/>
  <c r="BC76" i="32"/>
  <c r="BC133" i="32" s="1"/>
  <c r="BC152" i="32"/>
  <c r="BC160" i="32" s="1"/>
  <c r="BC161" i="32" s="1"/>
  <c r="BC162" i="32" s="1"/>
  <c r="BJ76" i="32"/>
  <c r="BJ133" i="32" s="1"/>
  <c r="BJ152" i="32"/>
  <c r="BG76" i="32"/>
  <c r="BG133" i="32" s="1"/>
  <c r="BG152" i="32"/>
  <c r="BE76" i="32"/>
  <c r="BE133" i="32" s="1"/>
  <c r="BE152" i="32"/>
  <c r="BF76" i="32"/>
  <c r="BF133" i="32" s="1"/>
  <c r="BF152" i="32"/>
  <c r="BK76" i="32"/>
  <c r="BK122" i="32" s="1"/>
  <c r="BK168" i="32" s="1"/>
  <c r="BK152" i="32"/>
  <c r="BD76" i="32"/>
  <c r="BD122" i="32" s="1"/>
  <c r="BD168" i="32" s="1"/>
  <c r="BD152" i="32"/>
  <c r="BI76" i="32"/>
  <c r="BI133" i="32" s="1"/>
  <c r="BI152" i="32"/>
  <c r="BB76" i="32"/>
  <c r="BB133" i="32" s="1"/>
  <c r="BB152" i="32"/>
  <c r="BB160" i="32" s="1"/>
  <c r="BB161" i="32" s="1"/>
  <c r="BB162" i="32" s="1"/>
  <c r="BO76" i="32"/>
  <c r="BO122" i="32" s="1"/>
  <c r="BO168" i="32" s="1"/>
  <c r="BO152" i="32"/>
  <c r="BO160" i="32" s="1"/>
  <c r="BO161" i="32" s="1"/>
  <c r="BO162" i="32" s="1"/>
  <c r="BH76" i="32"/>
  <c r="BH133" i="32" s="1"/>
  <c r="BH152" i="32"/>
  <c r="BH160" i="32" s="1"/>
  <c r="BH161" i="32" s="1"/>
  <c r="BH162" i="32" s="1"/>
  <c r="BM76" i="32"/>
  <c r="BM133" i="32" s="1"/>
  <c r="BM152" i="32"/>
  <c r="BM160" i="32" s="1"/>
  <c r="BM161" i="32" s="1"/>
  <c r="BM162" i="32" s="1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Z160" i="32"/>
  <c r="AZ161" i="32" s="1"/>
  <c r="AZ162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AX160" i="32"/>
  <c r="AX161" i="32" s="1"/>
  <c r="AX162" i="32" s="1"/>
  <c r="BJ75" i="32"/>
  <c r="BJ121" i="32" s="1"/>
  <c r="BJ167" i="32" s="1"/>
  <c r="BJ151" i="32"/>
  <c r="BG75" i="32"/>
  <c r="BG132" i="32" s="1"/>
  <c r="BG151" i="32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160" i="32" s="1"/>
  <c r="AV161" i="32" s="1"/>
  <c r="AV162" i="32" s="1"/>
  <c r="AV75" i="32"/>
  <c r="AV132" i="32" s="1"/>
  <c r="AY160" i="32"/>
  <c r="AY161" i="32" s="1"/>
  <c r="AY162" i="32" s="1"/>
  <c r="AW160" i="32"/>
  <c r="AW161" i="32" s="1"/>
  <c r="AW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BP160" i="32"/>
  <c r="BP161" i="32" s="1"/>
  <c r="BP162" i="32" s="1"/>
  <c r="AV76" i="32"/>
  <c r="AV122" i="32" s="1"/>
  <c r="AV168" i="32" s="1"/>
  <c r="BA76" i="32"/>
  <c r="BA122" i="32" s="1"/>
  <c r="BA168" i="32" s="1"/>
  <c r="BQ76" i="32"/>
  <c r="BQ133" i="32" s="1"/>
  <c r="BS160" i="32"/>
  <c r="BS161" i="32" s="1"/>
  <c r="BS162" i="32" s="1"/>
  <c r="BA160" i="32"/>
  <c r="BA161" i="32" s="1"/>
  <c r="BA162" i="32" s="1"/>
  <c r="BQ160" i="32"/>
  <c r="BQ161" i="32" s="1"/>
  <c r="BQ162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AW123" i="32"/>
  <c r="AW169" i="32" s="1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BH122" i="32"/>
  <c r="BH168" i="32" s="1"/>
  <c r="DF133" i="32"/>
  <c r="DF122" i="32"/>
  <c r="DF168" i="32" s="1"/>
  <c r="BG134" i="32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BE134" i="32"/>
  <c r="BE123" i="32"/>
  <c r="BE169" i="32" s="1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BQ123" i="32"/>
  <c r="BQ169" i="32" s="1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CD133" i="32"/>
  <c r="CD122" i="32"/>
  <c r="CD168" i="32" s="1"/>
  <c r="CY122" i="32"/>
  <c r="CY168" i="32" s="1"/>
  <c r="CY133" i="32"/>
  <c r="DW122" i="32"/>
  <c r="DW168" i="32" s="1"/>
  <c r="DW133" i="32"/>
  <c r="BN134" i="32"/>
  <c r="BN123" i="32"/>
  <c r="BN169" i="32" s="1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BR134" i="32"/>
  <c r="BR123" i="32"/>
  <c r="BR169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BO134" i="32"/>
  <c r="BO123" i="32"/>
  <c r="BO169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BG122" i="32"/>
  <c r="BG168" i="32" s="1"/>
  <c r="CI122" i="32"/>
  <c r="CI168" i="32" s="1"/>
  <c r="CI133" i="32"/>
  <c r="DG122" i="32"/>
  <c r="DG168" i="32" s="1"/>
  <c r="DG133" i="32"/>
  <c r="AX134" i="32"/>
  <c r="AX123" i="32"/>
  <c r="AX169" i="32" s="1"/>
  <c r="BS134" i="32"/>
  <c r="BS123" i="32"/>
  <c r="BS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BL134" i="32"/>
  <c r="BL123" i="32"/>
  <c r="BL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BB134" i="32"/>
  <c r="BB123" i="32"/>
  <c r="BB169" i="32" s="1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BF134" i="32"/>
  <c r="BF123" i="32"/>
  <c r="BF169" i="32" s="1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33" i="32"/>
  <c r="CO133" i="32"/>
  <c r="CO122" i="32"/>
  <c r="CO168" i="32" s="1"/>
  <c r="DM133" i="32"/>
  <c r="DM122" i="32"/>
  <c r="DM168" i="32" s="1"/>
  <c r="BC134" i="32"/>
  <c r="BC123" i="32"/>
  <c r="BC169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CF133" i="32"/>
  <c r="CF122" i="32"/>
  <c r="CF168" i="32" s="1"/>
  <c r="CV133" i="32"/>
  <c r="CV122" i="32"/>
  <c r="CV168" i="32" s="1"/>
  <c r="DT133" i="32"/>
  <c r="DT122" i="32"/>
  <c r="DT168" i="32" s="1"/>
  <c r="AZ134" i="32"/>
  <c r="AZ123" i="32"/>
  <c r="AZ169" i="32" s="1"/>
  <c r="BP134" i="32"/>
  <c r="BP123" i="32"/>
  <c r="BP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BM134" i="32"/>
  <c r="BM123" i="32"/>
  <c r="BM169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CW133" i="32"/>
  <c r="CW122" i="32"/>
  <c r="CW168" i="32" s="1"/>
  <c r="DU133" i="32"/>
  <c r="DU122" i="32"/>
  <c r="DU168" i="32" s="1"/>
  <c r="BK134" i="32"/>
  <c r="BK123" i="32"/>
  <c r="BK169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BM122" i="32"/>
  <c r="BM168" i="32" s="1"/>
  <c r="CJ133" i="32"/>
  <c r="CJ122" i="32"/>
  <c r="CJ168" i="32" s="1"/>
  <c r="DH133" i="32"/>
  <c r="DH122" i="32"/>
  <c r="DH168" i="32" s="1"/>
  <c r="DX133" i="32"/>
  <c r="DX122" i="32"/>
  <c r="DX168" i="32" s="1"/>
  <c r="BD134" i="32"/>
  <c r="BD123" i="32"/>
  <c r="BD169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BE122" i="32" l="1"/>
  <c r="BE168" i="32" s="1"/>
  <c r="BE178" i="32" s="1"/>
  <c r="BI122" i="32"/>
  <c r="BI168" i="32" s="1"/>
  <c r="BD160" i="32"/>
  <c r="BD161" i="32" s="1"/>
  <c r="BD162" i="32" s="1"/>
  <c r="BG160" i="32"/>
  <c r="BG161" i="32" s="1"/>
  <c r="BG162" i="32" s="1"/>
  <c r="BD133" i="32"/>
  <c r="BD142" i="32" s="1"/>
  <c r="BC122" i="32"/>
  <c r="BC168" i="32" s="1"/>
  <c r="BK133" i="32"/>
  <c r="BK145" i="32" s="1"/>
  <c r="BB122" i="32"/>
  <c r="BB168" i="32" s="1"/>
  <c r="BN133" i="32"/>
  <c r="BN143" i="32" s="1"/>
  <c r="BL160" i="32"/>
  <c r="BL161" i="32" s="1"/>
  <c r="BL162" i="32" s="1"/>
  <c r="BE160" i="32"/>
  <c r="BE161" i="32" s="1"/>
  <c r="BE162" i="32" s="1"/>
  <c r="BK160" i="32"/>
  <c r="BK161" i="32" s="1"/>
  <c r="BK162" i="32" s="1"/>
  <c r="BJ160" i="32"/>
  <c r="BJ161" i="32" s="1"/>
  <c r="BJ162" i="32" s="1"/>
  <c r="BO133" i="32"/>
  <c r="BO143" i="32" s="1"/>
  <c r="BF160" i="32"/>
  <c r="BF161" i="32" s="1"/>
  <c r="BF162" i="32" s="1"/>
  <c r="BJ122" i="32"/>
  <c r="BJ168" i="32" s="1"/>
  <c r="BJ178" i="32" s="1"/>
  <c r="BF122" i="32"/>
  <c r="BF168" i="32" s="1"/>
  <c r="BF178" i="32" s="1"/>
  <c r="BI160" i="32"/>
  <c r="BI161" i="32" s="1"/>
  <c r="BI162" i="32" s="1"/>
  <c r="AY121" i="32"/>
  <c r="AY167" i="32" s="1"/>
  <c r="BA132" i="32"/>
  <c r="BH132" i="32"/>
  <c r="BH142" i="32" s="1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M178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BI178" i="32"/>
  <c r="DH178" i="32"/>
  <c r="CW178" i="32"/>
  <c r="CF178" i="32"/>
  <c r="DX178" i="32"/>
  <c r="AZ121" i="32"/>
  <c r="AZ167" i="32" s="1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DL178" i="32"/>
  <c r="CU178" i="32"/>
  <c r="CY178" i="32"/>
  <c r="DG178" i="32"/>
  <c r="CP178" i="32"/>
  <c r="EA178" i="32"/>
  <c r="DE178" i="32"/>
  <c r="DW178" i="32"/>
  <c r="CB178" i="32"/>
  <c r="DO178" i="32"/>
  <c r="BH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BD144" i="32"/>
  <c r="BD143" i="32"/>
  <c r="CR144" i="32"/>
  <c r="CR142" i="32"/>
  <c r="CR145" i="32"/>
  <c r="CR143" i="32"/>
  <c r="CE144" i="32"/>
  <c r="CE142" i="32"/>
  <c r="CE145" i="32"/>
  <c r="CE143" i="32"/>
  <c r="BL144" i="32"/>
  <c r="BL142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K143" i="32" l="1"/>
  <c r="BD145" i="32"/>
  <c r="BK142" i="32"/>
  <c r="BK144" i="32"/>
  <c r="BN145" i="32"/>
  <c r="BN142" i="32"/>
  <c r="BN144" i="32"/>
  <c r="BO142" i="32"/>
  <c r="BO144" i="32"/>
  <c r="BO145" i="32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CQ146" i="32"/>
  <c r="CE146" i="32"/>
  <c r="BD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BL146" i="32"/>
  <c r="CR146" i="32"/>
  <c r="CB146" i="32"/>
  <c r="DE146" i="32"/>
  <c r="CY146" i="32"/>
  <c r="CU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BK146" i="32" l="1"/>
  <c r="BK148" i="32" s="1"/>
  <c r="BO146" i="32"/>
  <c r="BO148" i="32" s="1"/>
  <c r="BN146" i="32"/>
  <c r="BN148" i="32" s="1"/>
  <c r="AX146" i="32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7" i="32"/>
  <c r="CI148" i="32"/>
  <c r="CI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BN147" i="32" l="1"/>
  <c r="BN163" i="32" s="1"/>
  <c r="BO147" i="32"/>
  <c r="BO163" i="32" s="1"/>
  <c r="AW148" i="32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AD56" i="18" s="1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B35" i="15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6" i="3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B118" i="30" s="1"/>
  <c r="B6" i="31"/>
  <c r="T134" i="31" s="1"/>
  <c r="K112" i="31" s="1"/>
  <c r="C150" i="32"/>
  <c r="D150" i="32" s="1"/>
  <c r="AH147" i="31"/>
  <c r="V126" i="31" s="1"/>
  <c r="K11" i="31"/>
  <c r="AF132" i="31"/>
  <c r="AF134" i="31" s="1"/>
  <c r="J5" i="31"/>
  <c r="K5" i="31"/>
  <c r="K12" i="31"/>
  <c r="AF135" i="31"/>
  <c r="AF137" i="31" s="1"/>
  <c r="D99" i="30"/>
  <c r="B49" i="15"/>
  <c r="Y48" i="31" s="1"/>
  <c r="AC48" i="31" s="1"/>
  <c r="Y53" i="31" s="1"/>
  <c r="Z36" i="31" s="1"/>
  <c r="AC36" i="31" s="1"/>
  <c r="J6" i="31" l="1"/>
  <c r="B106" i="30"/>
  <c r="D103" i="30"/>
  <c r="C281" i="32"/>
  <c r="C284" i="32" s="1"/>
  <c r="K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D118" i="30"/>
  <c r="T7" i="7"/>
  <c r="T8" i="7"/>
  <c r="T9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T13" i="7" s="1"/>
  <c r="J12" i="7"/>
  <c r="K12" i="7" s="1"/>
  <c r="J11" i="7"/>
  <c r="K11" i="7" s="1"/>
  <c r="K10" i="7"/>
  <c r="L10" i="7" s="1"/>
  <c r="T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T11" i="7" s="1"/>
  <c r="L12" i="7"/>
  <c r="T12" i="7" s="1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I18" i="18"/>
  <c r="C3" i="22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BR8" i="23" l="1"/>
  <c r="E25" i="23" s="1"/>
  <c r="E27" i="23" s="1"/>
  <c r="K25" i="23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C30" i="31" l="1"/>
  <c r="C160" i="32" s="1"/>
  <c r="D160" i="32" s="1"/>
  <c r="B118" i="31"/>
  <c r="C176" i="32" s="1"/>
  <c r="D176" i="32" s="1"/>
  <c r="D216" i="32"/>
  <c r="F27" i="23"/>
  <c r="C170" i="32"/>
  <c r="C158" i="32"/>
  <c r="D158" i="32" s="1"/>
  <c r="D152" i="32"/>
  <c r="AD18" i="31"/>
  <c r="R16" i="31"/>
  <c r="T111" i="31"/>
  <c r="L116" i="31"/>
  <c r="J82" i="31"/>
  <c r="C177" i="32" l="1"/>
  <c r="D177" i="32" s="1"/>
  <c r="J30" i="31"/>
  <c r="J118" i="3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J145" i="31" l="1"/>
  <c r="D218" i="32"/>
  <c r="D221" i="32" s="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sharedStrings.xml><?xml version="1.0" encoding="utf-8"?>
<sst xmlns="http://schemas.openxmlformats.org/spreadsheetml/2006/main" count="2932" uniqueCount="1435">
  <si>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</si>
  <si>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</si>
  <si>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</si>
  <si>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</si>
  <si>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</si>
  <si>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</si>
  <si>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</si>
  <si>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</si>
  <si>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</si>
  <si>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</si>
  <si>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</si>
  <si>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</si>
  <si>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</si>
  <si>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</si>
  <si>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</si>
  <si>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</si>
  <si>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</si>
  <si>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</si>
  <si>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</si>
  <si>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</si>
  <si>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</si>
  <si>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</si>
  <si>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</si>
  <si>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</si>
  <si>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</si>
  <si>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</si>
  <si>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</si>
  <si>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</si>
  <si>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</si>
  <si>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</si>
  <si>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</si>
  <si>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</si>
  <si>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</si>
  <si>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</si>
  <si>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</si>
  <si>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</si>
  <si>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</si>
  <si>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</si>
  <si>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</si>
  <si>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</si>
  <si>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</si>
  <si>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</si>
  <si>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</si>
  <si>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</si>
  <si>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</si>
  <si>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</si>
  <si>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</si>
  <si>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</si>
  <si>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</si>
  <si>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</si>
  <si>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</si>
  <si>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</si>
  <si>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</si>
  <si>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</si>
  <si>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</si>
  <si>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</si>
  <si>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</si>
  <si>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</si>
  <si>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</si>
  <si>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</si>
  <si>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</si>
  <si>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</si>
  <si>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</si>
  <si>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</si>
  <si>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</si>
  <si>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</si>
  <si>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</si>
  <si>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</si>
  <si>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</si>
  <si>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</si>
  <si>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</si>
  <si>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</si>
  <si>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</si>
  <si>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</si>
  <si>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</si>
  <si>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</si>
  <si>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</si>
  <si>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</si>
  <si>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</si>
  <si>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</si>
  <si>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</si>
  <si>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</si>
  <si>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</si>
  <si>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</si>
  <si>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</si>
  <si>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</si>
  <si>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</si>
  <si>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</si>
  <si>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</si>
  <si>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</si>
  <si>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</si>
  <si>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</si>
  <si>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</si>
  <si>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</si>
  <si>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</si>
  <si>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</si>
  <si>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</si>
  <si>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</si>
  <si>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</si>
  <si>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</si>
  <si>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</si>
  <si>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</si>
  <si>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</si>
  <si>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</si>
  <si>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</si>
  <si>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</si>
  <si>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</si>
  <si>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</si>
  <si>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</si>
  <si>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</si>
  <si>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</si>
  <si>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</si>
  <si>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</si>
  <si>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</si>
  <si>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</si>
  <si>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</si>
  <si>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</si>
  <si>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</si>
  <si>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</si>
  <si>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</si>
  <si>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</si>
  <si>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</si>
  <si>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</si>
  <si>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</si>
  <si>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</si>
  <si>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</si>
  <si>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</si>
  <si>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</si>
  <si>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</si>
  <si>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</si>
  <si>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</si>
  <si>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</si>
  <si>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</si>
  <si>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</si>
  <si>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</si>
  <si>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</si>
  <si>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</si>
  <si>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</si>
  <si>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</si>
  <si>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</si>
  <si>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</si>
  <si>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</si>
  <si>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</si>
  <si>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</si>
  <si>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</si>
  <si>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</si>
  <si>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</si>
  <si>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</si>
  <si>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</si>
  <si>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</si>
  <si>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</si>
  <si>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</si>
  <si>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</si>
  <si>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</si>
  <si>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</si>
  <si>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</si>
  <si>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</si>
  <si>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</si>
  <si>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</si>
  <si>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</si>
  <si>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</si>
  <si>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</si>
  <si>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</si>
  <si>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</si>
  <si>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</si>
  <si>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</si>
  <si>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</si>
  <si>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</si>
  <si>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</si>
  <si>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</si>
  <si>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</si>
  <si>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</si>
  <si>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</si>
  <si>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</si>
  <si>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</si>
  <si>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</si>
  <si>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</si>
  <si>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</si>
  <si>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</si>
  <si>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</si>
  <si>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</si>
  <si>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</si>
  <si>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</si>
  <si>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</si>
  <si>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</si>
  <si>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</si>
  <si>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</si>
  <si>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</si>
  <si>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</si>
  <si>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</si>
  <si>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</si>
  <si>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</si>
  <si>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</si>
  <si>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</si>
  <si>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</si>
  <si>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</si>
  <si>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</si>
  <si>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</si>
  <si>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</si>
  <si>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</si>
  <si>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</si>
  <si>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</si>
  <si>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</si>
  <si>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</si>
  <si>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</si>
  <si>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</si>
  <si>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</si>
  <si>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</si>
  <si>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</si>
  <si>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</si>
  <si>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</si>
  <si>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</si>
  <si>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</si>
  <si>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</si>
  <si>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</si>
  <si>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</si>
  <si>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</si>
  <si>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</si>
  <si>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</si>
  <si>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</si>
  <si>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</si>
  <si>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</si>
  <si>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</si>
  <si>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</si>
  <si>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</si>
  <si>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</si>
  <si>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</si>
  <si>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</si>
  <si>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</si>
  <si>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</si>
  <si>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</si>
  <si>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</si>
  <si>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</si>
  <si>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</si>
  <si>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</si>
  <si>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</si>
  <si>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</si>
  <si>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</si>
  <si>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</si>
  <si>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</si>
  <si>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</si>
  <si>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</si>
  <si>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</si>
  <si>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</si>
  <si>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</si>
  <si>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</si>
  <si>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</si>
  <si>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</si>
  <si>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</si>
  <si>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</si>
  <si>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</si>
  <si>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</si>
  <si>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</si>
  <si>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</si>
  <si>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</si>
  <si>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</si>
  <si>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</si>
  <si>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</si>
  <si>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</si>
  <si>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</si>
  <si>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</si>
  <si>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</si>
  <si>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</si>
  <si>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</si>
  <si>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</si>
  <si>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</si>
  <si>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</si>
  <si>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</si>
  <si>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</si>
  <si>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</si>
  <si>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</si>
  <si>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</si>
  <si>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</si>
  <si>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</si>
  <si>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</si>
  <si>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</si>
  <si>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</si>
  <si>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</si>
  <si>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</si>
  <si>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</si>
  <si>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</si>
  <si>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</si>
  <si>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</si>
  <si>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</si>
  <si>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</si>
  <si>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</si>
  <si>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</si>
  <si>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</si>
  <si>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</si>
  <si>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</si>
  <si>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</si>
  <si>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</si>
  <si>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</si>
  <si>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</si>
  <si>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</si>
  <si>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</si>
  <si>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</si>
  <si>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</si>
  <si>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</si>
  <si>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</si>
  <si>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</si>
  <si>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</si>
  <si>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</si>
  <si>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</si>
  <si>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</si>
  <si>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</si>
  <si>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</si>
  <si>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</si>
  <si>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</si>
  <si>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</si>
  <si>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</si>
  <si>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</si>
  <si>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</si>
  <si>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</si>
  <si>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</si>
  <si>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</si>
  <si>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</si>
  <si>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</si>
  <si>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</si>
  <si>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</si>
  <si>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</si>
  <si>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</si>
  <si>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</si>
  <si>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</si>
  <si>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</si>
  <si>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</si>
  <si>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</si>
  <si>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</si>
  <si>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</si>
  <si>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</si>
  <si>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</si>
  <si>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</si>
  <si>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</si>
  <si>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</si>
  <si>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</si>
  <si>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</si>
  <si>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</si>
  <si>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</si>
  <si>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</si>
  <si>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</si>
  <si>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</si>
  <si>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</si>
  <si>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</si>
  <si>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</si>
  <si>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</si>
  <si>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</si>
  <si>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</si>
  <si>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</si>
  <si>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</si>
  <si>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</si>
  <si>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</si>
  <si>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</si>
  <si>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</si>
  <si>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</si>
  <si>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</si>
  <si>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</si>
  <si>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</si>
  <si>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</si>
  <si>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</si>
  <si>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</si>
  <si>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</si>
  <si>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</si>
  <si>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</si>
  <si>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</si>
  <si>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</si>
  <si>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</si>
  <si>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</si>
  <si>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</si>
  <si>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</si>
  <si>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</si>
  <si>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</si>
  <si>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</si>
  <si>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</si>
  <si>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</si>
  <si>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</si>
  <si>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</si>
  <si>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</si>
  <si>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</si>
  <si>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</si>
  <si>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</si>
  <si>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</si>
  <si>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</si>
  <si>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</si>
  <si>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</si>
  <si>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</si>
  <si>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</si>
  <si>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</si>
  <si>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</si>
  <si>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</si>
  <si>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</si>
  <si>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</si>
  <si>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</si>
  <si>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</si>
  <si>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</si>
  <si>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</si>
  <si>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</si>
  <si>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</si>
  <si>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</si>
  <si>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</si>
  <si>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</si>
  <si>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</si>
  <si>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</si>
  <si>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</si>
  <si>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</si>
  <si>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</si>
  <si>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</si>
  <si>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</si>
  <si>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</si>
  <si>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</si>
  <si>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</si>
  <si>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</si>
  <si>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</si>
  <si>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</si>
  <si>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</si>
  <si>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</si>
  <si>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</si>
  <si>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</si>
  <si>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</si>
  <si>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</si>
  <si>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</si>
  <si>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</si>
  <si>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</si>
  <si>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</si>
  <si>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</si>
  <si>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</si>
  <si>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</si>
  <si>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</si>
  <si>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</si>
  <si>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</si>
  <si>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</si>
  <si>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</si>
  <si>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</si>
  <si>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</si>
  <si>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</si>
  <si>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</si>
  <si>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</si>
  <si>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</si>
  <si>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</si>
  <si>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</si>
  <si>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</si>
  <si>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</si>
  <si>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</si>
  <si>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</si>
  <si>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</si>
  <si>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</si>
  <si>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</si>
  <si>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</si>
  <si>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</si>
  <si>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</si>
  <si>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</si>
  <si>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</si>
  <si>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</si>
  <si>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</si>
  <si>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</si>
  <si>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</si>
  <si>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</si>
  <si>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</si>
  <si>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</si>
  <si>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</si>
  <si>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</si>
  <si>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</si>
  <si>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</si>
  <si>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</si>
  <si>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</si>
  <si>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</si>
  <si>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</si>
  <si>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</si>
  <si>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</si>
  <si>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</si>
  <si>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</si>
  <si>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</si>
  <si>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</si>
  <si>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</si>
  <si>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</si>
  <si>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</si>
  <si>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</si>
  <si>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</si>
  <si>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</si>
  <si>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</si>
  <si>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</si>
  <si>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</si>
  <si>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</si>
  <si>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</si>
  <si>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</si>
  <si>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</si>
  <si>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</si>
  <si>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</si>
  <si>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</si>
  <si>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</si>
  <si>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</si>
  <si>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</si>
  <si>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</si>
  <si>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</si>
  <si>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</si>
  <si>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</si>
  <si>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</si>
  <si>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</si>
  <si>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</si>
  <si>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</si>
  <si>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</si>
  <si>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</si>
  <si>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</si>
  <si>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</si>
  <si>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</si>
  <si>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</si>
  <si>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</si>
  <si>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</si>
  <si>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</si>
  <si>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</si>
  <si>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</si>
  <si>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</si>
  <si>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</si>
  <si>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</si>
  <si>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</si>
  <si>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</si>
  <si>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</si>
  <si>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</si>
  <si>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</si>
  <si>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</si>
  <si>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</si>
  <si>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</si>
  <si>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</si>
  <si>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</si>
  <si>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</si>
  <si>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</si>
  <si>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</si>
  <si>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</si>
  <si>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</si>
  <si>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</si>
  <si>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</si>
  <si>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</si>
  <si>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</si>
  <si>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</si>
  <si>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</si>
  <si>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</si>
  <si>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</si>
  <si>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</si>
  <si>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</si>
  <si>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</si>
  <si>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</si>
  <si>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</si>
  <si>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</si>
  <si>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</si>
  <si>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</si>
  <si>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</si>
  <si>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</si>
  <si>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</si>
  <si>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</si>
  <si>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</si>
  <si>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</si>
  <si>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</si>
  <si>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</si>
  <si>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</si>
  <si>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</si>
  <si>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</si>
  <si>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</si>
  <si>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</si>
  <si>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</si>
  <si>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</si>
  <si>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</si>
  <si>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</si>
  <si>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</si>
  <si>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</si>
  <si>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</si>
  <si>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</si>
  <si>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</si>
  <si>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</si>
  <si>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</si>
  <si>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</si>
  <si>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</si>
  <si>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</si>
  <si>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</si>
  <si>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</si>
  <si>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</si>
  <si>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</si>
  <si>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</si>
  <si>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</si>
  <si>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</si>
  <si>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</si>
  <si>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</si>
  <si>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</si>
  <si>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</si>
  <si>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</si>
  <si>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</si>
  <si>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</si>
  <si>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</si>
  <si>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</si>
  <si>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</si>
  <si>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</si>
  <si>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</si>
  <si>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</si>
  <si>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</si>
  <si>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</si>
  <si>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</si>
  <si>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</si>
  <si>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</si>
  <si>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</si>
  <si>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</si>
  <si>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</si>
  <si>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</si>
  <si>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</si>
  <si>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</si>
  <si>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</si>
  <si>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</si>
  <si>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</si>
  <si>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</si>
  <si>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</si>
  <si>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</si>
  <si>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</si>
  <si>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</si>
  <si>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</si>
  <si>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</si>
  <si>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</si>
  <si>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</si>
  <si>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</si>
  <si>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</si>
  <si>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</si>
  <si>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</si>
  <si>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</si>
  <si>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</si>
  <si>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</si>
  <si>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</si>
  <si>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</si>
  <si>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</si>
  <si>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</si>
  <si>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</si>
  <si>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</si>
  <si>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</si>
  <si>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</si>
  <si>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</si>
  <si>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</si>
  <si>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</si>
  <si>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</si>
  <si>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</si>
  <si>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</si>
  <si>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</si>
  <si>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</si>
  <si>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</si>
  <si>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</si>
  <si>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</si>
  <si>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</si>
  <si>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</si>
  <si>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</si>
  <si>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</si>
  <si>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</si>
  <si>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</si>
  <si>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</si>
  <si>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</si>
  <si>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</si>
  <si>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</si>
  <si>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</si>
  <si>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</si>
  <si>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</si>
  <si>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</si>
  <si>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</si>
  <si>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</si>
  <si>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</si>
  <si>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</si>
  <si>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</si>
  <si>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</si>
  <si>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</si>
  <si>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</si>
  <si>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</si>
  <si>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</si>
  <si>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</si>
  <si>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</si>
  <si>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</si>
  <si>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</si>
  <si>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</si>
  <si>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</si>
  <si>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</si>
  <si>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</si>
  <si>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</si>
  <si>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</si>
  <si>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</si>
  <si>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</si>
  <si>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</si>
  <si>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</si>
  <si>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</si>
  <si>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</si>
  <si>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</si>
  <si>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</si>
  <si>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</si>
  <si>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</si>
  <si>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</si>
  <si>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</si>
  <si>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</si>
  <si>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</si>
  <si>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</si>
  <si>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</si>
  <si>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</si>
  <si>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</si>
  <si>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</si>
  <si>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</si>
  <si>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</si>
  <si>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</si>
  <si>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</si>
  <si>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</si>
  <si>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</si>
  <si>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</si>
  <si>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</si>
  <si>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</si>
  <si>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</si>
  <si>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</si>
  <si>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</si>
  <si>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</si>
  <si>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</si>
  <si>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</si>
  <si>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</si>
  <si>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</si>
  <si>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</si>
  <si>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</si>
  <si>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</si>
  <si>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</si>
  <si>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</si>
  <si>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</si>
  <si>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</si>
  <si>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</si>
  <si>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</si>
  <si>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</si>
  <si>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</si>
  <si>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</si>
  <si>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</si>
  <si>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</si>
  <si>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</si>
  <si>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</si>
  <si>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</si>
  <si>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</si>
  <si>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</si>
  <si>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</si>
  <si>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</si>
  <si>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</si>
  <si>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</si>
  <si>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</si>
  <si>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</si>
  <si>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</si>
  <si>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</si>
  <si>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</si>
  <si>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</si>
  <si>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</si>
  <si>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</si>
  <si>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</si>
  <si>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</si>
  <si>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</si>
  <si>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</si>
  <si>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</si>
  <si>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</si>
  <si>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</si>
  <si>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</si>
  <si>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</si>
  <si>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</si>
  <si>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</si>
  <si>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</si>
  <si>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</si>
  <si>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</si>
  <si>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</si>
  <si>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</si>
  <si>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</si>
  <si>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</si>
  <si>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</si>
  <si>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</si>
  <si>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</si>
  <si>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</si>
  <si>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</si>
  <si>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</si>
  <si>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</si>
  <si>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</si>
  <si>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</si>
  <si>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</si>
  <si>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</si>
  <si>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</si>
  <si>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</si>
  <si>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</si>
  <si>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</si>
  <si>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</si>
  <si>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</si>
  <si>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</si>
  <si>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</si>
  <si>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</si>
  <si>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</si>
  <si>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</si>
  <si>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</si>
  <si>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</si>
  <si>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</si>
  <si>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</si>
  <si>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</si>
  <si>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</si>
  <si>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</si>
  <si>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</si>
  <si>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</si>
  <si>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</si>
  <si>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</si>
  <si>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</si>
  <si>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</si>
  <si>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</si>
  <si>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</si>
  <si>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</si>
  <si>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</si>
  <si>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</si>
  <si>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</si>
  <si>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</si>
  <si>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</si>
  <si>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</si>
  <si>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</si>
  <si>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</si>
  <si>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</si>
  <si>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</si>
  <si>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</si>
  <si>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</si>
  <si>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</si>
  <si>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</si>
  <si>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</si>
  <si>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</si>
  <si>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</si>
  <si>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</si>
  <si>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</si>
  <si>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</si>
  <si>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</si>
  <si>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</si>
  <si>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</si>
  <si>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</si>
  <si>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</si>
  <si>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</si>
  <si>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</si>
  <si>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</si>
  <si>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</si>
  <si>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</si>
  <si>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</si>
  <si>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</si>
  <si>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</si>
  <si>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</si>
  <si>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</si>
  <si>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</si>
  <si>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</si>
  <si>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</si>
  <si>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</si>
  <si>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</si>
  <si>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</si>
  <si>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</si>
  <si>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</si>
  <si>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</si>
  <si>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</si>
  <si>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</si>
  <si>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</si>
  <si>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</si>
  <si>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</si>
  <si>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</si>
  <si>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</si>
  <si>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</si>
  <si>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</si>
  <si>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</si>
  <si>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</si>
  <si>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</si>
  <si>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</si>
  <si>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</si>
  <si>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</si>
  <si>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</si>
  <si>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</si>
  <si>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</si>
  <si>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</si>
  <si>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</si>
  <si>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</si>
  <si>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</si>
  <si>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</si>
  <si>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</si>
  <si>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</si>
  <si>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</si>
  <si>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</si>
  <si>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</si>
  <si>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</si>
  <si>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</si>
  <si>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</si>
  <si>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</si>
  <si>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</si>
  <si>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</si>
  <si>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</si>
  <si>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</si>
  <si>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</si>
  <si>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</si>
  <si>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</si>
  <si>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</si>
  <si>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</si>
  <si>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</si>
  <si>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</si>
  <si>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</si>
  <si>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</si>
  <si>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</si>
  <si>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</si>
  <si>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</si>
  <si>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</si>
  <si>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</si>
  <si>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</si>
  <si>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</si>
  <si>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</si>
  <si>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</si>
  <si>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</si>
  <si>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</si>
  <si>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</si>
  <si>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</si>
  <si>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</si>
  <si>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</si>
  <si>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</si>
  <si>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</si>
  <si>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</si>
  <si>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</si>
  <si>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</si>
  <si>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</si>
  <si>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</si>
  <si>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</si>
  <si>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</si>
  <si>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</si>
  <si>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</si>
  <si>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</si>
  <si>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</si>
  <si>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</si>
  <si>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</si>
  <si>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</si>
  <si>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</si>
  <si>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</si>
  <si>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</si>
  <si>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</si>
  <si>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</si>
  <si>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</si>
  <si>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</si>
  <si>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</si>
  <si>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</si>
  <si>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</si>
  <si>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</si>
  <si>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</si>
  <si>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</si>
  <si>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</si>
  <si>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</si>
  <si>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</si>
  <si>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</si>
  <si>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</si>
  <si>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</si>
  <si>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</si>
  <si>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</si>
  <si>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</si>
  <si>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</si>
  <si>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</si>
  <si>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</si>
  <si>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</si>
  <si>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</si>
  <si>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</si>
  <si>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</si>
  <si>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</si>
  <si>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</si>
  <si>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</si>
  <si>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</si>
  <si>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</si>
  <si>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</si>
  <si>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</si>
  <si>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</si>
  <si>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</si>
  <si>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</si>
  <si>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</si>
  <si>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</si>
  <si>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</si>
  <si>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</si>
  <si>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</si>
  <si>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</si>
  <si>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</si>
  <si>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</si>
  <si>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</si>
  <si>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</si>
  <si>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</si>
  <si>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</si>
  <si>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</si>
  <si>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</si>
  <si>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</si>
  <si>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</si>
  <si>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</si>
  <si>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</si>
  <si>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</si>
  <si>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</si>
  <si>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</si>
  <si>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</si>
  <si>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</si>
  <si>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</si>
  <si>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</si>
  <si>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</si>
  <si>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</si>
  <si>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</si>
  <si>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</si>
  <si>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</si>
  <si>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</si>
  <si>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</si>
  <si>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</si>
  <si>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</si>
  <si>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</si>
  <si>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</si>
  <si>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</si>
  <si>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</si>
  <si>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</si>
  <si>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</si>
  <si>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</si>
  <si>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</si>
  <si>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</si>
  <si>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</si>
  <si>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</si>
  <si>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</si>
  <si>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</si>
  <si>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</si>
  <si>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</si>
  <si>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</si>
  <si>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</si>
  <si>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</si>
  <si>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</si>
  <si>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</si>
  <si>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</si>
  <si>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</si>
  <si>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</si>
  <si>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</si>
  <si>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</si>
  <si>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</si>
  <si>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</si>
  <si>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</si>
  <si>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</si>
  <si>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</si>
  <si>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</si>
  <si>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</si>
  <si>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</si>
  <si>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</si>
  <si>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</si>
  <si>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</si>
  <si>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</si>
  <si>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</si>
  <si>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</si>
  <si>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</si>
  <si>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</si>
  <si>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</si>
  <si>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</si>
  <si>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</si>
  <si>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</si>
  <si>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</si>
  <si>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</si>
  <si>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</si>
  <si>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</si>
  <si>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</si>
  <si>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</si>
  <si>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</si>
  <si>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</si>
  <si>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</si>
  <si>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</si>
  <si>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</si>
  <si>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</si>
  <si>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</si>
  <si>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</si>
  <si>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</si>
  <si>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</si>
  <si>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</si>
  <si>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</si>
  <si>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</si>
  <si>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</si>
  <si>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</si>
  <si>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</si>
  <si>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</si>
  <si>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</si>
  <si>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</si>
  <si>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</si>
  <si>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</si>
  <si>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</si>
  <si>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</si>
  <si>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</si>
  <si>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</si>
  <si>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</si>
  <si>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</si>
  <si>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</si>
  <si>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</si>
  <si>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</si>
  <si>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</si>
  <si>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</si>
  <si>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</si>
  <si>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</si>
  <si>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</si>
  <si>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</si>
  <si>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</si>
  <si>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</si>
  <si>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</si>
  <si>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</si>
  <si>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</si>
  <si>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</si>
  <si>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</si>
  <si>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</si>
  <si>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</si>
  <si>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</si>
  <si>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</si>
  <si>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</si>
  <si>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</si>
  <si>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</si>
  <si>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</si>
  <si>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</si>
  <si>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</si>
  <si>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</si>
  <si>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</si>
  <si>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</si>
  <si>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</si>
  <si>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</si>
  <si>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</si>
  <si>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</si>
  <si>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</si>
  <si>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</si>
  <si>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</si>
  <si>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</si>
  <si>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</si>
  <si>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</si>
  <si>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</si>
  <si>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</si>
  <si>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</si>
  <si>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</si>
  <si>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</si>
  <si>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</si>
  <si>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</si>
  <si>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</si>
  <si>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</si>
  <si>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</si>
  <si>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</si>
  <si>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</si>
  <si>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</si>
  <si>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</si>
  <si>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</si>
  <si>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</si>
  <si>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</si>
  <si>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</si>
  <si>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</si>
  <si>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</si>
  <si>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</si>
  <si>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</si>
  <si>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</si>
  <si>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</si>
  <si>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</si>
  <si>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</si>
  <si>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</si>
  <si>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</si>
  <si>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</si>
  <si>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</si>
  <si>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</si>
  <si>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</si>
  <si>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</si>
  <si>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</si>
  <si>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</si>
  <si>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</si>
  <si>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</si>
  <si>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</si>
  <si>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</si>
  <si>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</si>
  <si>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</si>
  <si>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</si>
  <si>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</si>
  <si>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</si>
  <si>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</si>
  <si>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</si>
  <si>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</si>
  <si>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</si>
  <si>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</si>
  <si>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</si>
  <si>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</si>
  <si>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</si>
  <si>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</si>
  <si>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</si>
  <si>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</si>
  <si>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</si>
  <si>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</si>
  <si>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</si>
  <si>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</si>
  <si>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</si>
  <si>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</si>
  <si>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</si>
  <si>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</si>
  <si>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</si>
  <si>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</si>
  <si>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</si>
  <si>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</si>
  <si>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</si>
  <si>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</si>
  <si>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</si>
  <si>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</si>
  <si>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</si>
  <si>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</si>
  <si>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</si>
  <si>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</si>
  <si>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</si>
  <si>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</si>
  <si>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</si>
  <si>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</si>
  <si>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</si>
  <si>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</si>
  <si>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</si>
  <si>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</si>
  <si>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</si>
  <si>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</si>
  <si>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</si>
  <si>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</si>
  <si>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</si>
  <si>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</si>
  <si>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</si>
  <si>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</si>
  <si>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</si>
  <si>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</si>
  <si>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</si>
  <si>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</si>
  <si>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</si>
  <si>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</si>
  <si>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</si>
  <si>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</si>
  <si>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</si>
  <si>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</si>
  <si>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</si>
  <si>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</si>
  <si>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</si>
  <si>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</si>
  <si>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</si>
  <si>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</si>
  <si>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</si>
  <si>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</si>
  <si>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</si>
  <si>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</si>
  <si>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</si>
  <si>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</si>
  <si>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</si>
  <si>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</si>
  <si>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</si>
  <si>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</si>
  <si>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</si>
  <si>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</si>
  <si>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</si>
  <si>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</si>
  <si>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</si>
  <si>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</si>
  <si>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</si>
  <si>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</si>
  <si>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</si>
  <si>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</si>
  <si>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</si>
  <si>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</si>
  <si>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</si>
  <si>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</si>
  <si>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</si>
  <si>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</si>
  <si>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</si>
  <si>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</si>
  <si>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</si>
  <si>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</si>
  <si>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</si>
  <si>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</si>
  <si>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</si>
  <si>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</si>
  <si>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</si>
  <si>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</si>
  <si>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</si>
  <si>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</si>
  <si>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</si>
  <si>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</si>
  <si>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</si>
  <si>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</si>
  <si>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</si>
  <si>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</si>
  <si>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</si>
  <si>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</si>
  <si>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</si>
  <si>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</si>
  <si>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</si>
  <si>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</si>
  <si>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</si>
  <si>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</si>
  <si>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</si>
  <si>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</si>
  <si>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</si>
  <si>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</si>
  <si>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</si>
  <si>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</si>
  <si>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</si>
  <si>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</si>
  <si>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</si>
  <si>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</si>
  <si>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</si>
  <si>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</si>
  <si>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</si>
  <si>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</si>
  <si>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</si>
  <si>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</si>
  <si>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</si>
  <si>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</si>
  <si>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</si>
  <si>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</si>
  <si>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</si>
  <si>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</si>
  <si>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</si>
  <si>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</si>
  <si>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</si>
  <si>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</si>
  <si>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</si>
  <si>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</si>
  <si>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</si>
  <si>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</si>
  <si>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</si>
  <si>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</si>
  <si>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</si>
  <si>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</si>
  <si>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</si>
  <si>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</si>
  <si>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</si>
  <si>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</si>
  <si>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</si>
  <si>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</si>
  <si>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</si>
  <si>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</si>
  <si>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</si>
  <si>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</si>
  <si>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</si>
  <si>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</si>
  <si>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</si>
  <si>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</si>
  <si>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</si>
  <si>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</si>
  <si>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</si>
  <si>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</si>
  <si>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</si>
  <si>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</si>
  <si>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</si>
  <si>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</si>
  <si>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</si>
  <si>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</si>
  <si>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</si>
  <si>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</si>
  <si>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</si>
  <si>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</si>
  <si>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</si>
  <si>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</si>
  <si>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</si>
  <si>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</si>
  <si>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</si>
  <si>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</si>
  <si>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</si>
  <si>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</si>
  <si>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</si>
  <si>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</si>
  <si>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</si>
  <si>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</si>
  <si>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</si>
  <si>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</si>
  <si>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</si>
  <si>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</si>
  <si>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</si>
  <si>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</si>
  <si>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</si>
  <si>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</si>
  <si>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</si>
  <si>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</si>
  <si>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</si>
  <si>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</si>
  <si>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</si>
  <si>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</si>
  <si>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</si>
  <si>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</si>
  <si>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</si>
  <si>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</si>
  <si>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</si>
  <si>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</si>
  <si>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</si>
  <si>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</si>
  <si>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</si>
  <si>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</si>
  <si>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</si>
  <si>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</si>
  <si>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</si>
  <si>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</si>
  <si>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</si>
  <si>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</si>
  <si>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</si>
  <si>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</si>
  <si>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</si>
  <si>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</si>
  <si>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</si>
  <si>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</si>
  <si>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</si>
  <si>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</si>
  <si>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</si>
  <si>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</si>
  <si>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</si>
  <si>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</si>
  <si>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</si>
  <si>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</si>
  <si>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</si>
  <si>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</si>
  <si>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</si>
  <si>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</si>
  <si>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</si>
  <si>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</si>
  <si>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</si>
  <si>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</si>
  <si>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</si>
  <si>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</si>
  <si>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</si>
  <si>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</si>
  <si>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</si>
  <si>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</si>
  <si>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</si>
  <si>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</si>
  <si>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</si>
  <si>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</si>
  <si>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</si>
  <si>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</si>
  <si>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</si>
  <si>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</si>
  <si>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</si>
  <si>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</si>
  <si>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</si>
  <si>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</si>
  <si>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</si>
  <si>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</si>
  <si>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</si>
  <si>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</si>
  <si>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</si>
  <si>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</si>
  <si>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</si>
  <si>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</si>
  <si>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</si>
  <si>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</si>
  <si>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</si>
  <si>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</si>
  <si>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</si>
  <si>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</si>
  <si>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</si>
  <si>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</si>
  <si>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</si>
  <si>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LANDES</t>
  </si>
  <si>
    <t>Surface totale (hors bois et lande)</t>
  </si>
  <si>
    <t>Mécanisation (par ha ST - hors landes et bois)</t>
  </si>
  <si>
    <t>Étiquettes de lignes</t>
  </si>
  <si>
    <t>(vide)</t>
  </si>
  <si>
    <t>Total général</t>
  </si>
  <si>
    <t>Somme de surface</t>
  </si>
  <si>
    <t>Z3_BL_A2_s5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</si>
</sst>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0.642850115742" createdVersion="6" refreshedVersion="6" minRefreshableVersion="3" recordCount="14">
  <cacheSource type="worksheet">
    <worksheetSource ref="A1:I15" sheet="Parcellaire"/>
  </cacheSource>
  <cacheFields count="9">
    <cacheField name="Numéro_x000a_Parcelle" numFmtId="0">
      <sharedItems containsMixedTypes="1" containsNumber="1" containsInteger="1" minValue="1" maxValue="1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47" maxValue="321" count="8">
        <n v="320"/>
        <n v="321"/>
        <n v="313"/>
        <m/>
        <n v="47"/>
        <n v="312" u="1"/>
        <n v="315" u="1"/>
        <n v="311" u="1"/>
      </sharedItems>
    </cacheField>
    <cacheField name="surface" numFmtId="0">
      <sharedItems containsString="0" containsBlank="1" containsNumber="1" containsInteger="1" minValue="0" maxValue="1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">
  <r>
    <n v="1"/>
    <n v="1"/>
    <n v="2"/>
    <s v="proche"/>
    <s v="PP"/>
    <x v="0"/>
    <n v="5"/>
    <n v="3"/>
    <n v="1"/>
  </r>
  <r>
    <n v="2"/>
    <n v="1"/>
    <n v="2"/>
    <s v="proche"/>
    <s v="PP"/>
    <x v="0"/>
    <n v="5"/>
    <n v="3"/>
    <n v="0.5"/>
  </r>
  <r>
    <n v="3"/>
    <n v="1"/>
    <n v="2"/>
    <s v="proche"/>
    <s v="PP"/>
    <x v="0"/>
    <n v="5"/>
    <n v="2"/>
    <n v="0"/>
  </r>
  <r>
    <n v="4"/>
    <n v="1"/>
    <n v="2"/>
    <s v="proche"/>
    <s v="PT"/>
    <x v="0"/>
    <n v="6"/>
    <n v="3"/>
    <n v="0"/>
  </r>
  <r>
    <n v="5"/>
    <n v="1"/>
    <n v="2"/>
    <s v="proche"/>
    <s v="PT"/>
    <x v="1"/>
    <n v="2"/>
    <n v="2"/>
    <n v="0.5"/>
  </r>
  <r>
    <n v="6"/>
    <n v="1"/>
    <n v="0"/>
    <s v="proche"/>
    <s v="PP"/>
    <x v="1"/>
    <n v="3"/>
    <n v="3"/>
    <n v="0.5"/>
  </r>
  <r>
    <s v="plusieurs "/>
    <n v="2"/>
    <n v="0"/>
    <s v="proche"/>
    <s v="maïs + dérobé"/>
    <x v="2"/>
    <n v="0"/>
    <n v="2"/>
    <n v="0"/>
  </r>
  <r>
    <s v="plusieurs "/>
    <n v="2"/>
    <n v="0"/>
    <s v="proche"/>
    <s v="ME"/>
    <x v="3"/>
    <n v="13"/>
    <n v="2"/>
    <n v="0"/>
  </r>
  <r>
    <s v="plusieurs "/>
    <n v="1"/>
    <n v="2"/>
    <s v="proche"/>
    <s v="PT"/>
    <x v="1"/>
    <n v="2"/>
    <n v="2"/>
    <n v="0.5"/>
  </r>
  <r>
    <n v="10"/>
    <n v="1"/>
    <n v="2"/>
    <s v="proche"/>
    <s v="PT"/>
    <x v="1"/>
    <n v="2"/>
    <n v="2"/>
    <n v="0.5"/>
  </r>
  <r>
    <n v="11"/>
    <n v="2"/>
    <n v="2"/>
    <s v="proche"/>
    <s v="LANDES"/>
    <x v="4"/>
    <n v="3"/>
    <n v="3"/>
    <n v="1"/>
  </r>
  <r>
    <n v="12"/>
    <m/>
    <m/>
    <m/>
    <m/>
    <x v="3"/>
    <m/>
    <m/>
    <m/>
  </r>
  <r>
    <n v="13"/>
    <m/>
    <m/>
    <m/>
    <m/>
    <x v="3"/>
    <m/>
    <m/>
    <m/>
  </r>
  <r>
    <n v="14"/>
    <m/>
    <m/>
    <m/>
    <m/>
    <x v="3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7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showAll="0"/>
    <pivotField axis="axisRow" showAll="0">
      <items count="9">
        <item x="4"/>
        <item m="1" x="7"/>
        <item x="2"/>
        <item m="1" x="6"/>
        <item x="1"/>
        <item x="3"/>
        <item x="0"/>
        <item m="1" x="5"/>
        <item t="default"/>
      </items>
    </pivotField>
    <pivotField dataField="1" showAll="0"/>
    <pivotField showAll="0"/>
    <pivotField showAll="0"/>
  </pivotFields>
  <rowFields count="1">
    <field x="5"/>
  </rowFields>
  <rowItems count="6">
    <i>
      <x/>
    </i>
    <i>
      <x v="2"/>
    </i>
    <i>
      <x v="4"/>
    </i>
    <i>
      <x v="5"/>
    </i>
    <i>
      <x v="6"/>
    </i>
    <i t="grand">
      <x/>
    </i>
  </rowItems>
  <colItems count="1">
    <i/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  <c r="AK1" t="s">
        <v>1373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3" sqref="C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1" t="s">
        <v>2</v>
      </c>
      <c r="H1" s="281"/>
      <c r="I1" s="281" t="s">
        <v>0</v>
      </c>
      <c r="J1" s="281"/>
      <c r="K1" s="281" t="s">
        <v>1</v>
      </c>
      <c r="L1" s="281"/>
      <c r="M1" s="281" t="s">
        <v>3</v>
      </c>
      <c r="N1" s="281"/>
      <c r="O1" s="281" t="s">
        <v>4</v>
      </c>
      <c r="P1" s="281"/>
      <c r="Q1" s="281" t="s">
        <v>5</v>
      </c>
      <c r="R1" s="281"/>
      <c r="S1" s="281" t="s">
        <v>6</v>
      </c>
      <c r="T1" s="281"/>
      <c r="U1" s="281" t="s">
        <v>7</v>
      </c>
      <c r="V1" s="281"/>
      <c r="W1" s="281" t="s">
        <v>8</v>
      </c>
      <c r="X1" s="281"/>
      <c r="Y1" s="281" t="s">
        <v>9</v>
      </c>
      <c r="Z1" s="281"/>
      <c r="AA1" s="281" t="s">
        <v>10</v>
      </c>
      <c r="AB1" s="281"/>
      <c r="AC1" s="281" t="s">
        <v>11</v>
      </c>
      <c r="AD1" s="281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49.71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370.69371384375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293</v>
      </c>
      <c r="C6" s="143">
        <f>SUM(Troupeau!B68:E68)</f>
        <v>178.65750000000003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192.1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9.4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94.3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94.3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G1" zoomScale="90" zoomScaleNormal="90" workbookViewId="0">
      <selection activeCell="Q8" sqref="Q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8554687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2" t="s">
        <v>251</v>
      </c>
      <c r="AT2" s="282"/>
      <c r="AU2" s="281" t="s">
        <v>252</v>
      </c>
      <c r="AV2" s="281"/>
      <c r="AW2" s="281" t="s">
        <v>253</v>
      </c>
      <c r="AX2" s="281"/>
      <c r="AY2" s="281" t="s">
        <v>254</v>
      </c>
      <c r="AZ2" s="281"/>
      <c r="BA2" s="281" t="s">
        <v>255</v>
      </c>
      <c r="BB2" s="281"/>
      <c r="BC2" s="281" t="s">
        <v>256</v>
      </c>
      <c r="BD2" s="281"/>
      <c r="BE2" s="281" t="s">
        <v>257</v>
      </c>
      <c r="BF2" s="281"/>
      <c r="BG2" s="281" t="s">
        <v>258</v>
      </c>
      <c r="BH2" s="281"/>
      <c r="BI2" s="281" t="s">
        <v>259</v>
      </c>
      <c r="BJ2" s="281"/>
      <c r="BK2" s="281" t="s">
        <v>260</v>
      </c>
      <c r="BL2" s="281"/>
      <c r="BM2" s="281" t="s">
        <v>261</v>
      </c>
      <c r="BN2" s="281"/>
      <c r="BO2" s="281" t="s">
        <v>262</v>
      </c>
      <c r="BP2" s="281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5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33</v>
      </c>
      <c r="P7">
        <v>1</v>
      </c>
      <c r="Q7" s="39">
        <v>56</v>
      </c>
      <c r="R7" s="39">
        <v>21</v>
      </c>
      <c r="S7" s="276" t="str">
        <f>VLOOKUP($Q7,[1]MEP!$A$5:$D$300,3)</f>
        <v>PP MOYENNE 2C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105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49.71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33</v>
      </c>
      <c r="P8">
        <v>2</v>
      </c>
      <c r="Q8" s="271">
        <v>57</v>
      </c>
      <c r="R8" s="271">
        <v>3</v>
      </c>
      <c r="S8" s="276" t="str">
        <f>VLOOKUP($Q8,[1]MEP!$A$5:$D$300,3)</f>
        <v>PP BONNE 3 COUPES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24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49.71</v>
      </c>
      <c r="G9" s="81"/>
      <c r="H9" s="61">
        <f>SUM(L34:L43)</f>
        <v>9</v>
      </c>
      <c r="I9" s="81"/>
      <c r="J9" s="81"/>
      <c r="K9" s="93">
        <f>H9-F9</f>
        <v>-40.71</v>
      </c>
      <c r="L9" s="81"/>
      <c r="M9" s="100"/>
      <c r="P9">
        <v>3</v>
      </c>
      <c r="Q9" s="39">
        <v>313</v>
      </c>
      <c r="R9" s="39">
        <v>0</v>
      </c>
      <c r="S9" s="276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178.65750000000003</v>
      </c>
      <c r="G10" s="81"/>
      <c r="H10" s="61">
        <f>SUM(M34:M43)</f>
        <v>182</v>
      </c>
      <c r="I10" s="81"/>
      <c r="J10" s="81"/>
      <c r="K10" s="93">
        <f>H10-F10</f>
        <v>3.3424999999999727</v>
      </c>
      <c r="L10" s="81"/>
      <c r="M10" s="100"/>
      <c r="P10">
        <v>4</v>
      </c>
      <c r="Q10" s="39">
        <v>65</v>
      </c>
      <c r="R10" s="39">
        <v>9</v>
      </c>
      <c r="S10" s="276" t="str">
        <f>VLOOKUP($Q10,[1]MEP!$A$5:$D$300,3)</f>
        <v>PT 2 coupes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7.5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67.5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9.4</v>
      </c>
      <c r="G13" s="81"/>
      <c r="H13" s="61">
        <f>F61</f>
        <v>0</v>
      </c>
      <c r="I13" s="81"/>
      <c r="J13" s="81"/>
      <c r="K13" s="93">
        <f>H13-F13</f>
        <v>-9.4</v>
      </c>
      <c r="L13" s="81"/>
      <c r="M13" s="100"/>
      <c r="P13">
        <v>7</v>
      </c>
      <c r="Q13" s="39"/>
      <c r="R13" s="39"/>
      <c r="S13" s="2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196.5</v>
      </c>
      <c r="L24" s="52"/>
      <c r="M24" s="100"/>
      <c r="P24">
        <v>18</v>
      </c>
      <c r="Q24" s="39"/>
      <c r="R24" s="39"/>
      <c r="S24" s="2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192.1</v>
      </c>
      <c r="L25" s="63"/>
      <c r="M25" s="100"/>
      <c r="P25">
        <v>19</v>
      </c>
      <c r="Q25" s="39"/>
      <c r="R25" s="39"/>
      <c r="S25" s="2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4.4000000000000057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196.5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1" t="s">
        <v>277</v>
      </c>
      <c r="G32" s="281"/>
      <c r="H32" s="82"/>
      <c r="I32" s="68" t="s">
        <v>281</v>
      </c>
      <c r="J32" s="82" t="s">
        <v>281</v>
      </c>
      <c r="K32" s="281" t="s">
        <v>279</v>
      </c>
      <c r="L32" s="281"/>
      <c r="M32" s="82"/>
      <c r="P32">
        <v>4</v>
      </c>
      <c r="Q32" s="39"/>
      <c r="R32" s="39"/>
      <c r="S32" s="2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4">
        <v>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9</v>
      </c>
      <c r="M34" s="61">
        <f t="shared" ref="M34:M43" si="41">E34*H34</f>
        <v>0</v>
      </c>
      <c r="P34">
        <v>6</v>
      </c>
      <c r="Q34" s="39"/>
      <c r="R34" s="39"/>
      <c r="S34" s="2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13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182</v>
      </c>
      <c r="P35">
        <v>7</v>
      </c>
      <c r="Q35" s="39"/>
      <c r="R35" s="39"/>
      <c r="S35" s="2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274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3</v>
      </c>
      <c r="P51">
        <v>1</v>
      </c>
      <c r="Q51" s="39">
        <v>47</v>
      </c>
      <c r="R51" s="39">
        <v>3</v>
      </c>
      <c r="S51" s="2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3</v>
      </c>
      <c r="P52">
        <v>2</v>
      </c>
      <c r="Q52" s="39"/>
      <c r="R52" s="39"/>
      <c r="S52" s="2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196.5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192.1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4.4000000000000057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B8" sqref="B8"/>
    </sheetView>
  </sheetViews>
  <sheetFormatPr baseColWidth="10" defaultRowHeight="15" x14ac:dyDescent="0.25"/>
  <cols>
    <col min="1" max="1" width="21" bestFit="1" customWidth="1"/>
    <col min="2" max="2" width="17.42578125" customWidth="1"/>
  </cols>
  <sheetData>
    <row r="3" spans="1:2" x14ac:dyDescent="0.25">
      <c r="A3" s="279" t="s">
        <v>1430</v>
      </c>
      <c r="B3" t="s">
        <v>1433</v>
      </c>
    </row>
    <row r="4" spans="1:2" x14ac:dyDescent="0.25">
      <c r="A4" s="15">
        <v>47</v>
      </c>
      <c r="B4" s="280">
        <v>3</v>
      </c>
    </row>
    <row r="5" spans="1:2" x14ac:dyDescent="0.25">
      <c r="A5" s="15">
        <v>313</v>
      </c>
      <c r="B5" s="280">
        <v>0</v>
      </c>
    </row>
    <row r="6" spans="1:2" x14ac:dyDescent="0.25">
      <c r="A6" s="15">
        <v>321</v>
      </c>
      <c r="B6" s="280">
        <v>9</v>
      </c>
    </row>
    <row r="7" spans="1:2" x14ac:dyDescent="0.25">
      <c r="A7" s="15" t="s">
        <v>1431</v>
      </c>
      <c r="B7" s="280">
        <v>13</v>
      </c>
    </row>
    <row r="8" spans="1:2" x14ac:dyDescent="0.25">
      <c r="A8" s="15">
        <v>320</v>
      </c>
      <c r="B8" s="280">
        <v>21</v>
      </c>
    </row>
    <row r="9" spans="1:2" x14ac:dyDescent="0.25">
      <c r="A9" s="15" t="s">
        <v>1432</v>
      </c>
      <c r="B9" s="280">
        <v>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workbookViewId="0">
      <selection activeCell="F8" sqref="F8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1409</v>
      </c>
      <c r="F2" s="9">
        <v>320</v>
      </c>
      <c r="G2" s="9">
        <v>5</v>
      </c>
      <c r="H2" s="9">
        <v>3</v>
      </c>
      <c r="I2" s="9">
        <v>1</v>
      </c>
      <c r="J2" s="8">
        <f>IF(B2=2,0,IF(H2=$X$10,G2*$AA$10,IF(H2=$X$11,G2*$AA$11,IF(H2=$X$12,G2*$AA$12,""))))</f>
        <v>5.5</v>
      </c>
      <c r="K2" s="8">
        <f t="shared" ref="K2:K37" si="0">IF(I2=$X$5,J2*$Z$5,IF(I2=$X$6,J2*$Z$6,IF(I2=$X$7,J2*$Z$7,"")))</f>
        <v>6.6</v>
      </c>
      <c r="L2" s="10">
        <f>IF(H2=$X$10,SQRT(K2*10000),SQRT(Parcellaire!K2*10000)/$AB$11)</f>
        <v>181.65902124584952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726.63608498339795</v>
      </c>
      <c r="T2" s="10">
        <f>IF(C2=2,P2*L2,0)</f>
        <v>726.63608498339806</v>
      </c>
      <c r="U2" s="27">
        <f>N2*L2</f>
        <v>1089.954127475097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1409</v>
      </c>
      <c r="F3" s="9">
        <v>320</v>
      </c>
      <c r="G3" s="9">
        <v>5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5.5</v>
      </c>
      <c r="K3" s="8">
        <f t="shared" si="0"/>
        <v>6.0500000000000007</v>
      </c>
      <c r="L3" s="10">
        <f>IF(H3=$X$10,SQRT(K3*10000),SQRT(Parcellaire!K3*10000)/$AB$11)</f>
        <v>173.92527130926086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782.66372089167385</v>
      </c>
      <c r="T3" s="10">
        <f t="shared" ref="T3:T37" si="6">IF(C3=2,P3*L3,0)</f>
        <v>521.77581392778256</v>
      </c>
      <c r="U3" s="27">
        <f t="shared" ref="U3:U37" si="7">N3*L3</f>
        <v>1043.5516278555651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1409</v>
      </c>
      <c r="F4" s="9">
        <v>320</v>
      </c>
      <c r="G4" s="9">
        <v>5</v>
      </c>
      <c r="H4" s="9">
        <v>2</v>
      </c>
      <c r="I4" s="9">
        <v>0</v>
      </c>
      <c r="J4" s="8">
        <f t="shared" si="1"/>
        <v>5</v>
      </c>
      <c r="K4" s="8">
        <f t="shared" si="0"/>
        <v>5</v>
      </c>
      <c r="L4" s="10">
        <f>IF(H4=$X$10,SQRT(K4*10000),SQRT(Parcellaire!K4*10000)/$AB$11)</f>
        <v>158.11388300841895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632.45553203367581</v>
      </c>
      <c r="T4" s="10">
        <f>IF(C4=2,P4*L4,0)</f>
        <v>632.45553203367581</v>
      </c>
      <c r="U4" s="27">
        <f t="shared" si="7"/>
        <v>948.68329805051371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506</v>
      </c>
      <c r="F5" s="9">
        <v>320</v>
      </c>
      <c r="G5" s="277">
        <v>6</v>
      </c>
      <c r="H5" s="277">
        <v>3</v>
      </c>
      <c r="I5" s="277">
        <v>0</v>
      </c>
      <c r="J5" s="8">
        <f t="shared" si="1"/>
        <v>6.6000000000000005</v>
      </c>
      <c r="K5" s="8">
        <f t="shared" si="0"/>
        <v>6.6000000000000005</v>
      </c>
      <c r="L5" s="10">
        <f>IF(H5=$X$10,SQRT(K5*10000),SQRT(Parcellaire!K5*10000)/$AB$11)</f>
        <v>181.65902124584952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726.63608498339795</v>
      </c>
      <c r="T5" s="10">
        <f t="shared" si="6"/>
        <v>726.63608498339806</v>
      </c>
      <c r="U5" s="27">
        <f t="shared" si="7"/>
        <v>1089.954127475097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440</v>
      </c>
      <c r="E6" s="9" t="s">
        <v>506</v>
      </c>
      <c r="F6" s="9">
        <v>321</v>
      </c>
      <c r="G6" s="277">
        <v>2</v>
      </c>
      <c r="H6" s="277">
        <v>2</v>
      </c>
      <c r="I6" s="277">
        <v>0.5</v>
      </c>
      <c r="J6" s="8">
        <f t="shared" si="1"/>
        <v>2</v>
      </c>
      <c r="K6" s="8">
        <f t="shared" si="0"/>
        <v>2.2000000000000002</v>
      </c>
      <c r="L6" s="10">
        <f>IF(H6=$X$10,SQRT(K6*10000),SQRT(Parcellaire!K6*10000)/$AB$11)</f>
        <v>104.88088481701514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629.28530890209083</v>
      </c>
      <c r="T6" s="10">
        <f t="shared" si="6"/>
        <v>0</v>
      </c>
      <c r="U6" s="27">
        <f t="shared" si="7"/>
        <v>629.28530890209083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1409</v>
      </c>
      <c r="F7" s="9">
        <v>321</v>
      </c>
      <c r="G7" s="277">
        <v>3</v>
      </c>
      <c r="H7" s="277">
        <v>3</v>
      </c>
      <c r="I7" s="277">
        <v>0.5</v>
      </c>
      <c r="J7" s="8">
        <f t="shared" si="1"/>
        <v>3.3000000000000003</v>
      </c>
      <c r="K7" s="8">
        <f t="shared" si="0"/>
        <v>3.6300000000000008</v>
      </c>
      <c r="L7" s="10">
        <f>IF(H7=$X$10,SQRT(K7*10000),SQRT(Parcellaire!K7*10000)/$AB$11)</f>
        <v>134.7219358530748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471.52677548576179</v>
      </c>
      <c r="T7" s="10">
        <f t="shared" si="6"/>
        <v>0</v>
      </c>
      <c r="U7" s="27">
        <f t="shared" si="7"/>
        <v>808.33161511844878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1410</v>
      </c>
      <c r="F8" s="9">
        <v>313</v>
      </c>
      <c r="G8" s="277">
        <v>0</v>
      </c>
      <c r="H8" s="277">
        <v>2</v>
      </c>
      <c r="I8" s="277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/>
      <c r="G9" s="277">
        <v>13</v>
      </c>
      <c r="H9" s="277">
        <v>2</v>
      </c>
      <c r="I9" s="277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9">
        <v>1</v>
      </c>
      <c r="C10" s="9">
        <v>2</v>
      </c>
      <c r="D10" s="9" t="s">
        <v>440</v>
      </c>
      <c r="E10" s="9" t="s">
        <v>506</v>
      </c>
      <c r="F10" s="9">
        <v>321</v>
      </c>
      <c r="G10" s="277">
        <v>2</v>
      </c>
      <c r="H10" s="277">
        <v>2</v>
      </c>
      <c r="I10" s="277">
        <v>0.5</v>
      </c>
      <c r="J10" s="8">
        <f t="shared" si="1"/>
        <v>2</v>
      </c>
      <c r="K10" s="8">
        <f t="shared" si="0"/>
        <v>2.2000000000000002</v>
      </c>
      <c r="L10" s="10">
        <f>IF(H10=$X$10,SQRT(K10*10000),SQRT(Parcellaire!K10*10000)/$AB$11)</f>
        <v>104.88088481701514</v>
      </c>
      <c r="M10" s="10">
        <f t="shared" si="2"/>
        <v>6</v>
      </c>
      <c r="N10" s="270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471.9639816765681</v>
      </c>
      <c r="T10" s="10">
        <f t="shared" si="6"/>
        <v>314.64265445104542</v>
      </c>
      <c r="U10" s="27">
        <f t="shared" si="7"/>
        <v>629.28530890209083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440</v>
      </c>
      <c r="E11" s="9" t="s">
        <v>506</v>
      </c>
      <c r="F11" s="9">
        <v>321</v>
      </c>
      <c r="G11" s="277">
        <v>2</v>
      </c>
      <c r="H11" s="277">
        <v>2</v>
      </c>
      <c r="I11" s="277">
        <v>0.5</v>
      </c>
      <c r="J11" s="8">
        <f t="shared" ref="J11:J37" si="8">IF(H11=$X$10,G11*$AA$10,IF(H11=$X$11,G11*$AA$11,IF(H11=$X$12,G11*$AA$12,"")))</f>
        <v>2</v>
      </c>
      <c r="K11" s="8">
        <f t="shared" si="0"/>
        <v>2.2000000000000002</v>
      </c>
      <c r="L11" s="10">
        <f>IF(H11=$X$10,SQRT(K11*10000),SQRT(Parcellaire!K11*10000)/$AB$11)</f>
        <v>104.88088481701514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>
        <f t="shared" si="5"/>
        <v>471.9639816765681</v>
      </c>
      <c r="T11" s="10">
        <f t="shared" si="6"/>
        <v>314.64265445104542</v>
      </c>
      <c r="U11" s="27">
        <f t="shared" si="7"/>
        <v>629.28530890209083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2</v>
      </c>
      <c r="D12" s="9" t="s">
        <v>440</v>
      </c>
      <c r="E12" s="9" t="s">
        <v>1427</v>
      </c>
      <c r="F12" s="9">
        <v>47</v>
      </c>
      <c r="G12" s="277">
        <v>3</v>
      </c>
      <c r="H12" s="277">
        <v>3</v>
      </c>
      <c r="I12" s="277">
        <v>1</v>
      </c>
      <c r="J12" s="8">
        <f t="shared" si="8"/>
        <v>3.3000000000000003</v>
      </c>
      <c r="K12" s="8">
        <f t="shared" si="0"/>
        <v>3.96</v>
      </c>
      <c r="L12" s="10">
        <f>IF(H12=$X$10,SQRT(K12*10000),SQRT(Parcellaire!K12*10000)/$AB$11)</f>
        <v>140.71247279470288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>
        <f t="shared" si="5"/>
        <v>633.206127576163</v>
      </c>
      <c r="T12" s="10">
        <f t="shared" si="6"/>
        <v>422.13741838410863</v>
      </c>
      <c r="U12" s="27">
        <f t="shared" si="7"/>
        <v>844.27483676821726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7"/>
      <c r="H13" s="277"/>
      <c r="I13" s="277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4913.131470633135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4913.131470633135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30</v>
      </c>
      <c r="H64" s="135">
        <f>SUMIF(Parcellaire!$B$2:$B$63,1,Parcellaire!H2:H63)</f>
        <v>20</v>
      </c>
      <c r="I64" s="135">
        <f>SUMIF(Parcellaire!$B$2:$B$63,1,Parcellaire!I2:I63)</f>
        <v>3.5</v>
      </c>
      <c r="J64" s="135">
        <f>SUMIF(Parcellaire!$B$2:$B$63,1,Parcellaire!J2:J63)</f>
        <v>31.900000000000002</v>
      </c>
      <c r="K64" s="135">
        <f>SUMIF(Parcellaire!$B$2:$B$63,1,Parcellaire!K2:K63)</f>
        <v>34.480000000000004</v>
      </c>
      <c r="L64" s="135">
        <f>SUMIF(Parcellaire!$B$2:$B$63,1,Parcellaire!L2:L63)</f>
        <v>1144.721787113499</v>
      </c>
      <c r="M64" s="135">
        <f>SUMIF(Parcellaire!$B$2:$B$63,1,Parcellaire!M2:M63)</f>
        <v>48</v>
      </c>
      <c r="N64" s="135">
        <f>SUMIF(Parcellaire!$B$2:$B$63,1,Parcellaire!N2:N63)</f>
        <v>48</v>
      </c>
      <c r="O64" s="135">
        <f>SUMIF(Parcellaire!$B$2:$B$63,1,Parcellaire!O2:O63)</f>
        <v>0</v>
      </c>
      <c r="P64" s="135">
        <f>SUMIF(Parcellaire!$B$2:$B$63,1,Parcellaire!P2:P63)</f>
        <v>26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4913.131470633135</v>
      </c>
      <c r="T64" s="135">
        <f>SUMIF(Parcellaire!$B$2:$B$63,1,Parcellaire!T2:T63)</f>
        <v>3236.7888248303457</v>
      </c>
      <c r="U64" s="135">
        <f>SUMIF(Parcellaire!$B$2:$B$63,1,Parcellaire!U2:U63)</f>
        <v>6868.3307226809948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9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1434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1.5</v>
      </c>
      <c r="P4" s="14" t="s">
        <v>471</v>
      </c>
    </row>
    <row r="5" spans="10:22" x14ac:dyDescent="0.25">
      <c r="J5" s="14" t="s">
        <v>472</v>
      </c>
      <c r="K5" s="80"/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3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 t="s">
        <v>503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1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1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3</v>
      </c>
      <c r="V24" s="169" t="str">
        <f>IF(T24=0,0,VLOOKUP(T24,[1]Cult!$A$7:$H$76,8))</f>
        <v>FL</v>
      </c>
      <c r="W24" s="169">
        <f>IF(V24="ME",U24,0)</f>
        <v>0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3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4</v>
      </c>
      <c r="U25" s="169">
        <f>'Alim -Surf'!E35</f>
        <v>13</v>
      </c>
      <c r="V25" s="169" t="str">
        <f>IF(T25=0,0,VLOOKUP(T25,[1]Cult!$A$7:$H$76,8))</f>
        <v>ME</v>
      </c>
      <c r="W25" s="169">
        <f t="shared" ref="W25:W33" si="0">IF(V25="ME",U25,0)</f>
        <v>13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12</v>
      </c>
      <c r="L28" t="s">
        <v>51</v>
      </c>
      <c r="M28" s="30">
        <f>U228</f>
        <v>33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12</v>
      </c>
      <c r="L29" t="s">
        <v>51</v>
      </c>
      <c r="M29" s="30">
        <f>V228</f>
        <v>33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3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3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13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13</v>
      </c>
      <c r="S34" s="62" t="s">
        <v>13</v>
      </c>
      <c r="T34" s="46"/>
      <c r="U34" s="62">
        <f>SUM(U24:U33)</f>
        <v>16</v>
      </c>
      <c r="V34" s="62"/>
      <c r="W34" s="62">
        <f t="shared" ref="W34:AA34" si="7">SUM(W24:W33)</f>
        <v>13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0</v>
      </c>
    </row>
    <row r="36" spans="10:29" x14ac:dyDescent="0.25">
      <c r="J36" s="14" t="s">
        <v>535</v>
      </c>
      <c r="K36" s="169">
        <f>$Y$34</f>
        <v>0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0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9</v>
      </c>
    </row>
    <row r="41" spans="10:29" x14ac:dyDescent="0.25">
      <c r="J41" s="14" t="s">
        <v>540</v>
      </c>
      <c r="K41" s="169">
        <f>AD228</f>
        <v>24</v>
      </c>
    </row>
    <row r="42" spans="10:29" x14ac:dyDescent="0.25">
      <c r="J42" s="14" t="s">
        <v>541</v>
      </c>
      <c r="K42" s="169">
        <f>AA228</f>
        <v>0</v>
      </c>
    </row>
    <row r="43" spans="10:29" x14ac:dyDescent="0.25">
      <c r="J43" s="14" t="s">
        <v>542</v>
      </c>
      <c r="K43" s="169">
        <f>M28*K31/100</f>
        <v>0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1428</v>
      </c>
      <c r="K48" s="169">
        <f>K33+K40+K41</f>
        <v>46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1367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1368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1369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1370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1371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1372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5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2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laitiéres</v>
      </c>
      <c r="Q97" t="s">
        <v>610</v>
      </c>
    </row>
    <row r="98" spans="9:17" x14ac:dyDescent="0.25">
      <c r="J98" s="14" t="s">
        <v>157</v>
      </c>
      <c r="K98" s="80"/>
      <c r="L98" s="30" t="str">
        <f>CdTrp1!A17</f>
        <v>lot3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56</v>
      </c>
      <c r="S164" s="169">
        <f>'Alim -Surf'!R7</f>
        <v>21</v>
      </c>
      <c r="T164" s="169">
        <f>VLOOKUP($R164,[1]MEP!$A$4:$M$300,13)</f>
        <v>2</v>
      </c>
      <c r="U164" s="169">
        <f>IF($T164&gt;0,$S164,0)</f>
        <v>21</v>
      </c>
      <c r="V164" s="169">
        <f>IF($T164&gt;1,$S164,0)</f>
        <v>21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21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21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57</v>
      </c>
      <c r="S165" s="169">
        <f>'Alim -Surf'!R8</f>
        <v>3</v>
      </c>
      <c r="T165" s="169">
        <f>VLOOKUP(R165,[1]MEP!$A$4:$M$300,13)</f>
        <v>3</v>
      </c>
      <c r="U165" s="169">
        <f t="shared" ref="U165:U207" si="10">IF($T165&gt;0,$S165,0)</f>
        <v>3</v>
      </c>
      <c r="V165" s="169">
        <f t="shared" ref="V165:V207" si="11">IF($T165&gt;1,$S165,0)</f>
        <v>3</v>
      </c>
      <c r="W165" s="169">
        <f t="shared" ref="W165:W207" si="12">IF($T165&gt;2,$S165,0)</f>
        <v>3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3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3</v>
      </c>
      <c r="AL165" s="5"/>
      <c r="AN165" s="32" t="s">
        <v>637</v>
      </c>
      <c r="AO165" s="169">
        <f>SUM(AD164:AD183)</f>
        <v>24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0</v>
      </c>
      <c r="T166" s="169">
        <f>VLOOKUP(R166,[1]MEP!$A$4:$M$300,13)</f>
        <v>1</v>
      </c>
      <c r="U166" s="169">
        <f t="shared" si="10"/>
        <v>0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9</v>
      </c>
    </row>
    <row r="167" spans="17:41" x14ac:dyDescent="0.25">
      <c r="Q167">
        <v>4</v>
      </c>
      <c r="R167" s="169">
        <f>'Alim -Surf'!Q10</f>
        <v>65</v>
      </c>
      <c r="S167" s="169">
        <f>'Alim -Surf'!R10</f>
        <v>9</v>
      </c>
      <c r="T167" s="169">
        <f>VLOOKUP(R167,[1]MEP!$A$4:$M$300,13)</f>
        <v>2</v>
      </c>
      <c r="U167" s="169">
        <f t="shared" si="10"/>
        <v>9</v>
      </c>
      <c r="V167" s="169">
        <f t="shared" si="11"/>
        <v>9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8"/>
        <v>0</v>
      </c>
      <c r="AB167" s="169">
        <f t="shared" si="9"/>
        <v>0</v>
      </c>
      <c r="AC167" s="169">
        <f t="shared" si="13"/>
        <v>9</v>
      </c>
      <c r="AD167" s="169">
        <f t="shared" si="14"/>
        <v>0</v>
      </c>
      <c r="AE167" s="169">
        <f t="shared" si="15"/>
        <v>0</v>
      </c>
      <c r="AF167" s="169">
        <f t="shared" si="16"/>
        <v>0</v>
      </c>
      <c r="AG167" s="169">
        <f t="shared" si="17"/>
        <v>9</v>
      </c>
      <c r="AH167" s="169">
        <f t="shared" si="18"/>
        <v>0</v>
      </c>
      <c r="AI167" s="169">
        <f t="shared" si="19"/>
        <v>0</v>
      </c>
      <c r="AJ167" s="169">
        <f t="shared" si="20"/>
        <v>0</v>
      </c>
      <c r="AL167" s="5"/>
      <c r="AN167" s="32" t="s">
        <v>639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3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33</v>
      </c>
      <c r="U228" s="62">
        <f>SUM(U164:U227)</f>
        <v>33</v>
      </c>
      <c r="V228" s="62">
        <f t="shared" ref="V228:W228" si="22">SUM(V164:V227)</f>
        <v>33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0</v>
      </c>
      <c r="AI228" s="62">
        <f t="shared" si="24"/>
        <v>0</v>
      </c>
      <c r="AJ228" s="62">
        <f t="shared" si="24"/>
        <v>24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15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2"/>
      <c r="AE2" s="272"/>
      <c r="AF2" s="272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0</v>
      </c>
      <c r="H3" s="173">
        <f t="shared" si="0"/>
        <v>0</v>
      </c>
      <c r="I3" s="173">
        <f t="shared" si="0"/>
        <v>0</v>
      </c>
      <c r="J3" s="173">
        <f t="shared" si="0"/>
        <v>0</v>
      </c>
      <c r="K3" s="173">
        <f t="shared" si="0"/>
        <v>0</v>
      </c>
      <c r="L3" s="173">
        <f t="shared" si="0"/>
        <v>0</v>
      </c>
      <c r="M3" s="173">
        <f t="shared" si="0"/>
        <v>0</v>
      </c>
      <c r="N3" s="173">
        <f t="shared" si="0"/>
        <v>0</v>
      </c>
      <c r="O3" s="173">
        <f t="shared" si="0"/>
        <v>0</v>
      </c>
      <c r="P3" s="173">
        <f t="shared" si="0"/>
        <v>0</v>
      </c>
      <c r="Q3" s="173">
        <f t="shared" si="0"/>
        <v>0</v>
      </c>
      <c r="R3" s="173">
        <f t="shared" si="0"/>
        <v>0</v>
      </c>
      <c r="S3" s="173">
        <f t="shared" si="0"/>
        <v>0</v>
      </c>
      <c r="T3" s="173">
        <f t="shared" si="0"/>
        <v>0</v>
      </c>
      <c r="U3" s="173">
        <f t="shared" si="0"/>
        <v>0</v>
      </c>
      <c r="V3" s="173">
        <f t="shared" si="0"/>
        <v>0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2"/>
      <c r="AE3" s="272"/>
      <c r="AF3" s="272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320</v>
      </c>
      <c r="AZ3" s="30">
        <f>Parcellaire!G2</f>
        <v>5</v>
      </c>
      <c r="BA3" s="30">
        <f>ROUND(Parcellaire!R2,0)</f>
        <v>0</v>
      </c>
      <c r="BB3" s="30">
        <f>ROUND(Parcellaire!S2,0)</f>
        <v>727</v>
      </c>
      <c r="BC3" s="30">
        <f>ROUND(Parcellaire!T2,0)</f>
        <v>727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727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2"/>
      <c r="AE4" s="272"/>
      <c r="AF4" s="272"/>
      <c r="AO4" s="14" t="s">
        <v>661</v>
      </c>
      <c r="AP4" s="30">
        <f>SUM(BG31:BI31)</f>
        <v>4914</v>
      </c>
      <c r="AQ4">
        <f>SUM(BJ31:BL31)</f>
        <v>30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320</v>
      </c>
      <c r="AZ4" s="30">
        <f>Parcellaire!G3</f>
        <v>5</v>
      </c>
      <c r="BA4" s="30">
        <f>ROUND(Parcellaire!R3,0)</f>
        <v>0</v>
      </c>
      <c r="BB4" s="30">
        <f>ROUND(Parcellaire!S3,0)</f>
        <v>783</v>
      </c>
      <c r="BC4" s="30">
        <f>ROUND(Parcellaire!T3,0)</f>
        <v>522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783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5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2"/>
      <c r="AE5" s="272"/>
      <c r="AF5" s="272"/>
      <c r="AI5" s="40" t="s">
        <v>1408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320</v>
      </c>
      <c r="AZ5" s="30">
        <f>Parcellaire!G4</f>
        <v>5</v>
      </c>
      <c r="BA5" s="30">
        <f>ROUND(Parcellaire!R4,0)</f>
        <v>0</v>
      </c>
      <c r="BB5" s="30">
        <f>ROUND(Parcellaire!S4,0)</f>
        <v>632</v>
      </c>
      <c r="BC5" s="30">
        <f>ROUND(Parcellaire!T4,0)</f>
        <v>632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632</v>
      </c>
      <c r="BI5" s="169">
        <f t="shared" si="5"/>
        <v>0</v>
      </c>
      <c r="BJ5" s="169">
        <f t="shared" si="6"/>
        <v>0</v>
      </c>
      <c r="BK5" s="169">
        <f t="shared" si="7"/>
        <v>5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4914</v>
      </c>
      <c r="AQ6">
        <f>BK31</f>
        <v>30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320</v>
      </c>
      <c r="AZ6" s="30">
        <f>Parcellaire!G5</f>
        <v>6</v>
      </c>
      <c r="BA6" s="30">
        <f>ROUND(Parcellaire!R5,0)</f>
        <v>0</v>
      </c>
      <c r="BB6" s="30">
        <f>ROUND(Parcellaire!S5,0)</f>
        <v>727</v>
      </c>
      <c r="BC6" s="30">
        <f>ROUND(Parcellaire!T5,0)</f>
        <v>727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727</v>
      </c>
      <c r="BI6" s="169">
        <f t="shared" si="5"/>
        <v>0</v>
      </c>
      <c r="BJ6" s="169">
        <f t="shared" si="6"/>
        <v>0</v>
      </c>
      <c r="BK6" s="169">
        <f t="shared" si="7"/>
        <v>6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321</v>
      </c>
      <c r="AZ7" s="30">
        <f>Parcellaire!G6</f>
        <v>2</v>
      </c>
      <c r="BA7" s="30">
        <f>ROUND(Parcellaire!R6,0)</f>
        <v>0</v>
      </c>
      <c r="BB7" s="30">
        <f>ROUND(Parcellaire!S6,0)</f>
        <v>629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629</v>
      </c>
      <c r="BI7" s="169">
        <f t="shared" si="5"/>
        <v>0</v>
      </c>
      <c r="BJ7" s="169">
        <f t="shared" si="6"/>
        <v>0</v>
      </c>
      <c r="BK7" s="169">
        <f t="shared" si="7"/>
        <v>2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0</v>
      </c>
      <c r="I8" s="173">
        <f>(I3+I4)*[1]Protect!$B$12</f>
        <v>0</v>
      </c>
      <c r="J8" s="173">
        <f>(J3+J4)*[1]Protect!$B$12</f>
        <v>0</v>
      </c>
      <c r="K8" s="173">
        <f>(K3+K4)*[1]Protect!$B$12</f>
        <v>0</v>
      </c>
      <c r="L8" s="173">
        <f>(L3+L4)*[1]Protect!$B$12</f>
        <v>0</v>
      </c>
      <c r="M8" s="173">
        <f>(M3+M4)*[1]Protect!$B$12</f>
        <v>0</v>
      </c>
      <c r="N8" s="173">
        <f>(N3+N4)*[1]Protect!$B$12</f>
        <v>0</v>
      </c>
      <c r="O8" s="173">
        <f>(O3+O4)*[1]Protect!$B$12</f>
        <v>0</v>
      </c>
      <c r="P8" s="173">
        <f>(P3+P4)*[1]Protect!$B$12</f>
        <v>0</v>
      </c>
      <c r="Q8" s="173">
        <f>(Q3+Q4)*[1]Protect!$B$12</f>
        <v>0</v>
      </c>
      <c r="R8" s="173">
        <f>(R3+R4)*[1]Protect!$B$12</f>
        <v>0</v>
      </c>
      <c r="S8" s="173">
        <f>(S3+S4)*[1]Protect!$B$12</f>
        <v>0</v>
      </c>
      <c r="T8" s="173">
        <f>(T3+T4)*[1]Protect!$B$12</f>
        <v>0</v>
      </c>
      <c r="U8" s="173">
        <f>(U3+U4)*[1]Protect!$B$12</f>
        <v>0</v>
      </c>
      <c r="V8" s="173">
        <f>(V3+V4)*[1]Protect!$B$12</f>
        <v>0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321</v>
      </c>
      <c r="AZ8" s="30">
        <f>Parcellaire!G7</f>
        <v>3</v>
      </c>
      <c r="BA8" s="30">
        <f>ROUND(Parcellaire!R7,0)</f>
        <v>0</v>
      </c>
      <c r="BB8" s="30">
        <f>ROUND(Parcellaire!S7,0)</f>
        <v>472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472</v>
      </c>
      <c r="BI8" s="169">
        <f t="shared" si="5"/>
        <v>0</v>
      </c>
      <c r="BJ8" s="169">
        <f t="shared" si="6"/>
        <v>0</v>
      </c>
      <c r="BK8" s="169">
        <f t="shared" si="7"/>
        <v>3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0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0</v>
      </c>
      <c r="AZ10" s="30">
        <f>Parcellaire!G9</f>
        <v>13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0</v>
      </c>
      <c r="H11" s="173">
        <f t="shared" si="12"/>
        <v>0</v>
      </c>
      <c r="I11" s="173">
        <f t="shared" si="12"/>
        <v>0</v>
      </c>
      <c r="J11" s="173">
        <f t="shared" si="12"/>
        <v>0</v>
      </c>
      <c r="K11" s="173">
        <f t="shared" si="12"/>
        <v>0</v>
      </c>
      <c r="L11" s="173">
        <f t="shared" si="12"/>
        <v>0</v>
      </c>
      <c r="M11" s="173">
        <f t="shared" si="12"/>
        <v>0</v>
      </c>
      <c r="N11" s="173">
        <f t="shared" si="12"/>
        <v>0</v>
      </c>
      <c r="O11" s="173">
        <f t="shared" si="12"/>
        <v>0</v>
      </c>
      <c r="P11" s="173">
        <f t="shared" si="12"/>
        <v>0</v>
      </c>
      <c r="Q11" s="173">
        <f t="shared" si="12"/>
        <v>0</v>
      </c>
      <c r="R11" s="173">
        <f t="shared" si="12"/>
        <v>0</v>
      </c>
      <c r="S11" s="173">
        <f t="shared" si="12"/>
        <v>0</v>
      </c>
      <c r="T11" s="173">
        <f t="shared" si="12"/>
        <v>0</v>
      </c>
      <c r="U11" s="173">
        <f t="shared" si="12"/>
        <v>0</v>
      </c>
      <c r="V11" s="173">
        <f t="shared" si="12"/>
        <v>0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1</v>
      </c>
      <c r="AX11" s="30" t="str">
        <f>Parcellaire!D10</f>
        <v>proche</v>
      </c>
      <c r="AY11" s="30">
        <f>Parcellaire!F10</f>
        <v>321</v>
      </c>
      <c r="AZ11" s="30">
        <f>Parcellaire!G10</f>
        <v>2</v>
      </c>
      <c r="BA11" s="30">
        <f>ROUND(Parcellaire!R10,0)</f>
        <v>0</v>
      </c>
      <c r="BB11" s="30">
        <f>ROUND(Parcellaire!S10,0)</f>
        <v>472</v>
      </c>
      <c r="BC11" s="30">
        <f>ROUND(Parcellaire!T10,0)</f>
        <v>315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2"/>
        <v>PF</v>
      </c>
      <c r="BG11" s="169">
        <f t="shared" si="3"/>
        <v>0</v>
      </c>
      <c r="BH11" s="169">
        <f t="shared" si="4"/>
        <v>472</v>
      </c>
      <c r="BI11" s="169">
        <f t="shared" si="5"/>
        <v>0</v>
      </c>
      <c r="BJ11" s="169">
        <f t="shared" si="6"/>
        <v>0</v>
      </c>
      <c r="BK11" s="169">
        <f t="shared" si="7"/>
        <v>2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321</v>
      </c>
      <c r="AZ12" s="30">
        <f>Parcellaire!G11</f>
        <v>2</v>
      </c>
      <c r="BA12" s="30">
        <f>ROUND(Parcellaire!R11,0)</f>
        <v>0</v>
      </c>
      <c r="BB12" s="30">
        <f>ROUND(Parcellaire!S11,0)</f>
        <v>472</v>
      </c>
      <c r="BC12" s="30">
        <f>ROUND(Parcellaire!T11,0)</f>
        <v>315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2"/>
        <v>PF</v>
      </c>
      <c r="BG12" s="169">
        <f t="shared" si="3"/>
        <v>0</v>
      </c>
      <c r="BH12" s="169">
        <f t="shared" si="4"/>
        <v>472</v>
      </c>
      <c r="BI12" s="169">
        <f t="shared" si="5"/>
        <v>0</v>
      </c>
      <c r="BJ12" s="169">
        <f t="shared" si="6"/>
        <v>0</v>
      </c>
      <c r="BK12" s="169">
        <f t="shared" si="7"/>
        <v>2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0</v>
      </c>
      <c r="H13" s="173">
        <f t="shared" si="13"/>
        <v>0</v>
      </c>
      <c r="I13" s="173">
        <f t="shared" si="13"/>
        <v>0</v>
      </c>
      <c r="J13" s="173">
        <f t="shared" si="13"/>
        <v>0</v>
      </c>
      <c r="K13" s="173">
        <f t="shared" si="13"/>
        <v>0</v>
      </c>
      <c r="L13" s="173">
        <f t="shared" si="13"/>
        <v>0</v>
      </c>
      <c r="M13" s="173">
        <f t="shared" si="13"/>
        <v>0</v>
      </c>
      <c r="N13" s="173">
        <f t="shared" si="13"/>
        <v>0</v>
      </c>
      <c r="O13" s="173">
        <f t="shared" si="13"/>
        <v>0</v>
      </c>
      <c r="P13" s="173">
        <f t="shared" si="13"/>
        <v>0</v>
      </c>
      <c r="Q13" s="173">
        <f t="shared" si="13"/>
        <v>0</v>
      </c>
      <c r="R13" s="173">
        <f t="shared" si="13"/>
        <v>0</v>
      </c>
      <c r="S13" s="173">
        <f t="shared" si="13"/>
        <v>0</v>
      </c>
      <c r="T13" s="173">
        <f t="shared" si="13"/>
        <v>0</v>
      </c>
      <c r="U13" s="173">
        <f t="shared" si="13"/>
        <v>0</v>
      </c>
      <c r="V13" s="173">
        <f t="shared" si="13"/>
        <v>0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proche</v>
      </c>
      <c r="AY13" s="30">
        <f>Parcellaire!F12</f>
        <v>47</v>
      </c>
      <c r="AZ13" s="30">
        <f>Parcellaire!G12</f>
        <v>3</v>
      </c>
      <c r="BA13" s="30">
        <f>ROUND(Parcellaire!R12,0)</f>
        <v>0</v>
      </c>
      <c r="BB13" s="30">
        <f>ROUND(Parcellaire!S12,0)</f>
        <v>633</v>
      </c>
      <c r="BC13" s="30">
        <f>ROUND(Parcellaire!T12,0)</f>
        <v>422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2"/>
        <v>AU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2</v>
      </c>
      <c r="D16" s="169">
        <f t="shared" si="15"/>
        <v>2</v>
      </c>
      <c r="E16" s="169">
        <f t="shared" si="15"/>
        <v>2</v>
      </c>
      <c r="F16" s="169">
        <f t="shared" si="15"/>
        <v>2</v>
      </c>
      <c r="G16" s="169">
        <f t="shared" si="15"/>
        <v>2</v>
      </c>
      <c r="H16" s="169">
        <f t="shared" si="15"/>
        <v>2</v>
      </c>
      <c r="I16" s="169">
        <f t="shared" si="15"/>
        <v>2</v>
      </c>
      <c r="J16" s="169">
        <f t="shared" si="15"/>
        <v>2</v>
      </c>
      <c r="K16" s="169">
        <f t="shared" si="15"/>
        <v>2</v>
      </c>
      <c r="L16" s="169">
        <f t="shared" si="15"/>
        <v>2</v>
      </c>
      <c r="M16" s="169">
        <f t="shared" si="15"/>
        <v>2</v>
      </c>
      <c r="N16" s="169">
        <f t="shared" si="15"/>
        <v>2</v>
      </c>
      <c r="O16" s="169">
        <f t="shared" si="15"/>
        <v>2</v>
      </c>
      <c r="P16" s="169">
        <f t="shared" si="15"/>
        <v>2</v>
      </c>
      <c r="Q16" s="169">
        <f t="shared" si="15"/>
        <v>2</v>
      </c>
      <c r="R16" s="169">
        <f t="shared" si="15"/>
        <v>2</v>
      </c>
      <c r="S16" s="169">
        <f t="shared" si="15"/>
        <v>2</v>
      </c>
      <c r="T16" s="169">
        <f t="shared" si="15"/>
        <v>2</v>
      </c>
      <c r="U16" s="169">
        <f t="shared" si="15"/>
        <v>2</v>
      </c>
      <c r="V16" s="169">
        <f t="shared" si="15"/>
        <v>2</v>
      </c>
      <c r="W16" s="169">
        <f t="shared" si="15"/>
        <v>2</v>
      </c>
      <c r="X16" s="169">
        <f t="shared" si="15"/>
        <v>2</v>
      </c>
      <c r="Y16" s="169">
        <f t="shared" si="15"/>
        <v>2</v>
      </c>
      <c r="Z16" s="169">
        <f t="shared" si="15"/>
        <v>2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0</v>
      </c>
      <c r="H17" s="169">
        <f t="shared" si="16"/>
        <v>0</v>
      </c>
      <c r="I17" s="169">
        <f t="shared" si="16"/>
        <v>0</v>
      </c>
      <c r="J17" s="169">
        <f t="shared" si="16"/>
        <v>0</v>
      </c>
      <c r="K17" s="169">
        <f t="shared" si="16"/>
        <v>0</v>
      </c>
      <c r="L17" s="169">
        <f t="shared" si="16"/>
        <v>0</v>
      </c>
      <c r="M17" s="169">
        <f t="shared" si="16"/>
        <v>0</v>
      </c>
      <c r="N17" s="169">
        <f t="shared" si="16"/>
        <v>0</v>
      </c>
      <c r="O17" s="169">
        <f t="shared" si="16"/>
        <v>0</v>
      </c>
      <c r="P17" s="169">
        <f t="shared" si="16"/>
        <v>0</v>
      </c>
      <c r="Q17" s="169">
        <f t="shared" si="16"/>
        <v>0</v>
      </c>
      <c r="R17" s="169">
        <f t="shared" si="16"/>
        <v>0</v>
      </c>
      <c r="S17" s="169">
        <f t="shared" si="16"/>
        <v>0</v>
      </c>
      <c r="T17" s="169">
        <f t="shared" si="16"/>
        <v>0</v>
      </c>
      <c r="U17" s="169">
        <f t="shared" si="16"/>
        <v>0</v>
      </c>
      <c r="V17" s="169">
        <f t="shared" si="16"/>
        <v>0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2"/>
        <v>#N/A</v>
      </c>
      <c r="BG19" s="169">
        <f t="shared" si="3"/>
        <v>0</v>
      </c>
      <c r="BH19" s="169">
        <f t="shared" si="4"/>
        <v>0</v>
      </c>
      <c r="BI19" s="169">
        <f t="shared" si="5"/>
        <v>0</v>
      </c>
      <c r="BJ19" s="169">
        <f t="shared" si="6"/>
        <v>0</v>
      </c>
      <c r="BK19" s="169">
        <f t="shared" si="7"/>
        <v>0</v>
      </c>
      <c r="BL19" s="169">
        <f t="shared" si="8"/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2"/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1</v>
      </c>
      <c r="H22" s="62">
        <f t="shared" si="20"/>
        <v>1</v>
      </c>
      <c r="I22" s="62">
        <f t="shared" si="20"/>
        <v>1</v>
      </c>
      <c r="J22" s="62">
        <f t="shared" si="20"/>
        <v>1</v>
      </c>
      <c r="K22" s="62">
        <f t="shared" si="20"/>
        <v>1</v>
      </c>
      <c r="L22" s="62">
        <f t="shared" si="20"/>
        <v>1</v>
      </c>
      <c r="M22" s="62">
        <f t="shared" si="20"/>
        <v>1</v>
      </c>
      <c r="N22" s="62">
        <f t="shared" si="20"/>
        <v>1</v>
      </c>
      <c r="O22" s="62">
        <f t="shared" si="20"/>
        <v>1</v>
      </c>
      <c r="P22" s="62">
        <f t="shared" si="20"/>
        <v>1</v>
      </c>
      <c r="Q22" s="62">
        <f t="shared" si="20"/>
        <v>1</v>
      </c>
      <c r="R22" s="62">
        <f t="shared" si="20"/>
        <v>1</v>
      </c>
      <c r="S22" s="62">
        <f t="shared" si="20"/>
        <v>1</v>
      </c>
      <c r="T22" s="62">
        <f t="shared" si="20"/>
        <v>1</v>
      </c>
      <c r="U22" s="62">
        <f t="shared" si="20"/>
        <v>1</v>
      </c>
      <c r="V22" s="62">
        <f t="shared" si="20"/>
        <v>1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1">COUNTIF(C123:C132,1)+COUNTIF(C123:C132,2)</f>
        <v>0</v>
      </c>
      <c r="D25" s="173">
        <f t="shared" si="21"/>
        <v>0</v>
      </c>
      <c r="E25" s="173">
        <f t="shared" si="21"/>
        <v>0</v>
      </c>
      <c r="F25" s="173">
        <f t="shared" si="21"/>
        <v>0</v>
      </c>
      <c r="G25" s="173">
        <f t="shared" si="21"/>
        <v>0</v>
      </c>
      <c r="H25" s="173">
        <f t="shared" si="21"/>
        <v>0</v>
      </c>
      <c r="I25" s="173">
        <f t="shared" si="21"/>
        <v>0</v>
      </c>
      <c r="J25" s="173">
        <f t="shared" si="21"/>
        <v>0</v>
      </c>
      <c r="K25" s="173">
        <f t="shared" si="21"/>
        <v>0</v>
      </c>
      <c r="L25" s="173">
        <f t="shared" si="21"/>
        <v>0</v>
      </c>
      <c r="M25" s="173">
        <f t="shared" si="21"/>
        <v>0</v>
      </c>
      <c r="N25" s="173">
        <f t="shared" si="21"/>
        <v>0</v>
      </c>
      <c r="O25" s="173">
        <f t="shared" si="21"/>
        <v>0</v>
      </c>
      <c r="P25" s="173">
        <f t="shared" si="21"/>
        <v>0</v>
      </c>
      <c r="Q25" s="173">
        <f t="shared" si="21"/>
        <v>0</v>
      </c>
      <c r="R25" s="173">
        <f t="shared" si="21"/>
        <v>0</v>
      </c>
      <c r="S25" s="173">
        <f t="shared" si="21"/>
        <v>0</v>
      </c>
      <c r="T25" s="173">
        <f t="shared" si="21"/>
        <v>0</v>
      </c>
      <c r="U25" s="173">
        <f t="shared" si="21"/>
        <v>0</v>
      </c>
      <c r="V25" s="173">
        <f t="shared" si="21"/>
        <v>0</v>
      </c>
      <c r="W25" s="173">
        <f t="shared" si="21"/>
        <v>0</v>
      </c>
      <c r="X25" s="173">
        <f t="shared" si="21"/>
        <v>0</v>
      </c>
      <c r="Y25" s="173">
        <f t="shared" si="21"/>
        <v>0</v>
      </c>
      <c r="Z25" s="173">
        <f t="shared" si="21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2">COUNTIF(C123:C132,3)</f>
        <v>0</v>
      </c>
      <c r="D26" s="173">
        <f t="shared" si="22"/>
        <v>0</v>
      </c>
      <c r="E26" s="173">
        <f t="shared" si="22"/>
        <v>0</v>
      </c>
      <c r="F26" s="173">
        <f t="shared" si="22"/>
        <v>0</v>
      </c>
      <c r="G26" s="173">
        <f t="shared" si="22"/>
        <v>0</v>
      </c>
      <c r="H26" s="173">
        <f t="shared" si="22"/>
        <v>0</v>
      </c>
      <c r="I26" s="173">
        <f t="shared" si="22"/>
        <v>0</v>
      </c>
      <c r="J26" s="173">
        <f t="shared" si="22"/>
        <v>0</v>
      </c>
      <c r="K26" s="173">
        <f t="shared" si="22"/>
        <v>0</v>
      </c>
      <c r="L26" s="173">
        <f t="shared" si="22"/>
        <v>0</v>
      </c>
      <c r="M26" s="173">
        <f t="shared" si="22"/>
        <v>0</v>
      </c>
      <c r="N26" s="173">
        <f t="shared" si="22"/>
        <v>0</v>
      </c>
      <c r="O26" s="173">
        <f t="shared" si="22"/>
        <v>0</v>
      </c>
      <c r="P26" s="173">
        <f t="shared" si="22"/>
        <v>0</v>
      </c>
      <c r="Q26" s="173">
        <f t="shared" si="22"/>
        <v>0</v>
      </c>
      <c r="R26" s="173">
        <f t="shared" si="22"/>
        <v>0</v>
      </c>
      <c r="S26" s="173">
        <f t="shared" si="22"/>
        <v>0</v>
      </c>
      <c r="T26" s="173">
        <f t="shared" si="22"/>
        <v>0</v>
      </c>
      <c r="U26" s="173">
        <f t="shared" si="22"/>
        <v>0</v>
      </c>
      <c r="V26" s="173">
        <f t="shared" si="22"/>
        <v>0</v>
      </c>
      <c r="W26" s="173">
        <f t="shared" si="22"/>
        <v>0</v>
      </c>
      <c r="X26" s="173">
        <f t="shared" si="22"/>
        <v>0</v>
      </c>
      <c r="Y26" s="173">
        <f t="shared" si="22"/>
        <v>0</v>
      </c>
      <c r="Z26" s="173">
        <f t="shared" si="22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3">C40</f>
        <v>0</v>
      </c>
      <c r="D27" s="173">
        <f t="shared" si="23"/>
        <v>0</v>
      </c>
      <c r="E27" s="173">
        <f t="shared" si="23"/>
        <v>0</v>
      </c>
      <c r="F27" s="173">
        <f t="shared" si="23"/>
        <v>0</v>
      </c>
      <c r="G27" s="173">
        <f t="shared" si="23"/>
        <v>0</v>
      </c>
      <c r="H27" s="173">
        <f t="shared" si="23"/>
        <v>0</v>
      </c>
      <c r="I27" s="173">
        <f t="shared" si="23"/>
        <v>0</v>
      </c>
      <c r="J27" s="173">
        <f t="shared" si="23"/>
        <v>0</v>
      </c>
      <c r="K27" s="173">
        <f t="shared" si="23"/>
        <v>0</v>
      </c>
      <c r="L27" s="173">
        <f t="shared" si="23"/>
        <v>0</v>
      </c>
      <c r="M27" s="173">
        <f t="shared" si="23"/>
        <v>0</v>
      </c>
      <c r="N27" s="173">
        <f t="shared" si="23"/>
        <v>0</v>
      </c>
      <c r="O27" s="173">
        <f t="shared" si="23"/>
        <v>0</v>
      </c>
      <c r="P27" s="173">
        <f t="shared" si="23"/>
        <v>0</v>
      </c>
      <c r="Q27" s="173">
        <f t="shared" si="23"/>
        <v>0</v>
      </c>
      <c r="R27" s="173">
        <f t="shared" si="23"/>
        <v>0</v>
      </c>
      <c r="S27" s="173">
        <f t="shared" si="23"/>
        <v>0</v>
      </c>
      <c r="T27" s="173">
        <f t="shared" si="23"/>
        <v>0</v>
      </c>
      <c r="U27" s="173">
        <f t="shared" si="23"/>
        <v>0</v>
      </c>
      <c r="V27" s="173">
        <f t="shared" si="23"/>
        <v>0</v>
      </c>
      <c r="W27" s="173">
        <f t="shared" si="23"/>
        <v>0</v>
      </c>
      <c r="X27" s="173">
        <f t="shared" si="23"/>
        <v>0</v>
      </c>
      <c r="Y27" s="173">
        <f t="shared" si="23"/>
        <v>0</v>
      </c>
      <c r="Z27" s="173">
        <f t="shared" si="23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4">C42</f>
        <v>0</v>
      </c>
      <c r="D28" s="173">
        <f t="shared" si="24"/>
        <v>0</v>
      </c>
      <c r="E28" s="173">
        <f t="shared" si="24"/>
        <v>0</v>
      </c>
      <c r="F28" s="173">
        <f t="shared" si="24"/>
        <v>0</v>
      </c>
      <c r="G28" s="173">
        <f t="shared" si="24"/>
        <v>0</v>
      </c>
      <c r="H28" s="173">
        <f t="shared" si="24"/>
        <v>0</v>
      </c>
      <c r="I28" s="173">
        <f t="shared" si="24"/>
        <v>0</v>
      </c>
      <c r="J28" s="173">
        <f t="shared" si="24"/>
        <v>0</v>
      </c>
      <c r="K28" s="173">
        <f t="shared" si="24"/>
        <v>0</v>
      </c>
      <c r="L28" s="173">
        <f t="shared" si="24"/>
        <v>0</v>
      </c>
      <c r="M28" s="173">
        <f t="shared" si="24"/>
        <v>0</v>
      </c>
      <c r="N28" s="173">
        <f t="shared" si="24"/>
        <v>0</v>
      </c>
      <c r="O28" s="173">
        <f t="shared" si="24"/>
        <v>0</v>
      </c>
      <c r="P28" s="173">
        <f t="shared" si="24"/>
        <v>0</v>
      </c>
      <c r="Q28" s="173">
        <f t="shared" si="24"/>
        <v>0</v>
      </c>
      <c r="R28" s="173">
        <f t="shared" si="24"/>
        <v>0</v>
      </c>
      <c r="S28" s="173">
        <f t="shared" si="24"/>
        <v>0</v>
      </c>
      <c r="T28" s="173">
        <f t="shared" si="24"/>
        <v>0</v>
      </c>
      <c r="U28" s="173">
        <f t="shared" si="24"/>
        <v>0</v>
      </c>
      <c r="V28" s="173">
        <f t="shared" si="24"/>
        <v>0</v>
      </c>
      <c r="W28" s="173">
        <f t="shared" si="24"/>
        <v>0</v>
      </c>
      <c r="X28" s="173">
        <f t="shared" si="24"/>
        <v>0</v>
      </c>
      <c r="Y28" s="173">
        <f t="shared" si="24"/>
        <v>0</v>
      </c>
      <c r="Z28" s="173">
        <f t="shared" si="24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5">SUM(BH3:BH30)</f>
        <v>4914</v>
      </c>
      <c r="BI31" s="62">
        <f t="shared" si="25"/>
        <v>0</v>
      </c>
      <c r="BJ31" s="62">
        <f t="shared" si="25"/>
        <v>0</v>
      </c>
      <c r="BK31" s="62">
        <f t="shared" si="25"/>
        <v>30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6">SUM(D29:D31)</f>
        <v>0</v>
      </c>
      <c r="E32" s="173">
        <f t="shared" si="26"/>
        <v>0</v>
      </c>
      <c r="F32" s="173">
        <f t="shared" si="26"/>
        <v>0</v>
      </c>
      <c r="G32" s="173">
        <f t="shared" si="26"/>
        <v>0</v>
      </c>
      <c r="H32" s="173">
        <f t="shared" si="26"/>
        <v>0</v>
      </c>
      <c r="I32" s="173">
        <f t="shared" si="26"/>
        <v>0</v>
      </c>
      <c r="J32" s="173">
        <f t="shared" si="26"/>
        <v>0</v>
      </c>
      <c r="K32" s="173">
        <f t="shared" si="26"/>
        <v>0</v>
      </c>
      <c r="L32" s="173">
        <f t="shared" si="26"/>
        <v>0</v>
      </c>
      <c r="M32" s="173">
        <f t="shared" si="26"/>
        <v>0</v>
      </c>
      <c r="N32" s="173">
        <f t="shared" si="26"/>
        <v>0</v>
      </c>
      <c r="O32" s="173">
        <f t="shared" si="26"/>
        <v>0</v>
      </c>
      <c r="P32" s="173">
        <f t="shared" si="26"/>
        <v>0</v>
      </c>
      <c r="Q32" s="173">
        <f t="shared" si="26"/>
        <v>0</v>
      </c>
      <c r="R32" s="173">
        <f t="shared" si="26"/>
        <v>0</v>
      </c>
      <c r="S32" s="173">
        <f t="shared" si="26"/>
        <v>0</v>
      </c>
      <c r="T32" s="173">
        <f t="shared" si="26"/>
        <v>0</v>
      </c>
      <c r="U32" s="173">
        <f t="shared" si="26"/>
        <v>0</v>
      </c>
      <c r="V32" s="173">
        <f t="shared" si="26"/>
        <v>0</v>
      </c>
      <c r="W32" s="173">
        <f t="shared" si="26"/>
        <v>0</v>
      </c>
      <c r="X32" s="173">
        <f t="shared" si="26"/>
        <v>0</v>
      </c>
      <c r="Y32" s="173">
        <f t="shared" si="26"/>
        <v>0</v>
      </c>
      <c r="Z32" s="173">
        <f t="shared" si="26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7">D33+D32</f>
        <v>0</v>
      </c>
      <c r="E34" s="173">
        <f t="shared" si="27"/>
        <v>0</v>
      </c>
      <c r="F34" s="173">
        <f t="shared" si="27"/>
        <v>0</v>
      </c>
      <c r="G34" s="173">
        <f t="shared" si="27"/>
        <v>0</v>
      </c>
      <c r="H34" s="173">
        <f t="shared" si="27"/>
        <v>0</v>
      </c>
      <c r="I34" s="173">
        <f t="shared" si="27"/>
        <v>0</v>
      </c>
      <c r="J34" s="173">
        <f t="shared" si="27"/>
        <v>0</v>
      </c>
      <c r="K34" s="173">
        <f t="shared" si="27"/>
        <v>0</v>
      </c>
      <c r="L34" s="173">
        <f t="shared" si="27"/>
        <v>0</v>
      </c>
      <c r="M34" s="173">
        <f t="shared" si="27"/>
        <v>0</v>
      </c>
      <c r="N34" s="173">
        <f t="shared" si="27"/>
        <v>0</v>
      </c>
      <c r="O34" s="173">
        <f t="shared" si="27"/>
        <v>0</v>
      </c>
      <c r="P34" s="173">
        <f t="shared" si="27"/>
        <v>0</v>
      </c>
      <c r="Q34" s="173">
        <f t="shared" si="27"/>
        <v>0</v>
      </c>
      <c r="R34" s="173">
        <f t="shared" si="27"/>
        <v>0</v>
      </c>
      <c r="S34" s="173">
        <f t="shared" si="27"/>
        <v>0</v>
      </c>
      <c r="T34" s="173">
        <f t="shared" si="27"/>
        <v>0</v>
      </c>
      <c r="U34" s="173">
        <f t="shared" si="27"/>
        <v>0</v>
      </c>
      <c r="V34" s="173">
        <f t="shared" si="27"/>
        <v>0</v>
      </c>
      <c r="W34" s="173">
        <f t="shared" si="27"/>
        <v>0</v>
      </c>
      <c r="X34" s="173">
        <f t="shared" si="27"/>
        <v>0</v>
      </c>
      <c r="Y34" s="173">
        <f t="shared" si="27"/>
        <v>0</v>
      </c>
      <c r="Z34" s="173">
        <f t="shared" si="27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8">COUNTIF(C110:C119,0)</f>
        <v>0</v>
      </c>
      <c r="D36" s="169">
        <f t="shared" si="28"/>
        <v>0</v>
      </c>
      <c r="E36" s="169">
        <f t="shared" si="28"/>
        <v>0</v>
      </c>
      <c r="F36" s="169">
        <f t="shared" si="28"/>
        <v>0</v>
      </c>
      <c r="G36" s="169">
        <f t="shared" si="28"/>
        <v>0</v>
      </c>
      <c r="H36" s="169">
        <f t="shared" si="28"/>
        <v>0</v>
      </c>
      <c r="I36" s="169">
        <f t="shared" si="28"/>
        <v>0</v>
      </c>
      <c r="J36" s="169">
        <f t="shared" si="28"/>
        <v>0</v>
      </c>
      <c r="K36" s="169">
        <f t="shared" si="28"/>
        <v>0</v>
      </c>
      <c r="L36" s="169">
        <f t="shared" si="28"/>
        <v>0</v>
      </c>
      <c r="M36" s="169">
        <f t="shared" si="28"/>
        <v>0</v>
      </c>
      <c r="N36" s="169">
        <f t="shared" si="28"/>
        <v>0</v>
      </c>
      <c r="O36" s="169">
        <f t="shared" si="28"/>
        <v>0</v>
      </c>
      <c r="P36" s="169">
        <f t="shared" si="28"/>
        <v>0</v>
      </c>
      <c r="Q36" s="169">
        <f t="shared" si="28"/>
        <v>0</v>
      </c>
      <c r="R36" s="169">
        <f t="shared" si="28"/>
        <v>0</v>
      </c>
      <c r="S36" s="169">
        <f t="shared" si="28"/>
        <v>0</v>
      </c>
      <c r="T36" s="169">
        <f t="shared" si="28"/>
        <v>0</v>
      </c>
      <c r="U36" s="169">
        <f t="shared" si="28"/>
        <v>0</v>
      </c>
      <c r="V36" s="169">
        <f t="shared" si="28"/>
        <v>0</v>
      </c>
      <c r="W36" s="169">
        <f t="shared" si="28"/>
        <v>0</v>
      </c>
      <c r="X36" s="169">
        <f t="shared" si="28"/>
        <v>0</v>
      </c>
      <c r="Y36" s="169">
        <f t="shared" si="28"/>
        <v>0</v>
      </c>
      <c r="Z36" s="169">
        <f t="shared" si="28"/>
        <v>0</v>
      </c>
    </row>
    <row r="37" spans="1:49" x14ac:dyDescent="0.25">
      <c r="A37" s="174" t="s">
        <v>681</v>
      </c>
      <c r="B37" t="s">
        <v>578</v>
      </c>
      <c r="C37" s="169">
        <f t="shared" ref="C37:Z37" si="29">COUNTIF(C110:C119,1)</f>
        <v>0</v>
      </c>
      <c r="D37" s="169">
        <f t="shared" si="29"/>
        <v>0</v>
      </c>
      <c r="E37" s="169">
        <f t="shared" si="29"/>
        <v>0</v>
      </c>
      <c r="F37" s="169">
        <f t="shared" si="29"/>
        <v>0</v>
      </c>
      <c r="G37" s="169">
        <f t="shared" si="29"/>
        <v>0</v>
      </c>
      <c r="H37" s="169">
        <f t="shared" si="29"/>
        <v>0</v>
      </c>
      <c r="I37" s="169">
        <f t="shared" si="29"/>
        <v>0</v>
      </c>
      <c r="J37" s="169">
        <f t="shared" si="29"/>
        <v>0</v>
      </c>
      <c r="K37" s="169">
        <f t="shared" si="29"/>
        <v>0</v>
      </c>
      <c r="L37" s="169">
        <f t="shared" si="29"/>
        <v>0</v>
      </c>
      <c r="M37" s="169">
        <f t="shared" si="29"/>
        <v>0</v>
      </c>
      <c r="N37" s="169">
        <f t="shared" si="29"/>
        <v>0</v>
      </c>
      <c r="O37" s="169">
        <f t="shared" si="29"/>
        <v>0</v>
      </c>
      <c r="P37" s="169">
        <f t="shared" si="29"/>
        <v>0</v>
      </c>
      <c r="Q37" s="169">
        <f t="shared" si="29"/>
        <v>0</v>
      </c>
      <c r="R37" s="169">
        <f t="shared" si="29"/>
        <v>0</v>
      </c>
      <c r="S37" s="169">
        <f t="shared" si="29"/>
        <v>0</v>
      </c>
      <c r="T37" s="169">
        <f t="shared" si="29"/>
        <v>0</v>
      </c>
      <c r="U37" s="169">
        <f t="shared" si="29"/>
        <v>0</v>
      </c>
      <c r="V37" s="169">
        <f t="shared" si="29"/>
        <v>0</v>
      </c>
      <c r="W37" s="169">
        <f t="shared" si="29"/>
        <v>0</v>
      </c>
      <c r="X37" s="169">
        <f t="shared" si="29"/>
        <v>0</v>
      </c>
      <c r="Y37" s="169">
        <f t="shared" si="29"/>
        <v>0</v>
      </c>
      <c r="Z37" s="169">
        <f t="shared" si="29"/>
        <v>0</v>
      </c>
    </row>
    <row r="38" spans="1:49" x14ac:dyDescent="0.25">
      <c r="A38" s="174" t="s">
        <v>682</v>
      </c>
      <c r="B38" t="s">
        <v>578</v>
      </c>
      <c r="C38" s="169">
        <f t="shared" ref="C38:Z38" si="30">COUNTIF(C110:C119,0.5)</f>
        <v>0</v>
      </c>
      <c r="D38" s="169">
        <f t="shared" si="30"/>
        <v>0</v>
      </c>
      <c r="E38" s="169">
        <f t="shared" si="30"/>
        <v>0</v>
      </c>
      <c r="F38" s="169">
        <f t="shared" si="30"/>
        <v>0</v>
      </c>
      <c r="G38" s="169">
        <f t="shared" si="30"/>
        <v>0</v>
      </c>
      <c r="H38" s="169">
        <f t="shared" si="30"/>
        <v>0</v>
      </c>
      <c r="I38" s="169">
        <f t="shared" si="30"/>
        <v>0</v>
      </c>
      <c r="J38" s="169">
        <f t="shared" si="30"/>
        <v>0</v>
      </c>
      <c r="K38" s="169">
        <f t="shared" si="3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O38" s="169">
        <f t="shared" si="30"/>
        <v>0</v>
      </c>
      <c r="P38" s="169">
        <f t="shared" si="30"/>
        <v>0</v>
      </c>
      <c r="Q38" s="169">
        <f t="shared" si="30"/>
        <v>0</v>
      </c>
      <c r="R38" s="169">
        <f t="shared" si="30"/>
        <v>0</v>
      </c>
      <c r="S38" s="169">
        <f t="shared" si="30"/>
        <v>0</v>
      </c>
      <c r="T38" s="169">
        <f t="shared" si="30"/>
        <v>0</v>
      </c>
      <c r="U38" s="169">
        <f t="shared" si="30"/>
        <v>0</v>
      </c>
      <c r="V38" s="169">
        <f t="shared" si="30"/>
        <v>0</v>
      </c>
      <c r="W38" s="169">
        <f t="shared" si="30"/>
        <v>0</v>
      </c>
      <c r="X38" s="169">
        <f t="shared" si="30"/>
        <v>0</v>
      </c>
      <c r="Y38" s="169">
        <f t="shared" si="30"/>
        <v>0</v>
      </c>
      <c r="Z38" s="169">
        <f t="shared" si="30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2">IF(COUNTIF(D110:D119,4)&gt;0,1,0)</f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3">COUNTIF(D110:D119,5)</f>
        <v>0</v>
      </c>
      <c r="E41" s="169">
        <f t="shared" si="33"/>
        <v>0</v>
      </c>
      <c r="F41" s="169">
        <f t="shared" si="33"/>
        <v>0</v>
      </c>
      <c r="G41" s="169">
        <f t="shared" si="33"/>
        <v>0</v>
      </c>
      <c r="H41" s="169">
        <f t="shared" si="33"/>
        <v>0</v>
      </c>
      <c r="I41" s="169">
        <f t="shared" si="33"/>
        <v>0</v>
      </c>
      <c r="J41" s="169">
        <f t="shared" si="33"/>
        <v>0</v>
      </c>
      <c r="K41" s="169">
        <f t="shared" si="33"/>
        <v>0</v>
      </c>
      <c r="L41" s="169">
        <f t="shared" si="33"/>
        <v>0</v>
      </c>
      <c r="M41" s="169">
        <f t="shared" si="33"/>
        <v>0</v>
      </c>
      <c r="N41" s="169">
        <f t="shared" si="33"/>
        <v>0</v>
      </c>
      <c r="O41" s="169">
        <f t="shared" si="33"/>
        <v>0</v>
      </c>
      <c r="P41" s="169">
        <f t="shared" si="33"/>
        <v>0</v>
      </c>
      <c r="Q41" s="169">
        <f t="shared" si="33"/>
        <v>0</v>
      </c>
      <c r="R41" s="169">
        <f t="shared" si="33"/>
        <v>0</v>
      </c>
      <c r="S41" s="169">
        <f t="shared" si="33"/>
        <v>0</v>
      </c>
      <c r="T41" s="169">
        <f t="shared" si="33"/>
        <v>0</v>
      </c>
      <c r="U41" s="169">
        <f t="shared" si="33"/>
        <v>0</v>
      </c>
      <c r="V41" s="169">
        <f t="shared" si="33"/>
        <v>0</v>
      </c>
      <c r="W41" s="169">
        <f t="shared" si="33"/>
        <v>0</v>
      </c>
      <c r="X41" s="169">
        <f t="shared" si="33"/>
        <v>0</v>
      </c>
      <c r="Y41" s="169">
        <f t="shared" si="33"/>
        <v>0</v>
      </c>
      <c r="Z41" s="169">
        <f t="shared" si="33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5">COUNTIF(C166:C175,1)+COUNTIF(C166:C175,2)</f>
        <v>0</v>
      </c>
      <c r="D46" s="173">
        <f t="shared" si="35"/>
        <v>0</v>
      </c>
      <c r="E46" s="173">
        <f t="shared" si="35"/>
        <v>0</v>
      </c>
      <c r="F46" s="173">
        <f t="shared" si="35"/>
        <v>0</v>
      </c>
      <c r="G46" s="173">
        <f t="shared" si="35"/>
        <v>0</v>
      </c>
      <c r="H46" s="173">
        <f t="shared" si="35"/>
        <v>0</v>
      </c>
      <c r="I46" s="173">
        <f t="shared" si="35"/>
        <v>0</v>
      </c>
      <c r="J46" s="173">
        <f t="shared" si="35"/>
        <v>0</v>
      </c>
      <c r="K46" s="173">
        <f t="shared" si="35"/>
        <v>0</v>
      </c>
      <c r="L46" s="173">
        <f t="shared" si="35"/>
        <v>0</v>
      </c>
      <c r="M46" s="173">
        <f t="shared" si="35"/>
        <v>0</v>
      </c>
      <c r="N46" s="173">
        <f t="shared" si="35"/>
        <v>0</v>
      </c>
      <c r="O46" s="173">
        <f t="shared" si="35"/>
        <v>0</v>
      </c>
      <c r="P46" s="173">
        <f t="shared" si="35"/>
        <v>0</v>
      </c>
      <c r="Q46" s="173">
        <f t="shared" si="35"/>
        <v>0</v>
      </c>
      <c r="R46" s="173">
        <f t="shared" si="35"/>
        <v>0</v>
      </c>
      <c r="S46" s="173">
        <f t="shared" si="35"/>
        <v>0</v>
      </c>
      <c r="T46" s="173">
        <f t="shared" si="35"/>
        <v>0</v>
      </c>
      <c r="U46" s="173">
        <f t="shared" si="35"/>
        <v>0</v>
      </c>
      <c r="V46" s="173">
        <f t="shared" si="35"/>
        <v>0</v>
      </c>
      <c r="W46" s="173">
        <f t="shared" si="35"/>
        <v>0</v>
      </c>
      <c r="X46" s="173">
        <f t="shared" si="35"/>
        <v>0</v>
      </c>
      <c r="Y46" s="173">
        <f t="shared" si="35"/>
        <v>0</v>
      </c>
      <c r="Z46" s="173">
        <f t="shared" si="35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6">COUNTIF(C166:C175,3)</f>
        <v>0</v>
      </c>
      <c r="D47" s="173">
        <f t="shared" si="36"/>
        <v>0</v>
      </c>
      <c r="E47" s="173">
        <f t="shared" si="36"/>
        <v>0</v>
      </c>
      <c r="F47" s="173">
        <f t="shared" si="36"/>
        <v>0</v>
      </c>
      <c r="G47" s="173">
        <f t="shared" si="36"/>
        <v>0</v>
      </c>
      <c r="H47" s="173">
        <f t="shared" si="36"/>
        <v>0</v>
      </c>
      <c r="I47" s="173">
        <f t="shared" si="36"/>
        <v>0</v>
      </c>
      <c r="J47" s="173">
        <f t="shared" si="36"/>
        <v>0</v>
      </c>
      <c r="K47" s="173">
        <f t="shared" si="36"/>
        <v>0</v>
      </c>
      <c r="L47" s="173">
        <f t="shared" si="36"/>
        <v>0</v>
      </c>
      <c r="M47" s="173">
        <f t="shared" si="36"/>
        <v>0</v>
      </c>
      <c r="N47" s="173">
        <f t="shared" si="36"/>
        <v>0</v>
      </c>
      <c r="O47" s="173">
        <f t="shared" si="36"/>
        <v>0</v>
      </c>
      <c r="P47" s="173">
        <f t="shared" si="36"/>
        <v>0</v>
      </c>
      <c r="Q47" s="173">
        <f t="shared" si="36"/>
        <v>0</v>
      </c>
      <c r="R47" s="173">
        <f t="shared" si="36"/>
        <v>0</v>
      </c>
      <c r="S47" s="173">
        <f t="shared" si="36"/>
        <v>0</v>
      </c>
      <c r="T47" s="173">
        <f t="shared" si="36"/>
        <v>0</v>
      </c>
      <c r="U47" s="173">
        <f t="shared" si="36"/>
        <v>0</v>
      </c>
      <c r="V47" s="173">
        <f t="shared" si="36"/>
        <v>0</v>
      </c>
      <c r="W47" s="173">
        <f t="shared" si="36"/>
        <v>0</v>
      </c>
      <c r="X47" s="173">
        <f t="shared" si="36"/>
        <v>0</v>
      </c>
      <c r="Y47" s="173">
        <f t="shared" si="36"/>
        <v>0</v>
      </c>
      <c r="Z47" s="173">
        <f t="shared" si="36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7">D61</f>
        <v>0</v>
      </c>
      <c r="E48" s="173">
        <f t="shared" si="37"/>
        <v>0</v>
      </c>
      <c r="F48" s="173">
        <f t="shared" si="37"/>
        <v>0</v>
      </c>
      <c r="G48" s="173">
        <f t="shared" si="37"/>
        <v>0</v>
      </c>
      <c r="H48" s="173">
        <f t="shared" si="37"/>
        <v>0</v>
      </c>
      <c r="I48" s="173">
        <f t="shared" si="37"/>
        <v>0</v>
      </c>
      <c r="J48" s="173">
        <f t="shared" si="37"/>
        <v>0</v>
      </c>
      <c r="K48" s="173">
        <f t="shared" si="37"/>
        <v>0</v>
      </c>
      <c r="L48" s="173">
        <f t="shared" si="37"/>
        <v>0</v>
      </c>
      <c r="M48" s="173">
        <f t="shared" si="37"/>
        <v>0</v>
      </c>
      <c r="N48" s="173">
        <f t="shared" si="37"/>
        <v>0</v>
      </c>
      <c r="O48" s="173">
        <f t="shared" si="37"/>
        <v>0</v>
      </c>
      <c r="P48" s="173">
        <f t="shared" si="37"/>
        <v>0</v>
      </c>
      <c r="Q48" s="173">
        <f t="shared" si="37"/>
        <v>0</v>
      </c>
      <c r="R48" s="173">
        <f t="shared" si="37"/>
        <v>0</v>
      </c>
      <c r="S48" s="173">
        <f t="shared" si="37"/>
        <v>0</v>
      </c>
      <c r="T48" s="173">
        <f t="shared" si="37"/>
        <v>0</v>
      </c>
      <c r="U48" s="173">
        <f t="shared" si="37"/>
        <v>0</v>
      </c>
      <c r="V48" s="173">
        <f t="shared" si="37"/>
        <v>0</v>
      </c>
      <c r="W48" s="173">
        <f t="shared" si="37"/>
        <v>0</v>
      </c>
      <c r="X48" s="173">
        <f t="shared" si="37"/>
        <v>0</v>
      </c>
      <c r="Y48" s="173">
        <f t="shared" si="37"/>
        <v>0</v>
      </c>
      <c r="Z48" s="173">
        <f t="shared" si="37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8">D63</f>
        <v>0</v>
      </c>
      <c r="E49" s="173">
        <f t="shared" si="38"/>
        <v>0</v>
      </c>
      <c r="F49" s="173">
        <f t="shared" si="38"/>
        <v>0</v>
      </c>
      <c r="G49" s="173">
        <f t="shared" si="38"/>
        <v>0</v>
      </c>
      <c r="H49" s="173">
        <f t="shared" si="38"/>
        <v>0</v>
      </c>
      <c r="I49" s="173">
        <f t="shared" si="38"/>
        <v>0</v>
      </c>
      <c r="J49" s="173">
        <f t="shared" si="38"/>
        <v>0</v>
      </c>
      <c r="K49" s="173">
        <f t="shared" si="38"/>
        <v>0</v>
      </c>
      <c r="L49" s="173">
        <f t="shared" si="38"/>
        <v>0</v>
      </c>
      <c r="M49" s="173">
        <f t="shared" si="38"/>
        <v>0</v>
      </c>
      <c r="N49" s="173">
        <f t="shared" si="38"/>
        <v>0</v>
      </c>
      <c r="O49" s="173">
        <f t="shared" si="38"/>
        <v>0</v>
      </c>
      <c r="P49" s="173">
        <f t="shared" si="38"/>
        <v>0</v>
      </c>
      <c r="Q49" s="173">
        <f t="shared" si="38"/>
        <v>0</v>
      </c>
      <c r="R49" s="173">
        <f t="shared" si="38"/>
        <v>0</v>
      </c>
      <c r="S49" s="173">
        <f t="shared" si="38"/>
        <v>0</v>
      </c>
      <c r="T49" s="173">
        <f t="shared" si="38"/>
        <v>0</v>
      </c>
      <c r="U49" s="173">
        <f t="shared" si="38"/>
        <v>0</v>
      </c>
      <c r="V49" s="173">
        <f t="shared" si="38"/>
        <v>0</v>
      </c>
      <c r="W49" s="173">
        <f t="shared" si="38"/>
        <v>0</v>
      </c>
      <c r="X49" s="173">
        <f t="shared" si="38"/>
        <v>0</v>
      </c>
      <c r="Y49" s="173">
        <f t="shared" si="38"/>
        <v>0</v>
      </c>
      <c r="Z49" s="173">
        <f t="shared" si="38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39">SUM(D50:D52)</f>
        <v>0</v>
      </c>
      <c r="E53" s="173">
        <f t="shared" si="39"/>
        <v>0</v>
      </c>
      <c r="F53" s="173">
        <f t="shared" si="39"/>
        <v>0</v>
      </c>
      <c r="G53" s="173">
        <f t="shared" si="39"/>
        <v>0</v>
      </c>
      <c r="H53" s="173">
        <f t="shared" si="39"/>
        <v>0</v>
      </c>
      <c r="I53" s="173">
        <f t="shared" si="39"/>
        <v>0</v>
      </c>
      <c r="J53" s="173">
        <f t="shared" si="39"/>
        <v>0</v>
      </c>
      <c r="K53" s="173">
        <f t="shared" si="39"/>
        <v>0</v>
      </c>
      <c r="L53" s="173">
        <f t="shared" si="39"/>
        <v>0</v>
      </c>
      <c r="M53" s="173">
        <f t="shared" si="39"/>
        <v>0</v>
      </c>
      <c r="N53" s="173">
        <f t="shared" si="39"/>
        <v>0</v>
      </c>
      <c r="O53" s="173">
        <f t="shared" si="39"/>
        <v>0</v>
      </c>
      <c r="P53" s="173">
        <f t="shared" si="39"/>
        <v>0</v>
      </c>
      <c r="Q53" s="173">
        <f t="shared" si="39"/>
        <v>0</v>
      </c>
      <c r="R53" s="173">
        <f t="shared" si="39"/>
        <v>0</v>
      </c>
      <c r="S53" s="173">
        <f t="shared" si="39"/>
        <v>0</v>
      </c>
      <c r="T53" s="173">
        <f t="shared" si="39"/>
        <v>0</v>
      </c>
      <c r="U53" s="173">
        <f t="shared" si="39"/>
        <v>0</v>
      </c>
      <c r="V53" s="173">
        <f t="shared" si="39"/>
        <v>0</v>
      </c>
      <c r="W53" s="173">
        <f t="shared" si="39"/>
        <v>0</v>
      </c>
      <c r="X53" s="173">
        <f t="shared" si="39"/>
        <v>0</v>
      </c>
      <c r="Y53" s="173">
        <f t="shared" si="39"/>
        <v>0</v>
      </c>
      <c r="Z53" s="173">
        <f t="shared" si="39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0">D54+D53</f>
        <v>0</v>
      </c>
      <c r="E55" s="173">
        <f t="shared" si="40"/>
        <v>0</v>
      </c>
      <c r="F55" s="173">
        <f t="shared" si="40"/>
        <v>0</v>
      </c>
      <c r="G55" s="173">
        <f t="shared" si="40"/>
        <v>0</v>
      </c>
      <c r="H55" s="173">
        <f t="shared" si="40"/>
        <v>0</v>
      </c>
      <c r="I55" s="173">
        <f t="shared" si="40"/>
        <v>0</v>
      </c>
      <c r="J55" s="173">
        <f t="shared" si="40"/>
        <v>0</v>
      </c>
      <c r="K55" s="173">
        <f t="shared" si="40"/>
        <v>0</v>
      </c>
      <c r="L55" s="173">
        <f t="shared" si="40"/>
        <v>0</v>
      </c>
      <c r="M55" s="173">
        <f t="shared" si="40"/>
        <v>0</v>
      </c>
      <c r="N55" s="173">
        <f t="shared" si="40"/>
        <v>0</v>
      </c>
      <c r="O55" s="173">
        <f t="shared" si="40"/>
        <v>0</v>
      </c>
      <c r="P55" s="173">
        <f t="shared" si="40"/>
        <v>0</v>
      </c>
      <c r="Q55" s="173">
        <f t="shared" si="40"/>
        <v>0</v>
      </c>
      <c r="R55" s="173">
        <f t="shared" si="40"/>
        <v>0</v>
      </c>
      <c r="S55" s="173">
        <f t="shared" si="40"/>
        <v>0</v>
      </c>
      <c r="T55" s="173">
        <f t="shared" si="40"/>
        <v>0</v>
      </c>
      <c r="U55" s="173">
        <f t="shared" si="40"/>
        <v>0</v>
      </c>
      <c r="V55" s="173">
        <f t="shared" si="40"/>
        <v>0</v>
      </c>
      <c r="W55" s="173">
        <f t="shared" si="40"/>
        <v>0</v>
      </c>
      <c r="X55" s="173">
        <f t="shared" si="40"/>
        <v>0</v>
      </c>
      <c r="Y55" s="173">
        <f t="shared" si="40"/>
        <v>0</v>
      </c>
      <c r="Z55" s="173">
        <f t="shared" si="40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1">COUNTIF(C153:C162,0)</f>
        <v>0</v>
      </c>
      <c r="D57" s="169">
        <f t="shared" si="41"/>
        <v>0</v>
      </c>
      <c r="E57" s="169">
        <f t="shared" si="41"/>
        <v>0</v>
      </c>
      <c r="F57" s="169">
        <f t="shared" si="41"/>
        <v>0</v>
      </c>
      <c r="G57" s="169">
        <f t="shared" si="41"/>
        <v>0</v>
      </c>
      <c r="H57" s="169">
        <f t="shared" si="41"/>
        <v>0</v>
      </c>
      <c r="I57" s="169">
        <f t="shared" si="41"/>
        <v>0</v>
      </c>
      <c r="J57" s="169">
        <f t="shared" si="41"/>
        <v>0</v>
      </c>
      <c r="K57" s="169">
        <f t="shared" si="41"/>
        <v>0</v>
      </c>
      <c r="L57" s="169">
        <f t="shared" si="41"/>
        <v>0</v>
      </c>
      <c r="M57" s="169">
        <f t="shared" si="41"/>
        <v>0</v>
      </c>
      <c r="N57" s="169">
        <f t="shared" si="41"/>
        <v>0</v>
      </c>
      <c r="O57" s="169">
        <f t="shared" si="41"/>
        <v>0</v>
      </c>
      <c r="P57" s="169">
        <f t="shared" si="41"/>
        <v>0</v>
      </c>
      <c r="Q57" s="169">
        <f t="shared" si="41"/>
        <v>0</v>
      </c>
      <c r="R57" s="169">
        <f t="shared" si="41"/>
        <v>0</v>
      </c>
      <c r="S57" s="169">
        <f t="shared" si="41"/>
        <v>0</v>
      </c>
      <c r="T57" s="169">
        <f t="shared" si="41"/>
        <v>0</v>
      </c>
      <c r="U57" s="169">
        <f t="shared" si="41"/>
        <v>0</v>
      </c>
      <c r="V57" s="169">
        <f t="shared" si="41"/>
        <v>0</v>
      </c>
      <c r="W57" s="169">
        <f t="shared" si="41"/>
        <v>0</v>
      </c>
      <c r="X57" s="169">
        <f t="shared" si="41"/>
        <v>0</v>
      </c>
      <c r="Y57" s="169">
        <f t="shared" si="41"/>
        <v>0</v>
      </c>
      <c r="Z57" s="169">
        <f t="shared" si="41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2">COUNTIF(C153:C162,1)</f>
        <v>0</v>
      </c>
      <c r="D58" s="169">
        <f t="shared" si="42"/>
        <v>0</v>
      </c>
      <c r="E58" s="169">
        <f t="shared" si="42"/>
        <v>0</v>
      </c>
      <c r="F58" s="169">
        <f t="shared" si="42"/>
        <v>0</v>
      </c>
      <c r="G58" s="169">
        <f t="shared" si="42"/>
        <v>0</v>
      </c>
      <c r="H58" s="169">
        <f t="shared" si="42"/>
        <v>0</v>
      </c>
      <c r="I58" s="169">
        <f t="shared" si="42"/>
        <v>0</v>
      </c>
      <c r="J58" s="169">
        <f t="shared" si="42"/>
        <v>0</v>
      </c>
      <c r="K58" s="169">
        <f t="shared" si="42"/>
        <v>0</v>
      </c>
      <c r="L58" s="169">
        <f t="shared" si="42"/>
        <v>0</v>
      </c>
      <c r="M58" s="169">
        <f t="shared" si="42"/>
        <v>0</v>
      </c>
      <c r="N58" s="169">
        <f t="shared" si="42"/>
        <v>0</v>
      </c>
      <c r="O58" s="169">
        <f t="shared" si="42"/>
        <v>0</v>
      </c>
      <c r="P58" s="169">
        <f t="shared" si="42"/>
        <v>0</v>
      </c>
      <c r="Q58" s="169">
        <f t="shared" si="42"/>
        <v>0</v>
      </c>
      <c r="R58" s="169">
        <f t="shared" si="42"/>
        <v>0</v>
      </c>
      <c r="S58" s="169">
        <f t="shared" si="42"/>
        <v>0</v>
      </c>
      <c r="T58" s="169">
        <f t="shared" si="42"/>
        <v>0</v>
      </c>
      <c r="U58" s="169">
        <f t="shared" si="42"/>
        <v>0</v>
      </c>
      <c r="V58" s="169">
        <f t="shared" si="42"/>
        <v>0</v>
      </c>
      <c r="W58" s="169">
        <f t="shared" si="42"/>
        <v>0</v>
      </c>
      <c r="X58" s="169">
        <f t="shared" si="42"/>
        <v>0</v>
      </c>
      <c r="Y58" s="169">
        <f t="shared" si="42"/>
        <v>0</v>
      </c>
      <c r="Z58" s="169">
        <f t="shared" si="42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3">COUNTIF(C153:C162,0.5)</f>
        <v>0</v>
      </c>
      <c r="D59" s="169">
        <f t="shared" si="43"/>
        <v>0</v>
      </c>
      <c r="E59" s="169">
        <f t="shared" si="43"/>
        <v>0</v>
      </c>
      <c r="F59" s="169">
        <f t="shared" si="43"/>
        <v>0</v>
      </c>
      <c r="G59" s="169">
        <f t="shared" si="43"/>
        <v>0</v>
      </c>
      <c r="H59" s="169">
        <f t="shared" si="43"/>
        <v>0</v>
      </c>
      <c r="I59" s="169">
        <f t="shared" si="43"/>
        <v>0</v>
      </c>
      <c r="J59" s="169">
        <f t="shared" si="43"/>
        <v>0</v>
      </c>
      <c r="K59" s="169">
        <f t="shared" si="43"/>
        <v>0</v>
      </c>
      <c r="L59" s="169">
        <f t="shared" si="43"/>
        <v>0</v>
      </c>
      <c r="M59" s="169">
        <f t="shared" si="43"/>
        <v>0</v>
      </c>
      <c r="N59" s="169">
        <f t="shared" si="43"/>
        <v>0</v>
      </c>
      <c r="O59" s="169">
        <f t="shared" si="43"/>
        <v>0</v>
      </c>
      <c r="P59" s="169">
        <f t="shared" si="43"/>
        <v>0</v>
      </c>
      <c r="Q59" s="169">
        <f t="shared" si="43"/>
        <v>0</v>
      </c>
      <c r="R59" s="169">
        <f t="shared" si="43"/>
        <v>0</v>
      </c>
      <c r="S59" s="169">
        <f t="shared" si="43"/>
        <v>0</v>
      </c>
      <c r="T59" s="169">
        <f t="shared" si="43"/>
        <v>0</v>
      </c>
      <c r="U59" s="169">
        <f t="shared" si="43"/>
        <v>0</v>
      </c>
      <c r="V59" s="169">
        <f t="shared" si="43"/>
        <v>0</v>
      </c>
      <c r="W59" s="169">
        <f t="shared" si="43"/>
        <v>0</v>
      </c>
      <c r="X59" s="169">
        <f t="shared" si="43"/>
        <v>0</v>
      </c>
      <c r="Y59" s="169">
        <f t="shared" si="43"/>
        <v>0</v>
      </c>
      <c r="Z59" s="169">
        <f t="shared" si="43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5">IF(COUNTIF(D153:D162,4)&gt;0,1,0)</f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6">COUNTIF(D153:D162,5)</f>
        <v>0</v>
      </c>
      <c r="E62" s="169">
        <f t="shared" si="46"/>
        <v>0</v>
      </c>
      <c r="F62" s="169">
        <f t="shared" si="46"/>
        <v>0</v>
      </c>
      <c r="G62" s="169">
        <f t="shared" si="46"/>
        <v>0</v>
      </c>
      <c r="H62" s="169">
        <f t="shared" si="46"/>
        <v>0</v>
      </c>
      <c r="I62" s="169">
        <f t="shared" si="46"/>
        <v>0</v>
      </c>
      <c r="J62" s="169">
        <f t="shared" si="46"/>
        <v>0</v>
      </c>
      <c r="K62" s="169">
        <f t="shared" si="46"/>
        <v>0</v>
      </c>
      <c r="L62" s="169">
        <f t="shared" si="46"/>
        <v>0</v>
      </c>
      <c r="M62" s="169">
        <f t="shared" si="46"/>
        <v>0</v>
      </c>
      <c r="N62" s="169">
        <f t="shared" si="46"/>
        <v>0</v>
      </c>
      <c r="O62" s="169">
        <f t="shared" si="46"/>
        <v>0</v>
      </c>
      <c r="P62" s="169">
        <f t="shared" si="46"/>
        <v>0</v>
      </c>
      <c r="Q62" s="169">
        <f t="shared" si="46"/>
        <v>0</v>
      </c>
      <c r="R62" s="169">
        <f t="shared" si="46"/>
        <v>0</v>
      </c>
      <c r="S62" s="169">
        <f t="shared" si="46"/>
        <v>0</v>
      </c>
      <c r="T62" s="169">
        <f t="shared" si="46"/>
        <v>0</v>
      </c>
      <c r="U62" s="169">
        <f t="shared" si="46"/>
        <v>0</v>
      </c>
      <c r="V62" s="169">
        <f t="shared" si="46"/>
        <v>0</v>
      </c>
      <c r="W62" s="169">
        <f t="shared" si="46"/>
        <v>0</v>
      </c>
      <c r="X62" s="169">
        <f t="shared" si="46"/>
        <v>0</v>
      </c>
      <c r="Y62" s="169">
        <f t="shared" si="46"/>
        <v>0</v>
      </c>
      <c r="Z62" s="169">
        <f t="shared" si="46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1</v>
      </c>
      <c r="H68" s="169">
        <f>IF($AA68=0,99,IF(H81&gt;3,CdTrp1!G76,CdTrp1!G52))</f>
        <v>1</v>
      </c>
      <c r="I68" s="169">
        <f>IF($AA68=0,99,IF(I81&gt;3,CdTrp1!H76,CdTrp1!H52))</f>
        <v>1</v>
      </c>
      <c r="J68" s="169">
        <f>IF($AA68=0,99,IF(J81&gt;3,CdTrp1!I76,CdTrp1!I52))</f>
        <v>1</v>
      </c>
      <c r="K68" s="169">
        <f>IF($AA68=0,99,IF(K81&gt;3,CdTrp1!J76,CdTrp1!J52))</f>
        <v>1</v>
      </c>
      <c r="L68" s="169">
        <f>IF($AA68=0,99,IF(L81&gt;3,CdTrp1!K76,CdTrp1!K52))</f>
        <v>1</v>
      </c>
      <c r="M68" s="169">
        <f>IF($AA68=0,99,IF(M81&gt;3,CdTrp1!L76,CdTrp1!L52))</f>
        <v>1</v>
      </c>
      <c r="N68" s="169">
        <f>IF($AA68=0,99,IF(N81&gt;3,CdTrp1!M76,CdTrp1!M52))</f>
        <v>1</v>
      </c>
      <c r="O68" s="169">
        <f>IF($AA68=0,99,IF(O81&gt;3,CdTrp1!N76,CdTrp1!N52))</f>
        <v>1</v>
      </c>
      <c r="P68" s="169">
        <f>IF($AA68=0,99,IF(P81&gt;3,CdTrp1!O76,CdTrp1!O52))</f>
        <v>1</v>
      </c>
      <c r="Q68" s="169">
        <f>IF($AA68=0,99,IF(Q81&gt;3,CdTrp1!P76,CdTrp1!P52))</f>
        <v>1</v>
      </c>
      <c r="R68" s="169">
        <f>IF($AA68=0,99,IF(R81&gt;3,CdTrp1!Q76,CdTrp1!Q52))</f>
        <v>1</v>
      </c>
      <c r="S68" s="169">
        <f>IF($AA68=0,99,IF(S81&gt;3,CdTrp1!R76,CdTrp1!R52))</f>
        <v>1</v>
      </c>
      <c r="T68" s="169">
        <f>IF($AA68=0,99,IF(T81&gt;3,CdTrp1!S76,CdTrp1!S52))</f>
        <v>1</v>
      </c>
      <c r="U68" s="169">
        <f>IF($AA68=0,99,IF(U81&gt;3,CdTrp1!T76,CdTrp1!T52))</f>
        <v>1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37.11354166666667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laitiéres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1</v>
      </c>
      <c r="J69" s="169">
        <f>IF($AA69=0,99,IF(J82&gt;3,CdTrp1!I77,CdTrp1!I53))</f>
        <v>1</v>
      </c>
      <c r="K69" s="169">
        <f>IF($AA69=0,99,IF(K82&gt;3,CdTrp1!J77,CdTrp1!J53))</f>
        <v>1</v>
      </c>
      <c r="L69" s="169">
        <f>IF($AA69=0,99,IF(L82&gt;3,CdTrp1!K77,CdTrp1!K53))</f>
        <v>1</v>
      </c>
      <c r="M69" s="169">
        <f>IF($AA69=0,99,IF(M82&gt;3,CdTrp1!L77,CdTrp1!L53))</f>
        <v>1</v>
      </c>
      <c r="N69" s="169">
        <f>IF($AA69=0,99,IF(N82&gt;3,CdTrp1!M77,CdTrp1!M53))</f>
        <v>1</v>
      </c>
      <c r="O69" s="169">
        <f>IF($AA69=0,99,IF(O82&gt;3,CdTrp1!N77,CdTrp1!N53))</f>
        <v>1</v>
      </c>
      <c r="P69" s="169">
        <f>IF($AA69=0,99,IF(P82&gt;3,CdTrp1!O77,CdTrp1!O53))</f>
        <v>1</v>
      </c>
      <c r="Q69" s="169">
        <f>IF($AA69=0,99,IF(Q82&gt;3,CdTrp1!P77,CdTrp1!P53))</f>
        <v>1</v>
      </c>
      <c r="R69" s="169">
        <f>IF($AA69=0,99,IF(R82&gt;3,CdTrp1!Q77,CdTrp1!Q53))</f>
        <v>1</v>
      </c>
      <c r="S69" s="169">
        <f>IF($AA69=0,99,IF(S82&gt;3,CdTrp1!R77,CdTrp1!R53))</f>
        <v>1</v>
      </c>
      <c r="T69" s="169">
        <f>IF($AA69=0,99,IF(T82&gt;3,CdTrp1!S77,CdTrp1!S53))</f>
        <v>1</v>
      </c>
      <c r="U69" s="169">
        <f>IF($AA69=0,99,IF(U82&gt;3,CdTrp1!T77,CdTrp1!T53))</f>
        <v>1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29.725000000000012</v>
      </c>
      <c r="AD69" s="15"/>
      <c r="AU69" s="180"/>
    </row>
    <row r="70" spans="1:49" x14ac:dyDescent="0.25">
      <c r="B70" s="265" t="str">
        <f>CdTrp1!A54</f>
        <v>lot3</v>
      </c>
      <c r="C70" s="169">
        <f>IF($AA70=0,99,IF(C83&gt;3,CdTrp1!B78,CdTrp1!B54))</f>
        <v>99</v>
      </c>
      <c r="D70" s="169">
        <f>IF($AA70=0,99,IF(D83&gt;3,CdTrp1!C78,CdTrp1!C54))</f>
        <v>99</v>
      </c>
      <c r="E70" s="169">
        <f>IF($AA70=0,99,IF(E83&gt;3,CdTrp1!D78,CdTrp1!D54))</f>
        <v>99</v>
      </c>
      <c r="F70" s="169">
        <f>IF($AA70=0,99,IF(F83&gt;3,CdTrp1!E78,CdTrp1!E54))</f>
        <v>99</v>
      </c>
      <c r="G70" s="169">
        <f>IF($AA70=0,99,IF(G83&gt;3,CdTrp1!F78,CdTrp1!F54))</f>
        <v>99</v>
      </c>
      <c r="H70" s="169">
        <f>IF($AA70=0,99,IF(H83&gt;3,CdTrp1!G78,CdTrp1!G54))</f>
        <v>99</v>
      </c>
      <c r="I70" s="169">
        <f>IF($AA70=0,99,IF(I83&gt;3,CdTrp1!H78,CdTrp1!H54))</f>
        <v>99</v>
      </c>
      <c r="J70" s="169">
        <f>IF($AA70=0,99,IF(J83&gt;3,CdTrp1!I78,CdTrp1!I54))</f>
        <v>99</v>
      </c>
      <c r="K70" s="169">
        <f>IF($AA70=0,99,IF(K83&gt;3,CdTrp1!J78,CdTrp1!J54))</f>
        <v>99</v>
      </c>
      <c r="L70" s="169">
        <f>IF($AA70=0,99,IF(L83&gt;3,CdTrp1!K78,CdTrp1!K54))</f>
        <v>99</v>
      </c>
      <c r="M70" s="169">
        <f>IF($AA70=0,99,IF(M83&gt;3,CdTrp1!L78,CdTrp1!L54))</f>
        <v>99</v>
      </c>
      <c r="N70" s="169">
        <f>IF($AA70=0,99,IF(N83&gt;3,CdTrp1!M78,CdTrp1!M54))</f>
        <v>99</v>
      </c>
      <c r="O70" s="169">
        <f>IF($AA70=0,99,IF(O83&gt;3,CdTrp1!N78,CdTrp1!N54))</f>
        <v>99</v>
      </c>
      <c r="P70" s="169">
        <f>IF($AA70=0,99,IF(P83&gt;3,CdTrp1!O78,CdTrp1!O54))</f>
        <v>99</v>
      </c>
      <c r="Q70" s="169">
        <f>IF($AA70=0,99,IF(Q83&gt;3,CdTrp1!P78,CdTrp1!P54))</f>
        <v>99</v>
      </c>
      <c r="R70" s="169">
        <f>IF($AA70=0,99,IF(R83&gt;3,CdTrp1!Q78,CdTrp1!Q54))</f>
        <v>99</v>
      </c>
      <c r="S70" s="169">
        <f>IF($AA70=0,99,IF(S83&gt;3,CdTrp1!R78,CdTrp1!R54))</f>
        <v>99</v>
      </c>
      <c r="T70" s="169">
        <f>IF($AA70=0,99,IF(T83&gt;3,CdTrp1!S78,CdTrp1!S54))</f>
        <v>99</v>
      </c>
      <c r="U70" s="169">
        <f>IF($AA70=0,99,IF(U83&gt;3,CdTrp1!T78,CdTrp1!T54))</f>
        <v>99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99</v>
      </c>
      <c r="Z70" s="169">
        <f>IF($AA70=0,99,IF(Z83&gt;3,CdTrp1!Y78,CdTrp1!Y54))</f>
        <v>99</v>
      </c>
      <c r="AA70" s="178">
        <f>SUM(CdTrp1!B17:Y17)/24</f>
        <v>0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0</v>
      </c>
      <c r="J81" s="169">
        <f>CdTrp1!I76</f>
        <v>0</v>
      </c>
      <c r="K81" s="169">
        <f>CdTrp1!J76</f>
        <v>0</v>
      </c>
      <c r="L81" s="169">
        <f>CdTrp1!K76</f>
        <v>0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laitiéres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0</v>
      </c>
      <c r="J82" s="169">
        <f>CdTrp1!I77</f>
        <v>0</v>
      </c>
      <c r="K82" s="169">
        <f>CdTrp1!J77</f>
        <v>0</v>
      </c>
      <c r="L82" s="169">
        <f>CdTrp1!K77</f>
        <v>0</v>
      </c>
      <c r="M82" s="169">
        <f>CdTrp1!L77</f>
        <v>0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0</v>
      </c>
      <c r="U82" s="169">
        <f>CdTrp1!T77</f>
        <v>0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lot3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1377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1379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1380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1381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1382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1384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1385</v>
      </c>
      <c r="C195" s="169">
        <f>C180+C183+C185+C187</f>
        <v>0</v>
      </c>
      <c r="D195" s="169">
        <f t="shared" ref="D195:Z196" si="48">D180+D183+D185+D187</f>
        <v>0</v>
      </c>
      <c r="E195" s="169">
        <f t="shared" si="48"/>
        <v>0</v>
      </c>
      <c r="F195" s="169">
        <f t="shared" si="48"/>
        <v>0</v>
      </c>
      <c r="G195" s="169">
        <f t="shared" si="48"/>
        <v>0</v>
      </c>
      <c r="H195" s="169">
        <f t="shared" si="48"/>
        <v>0</v>
      </c>
      <c r="I195" s="169">
        <f t="shared" si="48"/>
        <v>0</v>
      </c>
      <c r="J195" s="169">
        <f t="shared" si="48"/>
        <v>0</v>
      </c>
      <c r="K195" s="169">
        <f t="shared" si="48"/>
        <v>0</v>
      </c>
      <c r="L195" s="169">
        <f t="shared" si="48"/>
        <v>0</v>
      </c>
      <c r="M195" s="169">
        <f t="shared" si="48"/>
        <v>0</v>
      </c>
      <c r="N195" s="169">
        <f t="shared" si="48"/>
        <v>0</v>
      </c>
      <c r="O195" s="169">
        <f t="shared" si="48"/>
        <v>0</v>
      </c>
      <c r="P195" s="169">
        <f t="shared" si="48"/>
        <v>0</v>
      </c>
      <c r="Q195" s="169">
        <f t="shared" si="48"/>
        <v>0</v>
      </c>
      <c r="R195" s="169">
        <f t="shared" si="48"/>
        <v>0</v>
      </c>
      <c r="S195" s="169">
        <f t="shared" si="48"/>
        <v>0</v>
      </c>
      <c r="T195" s="169">
        <f t="shared" si="48"/>
        <v>0</v>
      </c>
      <c r="U195" s="169">
        <f t="shared" si="48"/>
        <v>0</v>
      </c>
      <c r="V195" s="169">
        <f t="shared" si="48"/>
        <v>0</v>
      </c>
      <c r="W195" s="169">
        <f t="shared" si="48"/>
        <v>0</v>
      </c>
      <c r="X195" s="169">
        <f t="shared" si="48"/>
        <v>0</v>
      </c>
      <c r="Y195" s="169">
        <f t="shared" si="48"/>
        <v>0</v>
      </c>
      <c r="Z195" s="169">
        <f t="shared" si="48"/>
        <v>0</v>
      </c>
    </row>
    <row r="196" spans="1:26" x14ac:dyDescent="0.25">
      <c r="B196" s="14" t="s">
        <v>1386</v>
      </c>
      <c r="C196" s="169">
        <f>C181+C184+C186+C188</f>
        <v>0</v>
      </c>
      <c r="D196" s="169">
        <f t="shared" si="48"/>
        <v>0</v>
      </c>
      <c r="E196" s="169">
        <f t="shared" si="48"/>
        <v>0</v>
      </c>
      <c r="F196" s="169">
        <f t="shared" si="48"/>
        <v>0</v>
      </c>
      <c r="G196" s="169">
        <f t="shared" si="48"/>
        <v>0</v>
      </c>
      <c r="H196" s="169">
        <f t="shared" si="48"/>
        <v>0</v>
      </c>
      <c r="I196" s="169">
        <f t="shared" si="48"/>
        <v>0</v>
      </c>
      <c r="J196" s="169">
        <f t="shared" si="48"/>
        <v>0</v>
      </c>
      <c r="K196" s="169">
        <f t="shared" si="48"/>
        <v>0</v>
      </c>
      <c r="L196" s="169">
        <f t="shared" si="48"/>
        <v>0</v>
      </c>
      <c r="M196" s="169">
        <f t="shared" si="48"/>
        <v>0</v>
      </c>
      <c r="N196" s="169">
        <f t="shared" si="48"/>
        <v>0</v>
      </c>
      <c r="O196" s="169">
        <f t="shared" si="48"/>
        <v>0</v>
      </c>
      <c r="P196" s="169">
        <f t="shared" si="48"/>
        <v>0</v>
      </c>
      <c r="Q196" s="169">
        <f t="shared" si="48"/>
        <v>0</v>
      </c>
      <c r="R196" s="169">
        <f t="shared" si="48"/>
        <v>0</v>
      </c>
      <c r="S196" s="169">
        <f t="shared" si="48"/>
        <v>0</v>
      </c>
      <c r="T196" s="169">
        <f t="shared" si="48"/>
        <v>0</v>
      </c>
      <c r="U196" s="169">
        <f t="shared" si="48"/>
        <v>0</v>
      </c>
      <c r="V196" s="169">
        <f t="shared" si="48"/>
        <v>0</v>
      </c>
      <c r="W196" s="169">
        <f t="shared" si="48"/>
        <v>0</v>
      </c>
      <c r="X196" s="169">
        <f t="shared" si="48"/>
        <v>0</v>
      </c>
      <c r="Y196" s="169">
        <f t="shared" si="48"/>
        <v>0</v>
      </c>
      <c r="Z196" s="169">
        <f t="shared" si="48"/>
        <v>0</v>
      </c>
    </row>
    <row r="201" spans="1:26" x14ac:dyDescent="0.25">
      <c r="A201" t="s">
        <v>1387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1407</v>
      </c>
      <c r="C203" s="169">
        <f>SUM(C201:C202)</f>
        <v>0</v>
      </c>
      <c r="D203" s="169">
        <f t="shared" ref="D203:Z203" si="49">SUM(D201:D202)</f>
        <v>0</v>
      </c>
      <c r="E203" s="169">
        <f t="shared" si="49"/>
        <v>0</v>
      </c>
      <c r="F203" s="169">
        <f t="shared" si="49"/>
        <v>0</v>
      </c>
      <c r="G203" s="169">
        <f t="shared" si="49"/>
        <v>0</v>
      </c>
      <c r="H203" s="169">
        <f t="shared" si="49"/>
        <v>0</v>
      </c>
      <c r="I203" s="169">
        <f t="shared" si="49"/>
        <v>0</v>
      </c>
      <c r="J203" s="169">
        <f t="shared" si="49"/>
        <v>0</v>
      </c>
      <c r="K203" s="169">
        <f t="shared" si="49"/>
        <v>0</v>
      </c>
      <c r="L203" s="169">
        <f t="shared" si="49"/>
        <v>0</v>
      </c>
      <c r="M203" s="169">
        <f t="shared" si="49"/>
        <v>0</v>
      </c>
      <c r="N203" s="169">
        <f t="shared" si="49"/>
        <v>0</v>
      </c>
      <c r="O203" s="169">
        <f t="shared" si="49"/>
        <v>0</v>
      </c>
      <c r="P203" s="169">
        <f t="shared" si="49"/>
        <v>0</v>
      </c>
      <c r="Q203" s="169">
        <f t="shared" si="49"/>
        <v>0</v>
      </c>
      <c r="R203" s="169">
        <f t="shared" si="49"/>
        <v>0</v>
      </c>
      <c r="S203" s="169">
        <f t="shared" si="49"/>
        <v>0</v>
      </c>
      <c r="T203" s="169">
        <f t="shared" si="49"/>
        <v>0</v>
      </c>
      <c r="U203" s="169">
        <f t="shared" si="49"/>
        <v>0</v>
      </c>
      <c r="V203" s="169">
        <f t="shared" si="49"/>
        <v>0</v>
      </c>
      <c r="W203" s="169">
        <f t="shared" si="49"/>
        <v>0</v>
      </c>
      <c r="X203" s="169">
        <f t="shared" si="49"/>
        <v>0</v>
      </c>
      <c r="Y203" s="169">
        <f t="shared" si="49"/>
        <v>0</v>
      </c>
      <c r="Z203" s="169">
        <f t="shared" si="49"/>
        <v>0</v>
      </c>
    </row>
    <row r="204" spans="1:26" x14ac:dyDescent="0.25">
      <c r="A204" t="s">
        <v>1389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1390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1391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1392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1393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1394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1395</v>
      </c>
      <c r="C212" s="169">
        <f>C201+C204+C206+C208</f>
        <v>0</v>
      </c>
      <c r="D212" s="169">
        <f t="shared" ref="D212:Z213" si="50">D201+D204+D206+D208</f>
        <v>0</v>
      </c>
      <c r="E212" s="169">
        <f t="shared" si="50"/>
        <v>0</v>
      </c>
      <c r="F212" s="169">
        <f t="shared" si="50"/>
        <v>0</v>
      </c>
      <c r="G212" s="169">
        <f t="shared" si="50"/>
        <v>0</v>
      </c>
      <c r="H212" s="169">
        <f t="shared" si="50"/>
        <v>0</v>
      </c>
      <c r="I212" s="169">
        <f t="shared" si="50"/>
        <v>0</v>
      </c>
      <c r="J212" s="169">
        <f t="shared" si="50"/>
        <v>0</v>
      </c>
      <c r="K212" s="169">
        <f t="shared" si="50"/>
        <v>0</v>
      </c>
      <c r="L212" s="169">
        <f t="shared" si="50"/>
        <v>0</v>
      </c>
      <c r="M212" s="169">
        <f t="shared" si="50"/>
        <v>0</v>
      </c>
      <c r="N212" s="169">
        <f t="shared" si="50"/>
        <v>0</v>
      </c>
      <c r="O212" s="169">
        <f t="shared" si="50"/>
        <v>0</v>
      </c>
      <c r="P212" s="169">
        <f t="shared" si="50"/>
        <v>0</v>
      </c>
      <c r="Q212" s="169">
        <f t="shared" si="50"/>
        <v>0</v>
      </c>
      <c r="R212" s="169">
        <f t="shared" si="50"/>
        <v>0</v>
      </c>
      <c r="S212" s="169">
        <f t="shared" si="50"/>
        <v>0</v>
      </c>
      <c r="T212" s="169">
        <f t="shared" si="50"/>
        <v>0</v>
      </c>
      <c r="U212" s="169">
        <f t="shared" si="50"/>
        <v>0</v>
      </c>
      <c r="V212" s="169">
        <f t="shared" si="50"/>
        <v>0</v>
      </c>
      <c r="W212" s="169">
        <f t="shared" si="50"/>
        <v>0</v>
      </c>
      <c r="X212" s="169">
        <f t="shared" si="50"/>
        <v>0</v>
      </c>
      <c r="Y212" s="169">
        <f t="shared" si="50"/>
        <v>0</v>
      </c>
      <c r="Z212" s="169">
        <f t="shared" si="50"/>
        <v>0</v>
      </c>
    </row>
    <row r="213" spans="1:26" x14ac:dyDescent="0.25">
      <c r="A213" s="15" t="s">
        <v>1396</v>
      </c>
      <c r="C213" s="169">
        <f>C202+C205+C207+C209</f>
        <v>0</v>
      </c>
      <c r="D213" s="169">
        <f t="shared" si="50"/>
        <v>0</v>
      </c>
      <c r="E213" s="169">
        <f t="shared" si="50"/>
        <v>0</v>
      </c>
      <c r="F213" s="169">
        <f t="shared" si="50"/>
        <v>0</v>
      </c>
      <c r="G213" s="169">
        <f t="shared" si="50"/>
        <v>0</v>
      </c>
      <c r="H213" s="169">
        <f t="shared" si="50"/>
        <v>0</v>
      </c>
      <c r="I213" s="169">
        <f t="shared" si="50"/>
        <v>0</v>
      </c>
      <c r="J213" s="169">
        <f t="shared" si="50"/>
        <v>0</v>
      </c>
      <c r="K213" s="169">
        <f t="shared" si="50"/>
        <v>0</v>
      </c>
      <c r="L213" s="169">
        <f t="shared" si="50"/>
        <v>0</v>
      </c>
      <c r="M213" s="169">
        <f t="shared" si="50"/>
        <v>0</v>
      </c>
      <c r="N213" s="169">
        <f t="shared" si="50"/>
        <v>0</v>
      </c>
      <c r="O213" s="169">
        <f t="shared" si="50"/>
        <v>0</v>
      </c>
      <c r="P213" s="169">
        <f t="shared" si="50"/>
        <v>0</v>
      </c>
      <c r="Q213" s="169">
        <f t="shared" si="50"/>
        <v>0</v>
      </c>
      <c r="R213" s="169">
        <f t="shared" si="50"/>
        <v>0</v>
      </c>
      <c r="S213" s="169">
        <f t="shared" si="50"/>
        <v>0</v>
      </c>
      <c r="T213" s="169">
        <f t="shared" si="50"/>
        <v>0</v>
      </c>
      <c r="U213" s="169">
        <f t="shared" si="50"/>
        <v>0</v>
      </c>
      <c r="V213" s="169">
        <f t="shared" si="50"/>
        <v>0</v>
      </c>
      <c r="W213" s="169">
        <f t="shared" si="50"/>
        <v>0</v>
      </c>
      <c r="X213" s="169">
        <f t="shared" si="50"/>
        <v>0</v>
      </c>
      <c r="Y213" s="169">
        <f t="shared" si="50"/>
        <v>0</v>
      </c>
      <c r="Z213" s="169">
        <f t="shared" si="50"/>
        <v>0</v>
      </c>
    </row>
    <row r="214" spans="1:26" x14ac:dyDescent="0.25">
      <c r="A214" s="15" t="s">
        <v>1397</v>
      </c>
      <c r="C214" s="169">
        <f>C212+C213</f>
        <v>0</v>
      </c>
      <c r="D214" s="169">
        <f t="shared" ref="D214:Z214" si="51">D212+D213</f>
        <v>0</v>
      </c>
      <c r="E214" s="169">
        <f t="shared" si="51"/>
        <v>0</v>
      </c>
      <c r="F214" s="169">
        <f t="shared" si="51"/>
        <v>0</v>
      </c>
      <c r="G214" s="169">
        <f t="shared" si="51"/>
        <v>0</v>
      </c>
      <c r="H214" s="169">
        <f t="shared" si="51"/>
        <v>0</v>
      </c>
      <c r="I214" s="169">
        <f t="shared" si="51"/>
        <v>0</v>
      </c>
      <c r="J214" s="169">
        <f t="shared" si="51"/>
        <v>0</v>
      </c>
      <c r="K214" s="169">
        <f t="shared" si="51"/>
        <v>0</v>
      </c>
      <c r="L214" s="169">
        <f t="shared" si="51"/>
        <v>0</v>
      </c>
      <c r="M214" s="169">
        <f t="shared" si="51"/>
        <v>0</v>
      </c>
      <c r="N214" s="169">
        <f t="shared" si="51"/>
        <v>0</v>
      </c>
      <c r="O214" s="169">
        <f t="shared" si="51"/>
        <v>0</v>
      </c>
      <c r="P214" s="169">
        <f t="shared" si="51"/>
        <v>0</v>
      </c>
      <c r="Q214" s="169">
        <f t="shared" si="51"/>
        <v>0</v>
      </c>
      <c r="R214" s="169">
        <f t="shared" si="51"/>
        <v>0</v>
      </c>
      <c r="S214" s="169">
        <f t="shared" si="51"/>
        <v>0</v>
      </c>
      <c r="T214" s="169">
        <f t="shared" si="51"/>
        <v>0</v>
      </c>
      <c r="U214" s="169">
        <f t="shared" si="51"/>
        <v>0</v>
      </c>
      <c r="V214" s="169">
        <f t="shared" si="51"/>
        <v>0</v>
      </c>
      <c r="W214" s="169">
        <f t="shared" si="51"/>
        <v>0</v>
      </c>
      <c r="X214" s="169">
        <f t="shared" si="51"/>
        <v>0</v>
      </c>
      <c r="Y214" s="169">
        <f t="shared" si="51"/>
        <v>0</v>
      </c>
      <c r="Z214" s="169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K141" sqref="K141"/>
      <selection pane="bottomLeft" activeCell="F75" sqref="F75: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81" t="s">
        <v>2</v>
      </c>
      <c r="H1" s="281"/>
      <c r="I1" s="281" t="s">
        <v>0</v>
      </c>
      <c r="J1" s="281"/>
      <c r="K1" s="281" t="s">
        <v>1</v>
      </c>
      <c r="L1" s="281"/>
      <c r="M1" s="281" t="s">
        <v>3</v>
      </c>
      <c r="N1" s="281"/>
      <c r="O1" s="281" t="s">
        <v>4</v>
      </c>
      <c r="P1" s="281"/>
      <c r="Q1" s="281" t="s">
        <v>5</v>
      </c>
      <c r="R1" s="281"/>
      <c r="S1" s="281" t="s">
        <v>6</v>
      </c>
      <c r="T1" s="281"/>
      <c r="U1" s="281" t="s">
        <v>7</v>
      </c>
      <c r="V1" s="281"/>
      <c r="W1" s="281" t="s">
        <v>8</v>
      </c>
      <c r="X1" s="281"/>
      <c r="Y1" s="281" t="s">
        <v>9</v>
      </c>
      <c r="Z1" s="281"/>
      <c r="AA1" s="281" t="s">
        <v>10</v>
      </c>
      <c r="AB1" s="281"/>
      <c r="AC1" s="281" t="s">
        <v>11</v>
      </c>
      <c r="AD1" s="281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38.950000000000003</v>
      </c>
      <c r="AW4" s="169">
        <f>CdTrp1!C15</f>
        <v>38.950000000000003</v>
      </c>
      <c r="AX4" s="169">
        <f>CdTrp1!D15</f>
        <v>38.950000000000003</v>
      </c>
      <c r="AY4" s="169">
        <f>CdTrp1!E15</f>
        <v>38.950000000000003</v>
      </c>
      <c r="AZ4" s="169">
        <f>CdTrp1!F15</f>
        <v>38.950000000000003</v>
      </c>
      <c r="BA4" s="169">
        <f>CdTrp1!G15</f>
        <v>38.950000000000003</v>
      </c>
      <c r="BB4" s="169">
        <f>CdTrp1!H15</f>
        <v>37.924999999999997</v>
      </c>
      <c r="BC4" s="169">
        <f>CdTrp1!I15</f>
        <v>36.9</v>
      </c>
      <c r="BD4" s="169">
        <f>CdTrp1!J15</f>
        <v>35.875</v>
      </c>
      <c r="BE4" s="169">
        <f>CdTrp1!K15</f>
        <v>33.825000000000003</v>
      </c>
      <c r="BF4" s="169">
        <f>CdTrp1!L15</f>
        <v>31.774999999999999</v>
      </c>
      <c r="BG4" s="169">
        <f>CdTrp1!M15</f>
        <v>30.75</v>
      </c>
      <c r="BH4" s="169">
        <f>CdTrp1!N15</f>
        <v>30.75</v>
      </c>
      <c r="BI4" s="169">
        <f>CdTrp1!O15</f>
        <v>30.75</v>
      </c>
      <c r="BJ4" s="169">
        <f>CdTrp1!P15</f>
        <v>33.825000000000003</v>
      </c>
      <c r="BK4" s="169">
        <f>CdTrp1!Q15</f>
        <v>33.825000000000003</v>
      </c>
      <c r="BL4" s="169">
        <f>CdTrp1!R15</f>
        <v>38.950000000000003</v>
      </c>
      <c r="BM4" s="169">
        <f>CdTrp1!S15</f>
        <v>41</v>
      </c>
      <c r="BN4" s="169">
        <f>CdTrp1!T15</f>
        <v>41</v>
      </c>
      <c r="BO4" s="169">
        <f>CdTrp1!U15</f>
        <v>41</v>
      </c>
      <c r="BP4" s="169">
        <f>CdTrp1!V15</f>
        <v>41</v>
      </c>
      <c r="BQ4" s="169">
        <f>CdTrp1!W15</f>
        <v>39.975000000000001</v>
      </c>
      <c r="BR4" s="169">
        <f>CdTrp1!X15</f>
        <v>38.950000000000003</v>
      </c>
      <c r="BS4" s="169">
        <f>CdTrp1!Y15</f>
        <v>38.950000000000003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0</v>
      </c>
      <c r="M5" s="169">
        <f t="shared" si="0"/>
        <v>0</v>
      </c>
      <c r="N5" s="169">
        <f t="shared" si="0"/>
        <v>0</v>
      </c>
      <c r="O5" s="169">
        <f t="shared" si="0"/>
        <v>0</v>
      </c>
      <c r="P5" s="169">
        <f t="shared" si="0"/>
        <v>0</v>
      </c>
      <c r="Q5" s="169">
        <f t="shared" si="0"/>
        <v>0</v>
      </c>
      <c r="R5" s="169">
        <f t="shared" si="0"/>
        <v>0</v>
      </c>
      <c r="S5" s="169">
        <f t="shared" si="0"/>
        <v>0</v>
      </c>
      <c r="T5" s="169">
        <f t="shared" si="0"/>
        <v>0</v>
      </c>
      <c r="U5" s="169">
        <f t="shared" si="0"/>
        <v>0</v>
      </c>
      <c r="V5" s="169">
        <f t="shared" si="0"/>
        <v>0</v>
      </c>
      <c r="W5" s="169">
        <f t="shared" si="0"/>
        <v>0</v>
      </c>
      <c r="X5" s="169">
        <f t="shared" si="0"/>
        <v>0</v>
      </c>
      <c r="Y5" s="169">
        <f t="shared" si="0"/>
        <v>0</v>
      </c>
      <c r="Z5" s="169">
        <f t="shared" si="0"/>
        <v>0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laitiéres</v>
      </c>
      <c r="AU5" s="168"/>
      <c r="AV5" s="169">
        <f>CdTrp1!B16</f>
        <v>29.725000000000001</v>
      </c>
      <c r="AW5" s="169">
        <f>CdTrp1!C16</f>
        <v>29.725000000000001</v>
      </c>
      <c r="AX5" s="169">
        <f>CdTrp1!D16</f>
        <v>29.725000000000001</v>
      </c>
      <c r="AY5" s="169">
        <f>CdTrp1!E16</f>
        <v>29.725000000000001</v>
      </c>
      <c r="AZ5" s="169">
        <f>CdTrp1!F16</f>
        <v>29.725000000000001</v>
      </c>
      <c r="BA5" s="169">
        <f>CdTrp1!G16</f>
        <v>29.725000000000001</v>
      </c>
      <c r="BB5" s="169">
        <f>CdTrp1!H16</f>
        <v>29.725000000000001</v>
      </c>
      <c r="BC5" s="169">
        <f>CdTrp1!I16</f>
        <v>29.725000000000001</v>
      </c>
      <c r="BD5" s="169">
        <f>CdTrp1!J16</f>
        <v>29.725000000000001</v>
      </c>
      <c r="BE5" s="169">
        <f>CdTrp1!K16</f>
        <v>29.725000000000001</v>
      </c>
      <c r="BF5" s="169">
        <f>CdTrp1!L16</f>
        <v>29.725000000000001</v>
      </c>
      <c r="BG5" s="169">
        <f>CdTrp1!M16</f>
        <v>29.725000000000001</v>
      </c>
      <c r="BH5" s="169">
        <f>CdTrp1!N16</f>
        <v>29.725000000000001</v>
      </c>
      <c r="BI5" s="169">
        <f>CdTrp1!O16</f>
        <v>29.725000000000001</v>
      </c>
      <c r="BJ5" s="169">
        <f>CdTrp1!P16</f>
        <v>29.725000000000001</v>
      </c>
      <c r="BK5" s="169">
        <f>CdTrp1!Q16</f>
        <v>29.725000000000001</v>
      </c>
      <c r="BL5" s="169">
        <f>CdTrp1!R16</f>
        <v>29.725000000000001</v>
      </c>
      <c r="BM5" s="169">
        <f>CdTrp1!S16</f>
        <v>29.725000000000001</v>
      </c>
      <c r="BN5" s="169">
        <f>CdTrp1!T16</f>
        <v>29.725000000000001</v>
      </c>
      <c r="BO5" s="169">
        <f>CdTrp1!U16</f>
        <v>29.725000000000001</v>
      </c>
      <c r="BP5" s="169">
        <f>CdTrp1!V16</f>
        <v>29.725000000000001</v>
      </c>
      <c r="BQ5" s="169">
        <f>CdTrp1!W16</f>
        <v>29.725000000000001</v>
      </c>
      <c r="BR5" s="169">
        <f>CdTrp1!X16</f>
        <v>29.725000000000001</v>
      </c>
      <c r="BS5" s="169">
        <f>CdTrp1!Y16</f>
        <v>29.725000000000001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lot3</v>
      </c>
      <c r="AU6" s="168"/>
      <c r="AV6" s="169">
        <f>CdTrp1!B17</f>
        <v>0</v>
      </c>
      <c r="AW6" s="169">
        <f>CdTrp1!C17</f>
        <v>0</v>
      </c>
      <c r="AX6" s="169">
        <f>CdTrp1!D17</f>
        <v>0</v>
      </c>
      <c r="AY6" s="169">
        <f>CdTrp1!E17</f>
        <v>0</v>
      </c>
      <c r="AZ6" s="169">
        <f>CdTrp1!F17</f>
        <v>0</v>
      </c>
      <c r="BA6" s="169">
        <f>CdTrp1!G17</f>
        <v>0</v>
      </c>
      <c r="BB6" s="169">
        <f>CdTrp1!H17</f>
        <v>0</v>
      </c>
      <c r="BC6" s="169">
        <f>CdTrp1!I17</f>
        <v>0</v>
      </c>
      <c r="BD6" s="169">
        <f>CdTrp1!J17</f>
        <v>0</v>
      </c>
      <c r="BE6" s="169">
        <f>CdTrp1!K17</f>
        <v>0</v>
      </c>
      <c r="BF6" s="169">
        <f>CdTrp1!L17</f>
        <v>0</v>
      </c>
      <c r="BG6" s="169">
        <f>CdTrp1!M17</f>
        <v>0</v>
      </c>
      <c r="BH6" s="169">
        <f>CdTrp1!N17</f>
        <v>0</v>
      </c>
      <c r="BI6" s="169">
        <f>CdTrp1!O17</f>
        <v>0</v>
      </c>
      <c r="BJ6" s="169">
        <f>CdTrp1!P17</f>
        <v>0</v>
      </c>
      <c r="BK6" s="169">
        <f>CdTrp1!Q17</f>
        <v>0</v>
      </c>
      <c r="BL6" s="169">
        <f>CdTrp1!R17</f>
        <v>0</v>
      </c>
      <c r="BM6" s="169">
        <f>CdTrp1!S17</f>
        <v>0</v>
      </c>
      <c r="BN6" s="169">
        <f>CdTrp1!T17</f>
        <v>0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0</v>
      </c>
      <c r="BS6" s="169">
        <f>CdTrp1!Y17</f>
        <v>0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1326.9324250000004</v>
      </c>
      <c r="G9" s="30">
        <f>AV102</f>
        <v>55.718215000000001</v>
      </c>
      <c r="H9" s="30">
        <f t="shared" ref="H9:AD9" si="4">AW102</f>
        <v>55.718215000000001</v>
      </c>
      <c r="I9" s="30">
        <f t="shared" si="4"/>
        <v>55.718215000000001</v>
      </c>
      <c r="J9" s="30">
        <f t="shared" si="4"/>
        <v>55.718215000000001</v>
      </c>
      <c r="K9" s="30">
        <f t="shared" si="4"/>
        <v>55.718215000000001</v>
      </c>
      <c r="L9" s="30">
        <f t="shared" si="4"/>
        <v>55.718215000000001</v>
      </c>
      <c r="M9" s="30">
        <f t="shared" si="4"/>
        <v>55.478570000000005</v>
      </c>
      <c r="N9" s="30">
        <f t="shared" si="4"/>
        <v>55.238925000000002</v>
      </c>
      <c r="O9" s="30">
        <f t="shared" si="4"/>
        <v>54.999279999999999</v>
      </c>
      <c r="P9" s="30">
        <f t="shared" si="4"/>
        <v>54.51999</v>
      </c>
      <c r="Q9" s="30">
        <f t="shared" si="4"/>
        <v>54.040700000000001</v>
      </c>
      <c r="R9" s="30">
        <f t="shared" si="4"/>
        <v>53.801055000000005</v>
      </c>
      <c r="S9" s="30">
        <f t="shared" si="4"/>
        <v>53.801055000000005</v>
      </c>
      <c r="T9" s="30">
        <f t="shared" si="4"/>
        <v>53.801055000000005</v>
      </c>
      <c r="U9" s="30">
        <f t="shared" si="4"/>
        <v>54.51999</v>
      </c>
      <c r="V9" s="30">
        <f t="shared" si="4"/>
        <v>54.51999</v>
      </c>
      <c r="W9" s="30">
        <f t="shared" si="4"/>
        <v>55.718215000000001</v>
      </c>
      <c r="X9" s="30">
        <f t="shared" si="4"/>
        <v>56.197505</v>
      </c>
      <c r="Y9" s="30">
        <f t="shared" si="4"/>
        <v>56.197505</v>
      </c>
      <c r="Z9" s="30">
        <f t="shared" si="4"/>
        <v>56.197505</v>
      </c>
      <c r="AA9" s="30">
        <f t="shared" si="4"/>
        <v>56.197505</v>
      </c>
      <c r="AB9" s="30">
        <f t="shared" si="4"/>
        <v>55.957860000000004</v>
      </c>
      <c r="AC9" s="30">
        <f t="shared" si="4"/>
        <v>55.718215000000001</v>
      </c>
      <c r="AD9" s="30">
        <f t="shared" si="4"/>
        <v>55.718215000000001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1326.9324250000004</v>
      </c>
      <c r="G13" s="30">
        <f>SUM(G5:G11)</f>
        <v>55.718215000000001</v>
      </c>
      <c r="H13" s="30">
        <f t="shared" ref="H13:AD13" si="8">SUM(H5:H11)</f>
        <v>55.718215000000001</v>
      </c>
      <c r="I13" s="30">
        <f t="shared" si="8"/>
        <v>55.718215000000001</v>
      </c>
      <c r="J13" s="30">
        <f t="shared" si="8"/>
        <v>55.718215000000001</v>
      </c>
      <c r="K13" s="30">
        <f t="shared" si="8"/>
        <v>55.718215000000001</v>
      </c>
      <c r="L13" s="30">
        <f t="shared" si="8"/>
        <v>55.718215000000001</v>
      </c>
      <c r="M13" s="30">
        <f t="shared" si="8"/>
        <v>55.478570000000005</v>
      </c>
      <c r="N13" s="30">
        <f t="shared" si="8"/>
        <v>55.238925000000002</v>
      </c>
      <c r="O13" s="30">
        <f t="shared" si="8"/>
        <v>54.999279999999999</v>
      </c>
      <c r="P13" s="30">
        <f t="shared" si="8"/>
        <v>54.51999</v>
      </c>
      <c r="Q13" s="30">
        <f t="shared" si="8"/>
        <v>54.040700000000001</v>
      </c>
      <c r="R13" s="30">
        <f t="shared" si="8"/>
        <v>53.801055000000005</v>
      </c>
      <c r="S13" s="30">
        <f t="shared" si="8"/>
        <v>53.801055000000005</v>
      </c>
      <c r="T13" s="30">
        <f t="shared" si="8"/>
        <v>53.801055000000005</v>
      </c>
      <c r="U13" s="30">
        <f t="shared" si="8"/>
        <v>54.51999</v>
      </c>
      <c r="V13" s="30">
        <f t="shared" si="8"/>
        <v>54.51999</v>
      </c>
      <c r="W13" s="30">
        <f t="shared" si="8"/>
        <v>55.718215000000001</v>
      </c>
      <c r="X13" s="30">
        <f t="shared" si="8"/>
        <v>56.197505</v>
      </c>
      <c r="Y13" s="30">
        <f t="shared" si="8"/>
        <v>56.197505</v>
      </c>
      <c r="Z13" s="30">
        <f t="shared" si="8"/>
        <v>56.197505</v>
      </c>
      <c r="AA13" s="30">
        <f t="shared" si="8"/>
        <v>56.197505</v>
      </c>
      <c r="AB13" s="30">
        <f t="shared" si="8"/>
        <v>55.957860000000004</v>
      </c>
      <c r="AC13" s="30">
        <f t="shared" si="8"/>
        <v>55.718215000000001</v>
      </c>
      <c r="AD13" s="30">
        <f t="shared" si="8"/>
        <v>55.718215000000001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laitiéres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lot3</v>
      </c>
      <c r="AV17" s="169">
        <f t="shared" si="9"/>
        <v>0</v>
      </c>
      <c r="AW17" s="169">
        <f t="shared" si="9"/>
        <v>0</v>
      </c>
      <c r="AX17" s="169">
        <f t="shared" si="9"/>
        <v>0</v>
      </c>
      <c r="AY17" s="169">
        <f t="shared" si="9"/>
        <v>0</v>
      </c>
      <c r="AZ17" s="169">
        <f t="shared" si="9"/>
        <v>0</v>
      </c>
      <c r="BA17" s="169">
        <f t="shared" si="9"/>
        <v>0</v>
      </c>
      <c r="BB17" s="169">
        <f t="shared" si="9"/>
        <v>0</v>
      </c>
      <c r="BC17" s="169">
        <f t="shared" si="9"/>
        <v>0</v>
      </c>
      <c r="BD17" s="169">
        <f t="shared" si="9"/>
        <v>0</v>
      </c>
      <c r="BE17" s="169">
        <f t="shared" si="9"/>
        <v>0</v>
      </c>
      <c r="BF17" s="169">
        <f t="shared" si="9"/>
        <v>0</v>
      </c>
      <c r="BG17" s="169">
        <f t="shared" si="9"/>
        <v>0</v>
      </c>
      <c r="BH17" s="169">
        <f t="shared" si="9"/>
        <v>0</v>
      </c>
      <c r="BI17" s="169">
        <f t="shared" si="9"/>
        <v>0</v>
      </c>
      <c r="BJ17" s="169">
        <f t="shared" si="9"/>
        <v>0</v>
      </c>
      <c r="BK17" s="169">
        <f t="shared" si="9"/>
        <v>0</v>
      </c>
      <c r="BL17" s="169">
        <f t="shared" si="9"/>
        <v>0</v>
      </c>
      <c r="BM17" s="169">
        <f t="shared" si="9"/>
        <v>0</v>
      </c>
      <c r="BN17" s="169">
        <f t="shared" si="9"/>
        <v>0</v>
      </c>
      <c r="BO17" s="169">
        <f t="shared" si="9"/>
        <v>0</v>
      </c>
      <c r="BP17" s="169">
        <f t="shared" si="9"/>
        <v>0</v>
      </c>
      <c r="BQ17" s="169">
        <f t="shared" si="9"/>
        <v>0</v>
      </c>
      <c r="BR17" s="169">
        <f t="shared" si="9"/>
        <v>0</v>
      </c>
      <c r="BS17" s="169">
        <f t="shared" si="9"/>
        <v>0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laitiéres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lot3</v>
      </c>
      <c r="AU28" s="186">
        <f>Scénario!K98</f>
        <v>0</v>
      </c>
      <c r="AV28" s="169">
        <f t="shared" si="17"/>
        <v>0</v>
      </c>
      <c r="AW28" s="169">
        <f t="shared" si="17"/>
        <v>0</v>
      </c>
      <c r="AX28" s="169">
        <f t="shared" si="17"/>
        <v>0</v>
      </c>
      <c r="AY28" s="169">
        <f t="shared" si="17"/>
        <v>0</v>
      </c>
      <c r="AZ28" s="169">
        <f t="shared" si="17"/>
        <v>0</v>
      </c>
      <c r="BA28" s="169">
        <f t="shared" si="17"/>
        <v>0</v>
      </c>
      <c r="BB28" s="169">
        <f t="shared" si="17"/>
        <v>0</v>
      </c>
      <c r="BC28" s="169">
        <f t="shared" si="17"/>
        <v>0</v>
      </c>
      <c r="BD28" s="169">
        <f t="shared" si="17"/>
        <v>0</v>
      </c>
      <c r="BE28" s="169">
        <f t="shared" si="17"/>
        <v>0</v>
      </c>
      <c r="BF28" s="169">
        <f t="shared" si="17"/>
        <v>0</v>
      </c>
      <c r="BG28" s="169">
        <f t="shared" si="17"/>
        <v>0</v>
      </c>
      <c r="BH28" s="169">
        <f t="shared" si="17"/>
        <v>0</v>
      </c>
      <c r="BI28" s="169">
        <f t="shared" si="17"/>
        <v>0</v>
      </c>
      <c r="BJ28" s="169">
        <f t="shared" si="17"/>
        <v>0</v>
      </c>
      <c r="BK28" s="169">
        <f t="shared" si="17"/>
        <v>0</v>
      </c>
      <c r="BL28" s="169">
        <f t="shared" si="18"/>
        <v>0</v>
      </c>
      <c r="BM28" s="169">
        <f t="shared" si="18"/>
        <v>0</v>
      </c>
      <c r="BN28" s="169">
        <f t="shared" si="18"/>
        <v>0</v>
      </c>
      <c r="BO28" s="169">
        <f t="shared" si="18"/>
        <v>0</v>
      </c>
      <c r="BP28" s="169">
        <f t="shared" si="18"/>
        <v>0</v>
      </c>
      <c r="BQ28" s="169">
        <f t="shared" si="18"/>
        <v>0</v>
      </c>
      <c r="BR28" s="169">
        <f t="shared" si="18"/>
        <v>0</v>
      </c>
      <c r="BS28" s="169">
        <f t="shared" si="18"/>
        <v>0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38</v>
      </c>
      <c r="C31" s="184">
        <f>IF(B31&gt;0,VLOOKUP(Troupeau!B3,[1]Trav!$A$96:$B$99,2),0)</f>
        <v>360</v>
      </c>
      <c r="D31" s="168"/>
      <c r="E31" s="168"/>
      <c r="F31" s="169">
        <f>B31*C31/60</f>
        <v>228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38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3</v>
      </c>
      <c r="BA37" s="169">
        <f>IF(CdTrp1!G52=1,3,IF(CdTrp1!G52=0.5,2,IF(CdTrp1!G52=0,1,0)))</f>
        <v>3</v>
      </c>
      <c r="BB37" s="169">
        <f>IF(CdTrp1!H52=1,3,IF(CdTrp1!H52=0.5,2,IF(CdTrp1!H52=0,1,0)))</f>
        <v>3</v>
      </c>
      <c r="BC37" s="169">
        <f>IF(CdTrp1!I52=1,3,IF(CdTrp1!I52=0.5,2,IF(CdTrp1!I52=0,1,0)))</f>
        <v>3</v>
      </c>
      <c r="BD37" s="169">
        <f>IF(CdTrp1!J52=1,3,IF(CdTrp1!J52=0.5,2,IF(CdTrp1!J52=0,1,0)))</f>
        <v>3</v>
      </c>
      <c r="BE37" s="169">
        <f>IF(CdTrp1!K52=1,3,IF(CdTrp1!K52=0.5,2,IF(CdTrp1!K52=0,1,0)))</f>
        <v>3</v>
      </c>
      <c r="BF37" s="169">
        <f>IF(CdTrp1!L52=1,3,IF(CdTrp1!L52=0.5,2,IF(CdTrp1!L52=0,1,0)))</f>
        <v>3</v>
      </c>
      <c r="BG37" s="169">
        <f>IF(CdTrp1!M52=1,3,IF(CdTrp1!M52=0.5,2,IF(CdTrp1!M52=0,1,0)))</f>
        <v>3</v>
      </c>
      <c r="BH37" s="169">
        <f>IF(CdTrp1!N52=1,3,IF(CdTrp1!N52=0.5,2,IF(CdTrp1!N52=0,1,0)))</f>
        <v>3</v>
      </c>
      <c r="BI37" s="169">
        <f>IF(CdTrp1!O52=1,3,IF(CdTrp1!O52=0.5,2,IF(CdTrp1!O52=0,1,0)))</f>
        <v>3</v>
      </c>
      <c r="BJ37" s="169">
        <f>IF(CdTrp1!P52=1,3,IF(CdTrp1!P52=0.5,2,IF(CdTrp1!P52=0,1,0)))</f>
        <v>3</v>
      </c>
      <c r="BK37" s="169">
        <f>IF(CdTrp1!Q52=1,3,IF(CdTrp1!Q52=0.5,2,IF(CdTrp1!Q52=0,1,0)))</f>
        <v>3</v>
      </c>
      <c r="BL37" s="169">
        <f>IF(CdTrp1!R52=1,3,IF(CdTrp1!R52=0.5,2,IF(CdTrp1!R52=0,1,0)))</f>
        <v>3</v>
      </c>
      <c r="BM37" s="169">
        <f>IF(CdTrp1!S52=1,3,IF(CdTrp1!S52=0.5,2,IF(CdTrp1!S52=0,1,0)))</f>
        <v>3</v>
      </c>
      <c r="BN37" s="169">
        <f>IF(CdTrp1!T52=1,3,IF(CdTrp1!T52=0.5,2,IF(CdTrp1!T52=0,1,0)))</f>
        <v>3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laitiéres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3</v>
      </c>
      <c r="BC38" s="169">
        <f>IF(CdTrp1!I53=1,3,IF(CdTrp1!I53=0.5,2,IF(CdTrp1!I53=0,1,0)))</f>
        <v>3</v>
      </c>
      <c r="BD38" s="169">
        <f>IF(CdTrp1!J53=1,3,IF(CdTrp1!J53=0.5,2,IF(CdTrp1!J53=0,1,0)))</f>
        <v>3</v>
      </c>
      <c r="BE38" s="169">
        <f>IF(CdTrp1!K53=1,3,IF(CdTrp1!K53=0.5,2,IF(CdTrp1!K53=0,1,0)))</f>
        <v>3</v>
      </c>
      <c r="BF38" s="169">
        <f>IF(CdTrp1!L53=1,3,IF(CdTrp1!L53=0.5,2,IF(CdTrp1!L53=0,1,0)))</f>
        <v>3</v>
      </c>
      <c r="BG38" s="169">
        <f>IF(CdTrp1!M53=1,3,IF(CdTrp1!M53=0.5,2,IF(CdTrp1!M53=0,1,0)))</f>
        <v>3</v>
      </c>
      <c r="BH38" s="169">
        <f>IF(CdTrp1!N53=1,3,IF(CdTrp1!N53=0.5,2,IF(CdTrp1!N53=0,1,0)))</f>
        <v>3</v>
      </c>
      <c r="BI38" s="169">
        <f>IF(CdTrp1!O53=1,3,IF(CdTrp1!O53=0.5,2,IF(CdTrp1!O53=0,1,0)))</f>
        <v>3</v>
      </c>
      <c r="BJ38" s="169">
        <f>IF(CdTrp1!P53=1,3,IF(CdTrp1!P53=0.5,2,IF(CdTrp1!P53=0,1,0)))</f>
        <v>3</v>
      </c>
      <c r="BK38" s="169">
        <f>IF(CdTrp1!Q53=1,3,IF(CdTrp1!Q53=0.5,2,IF(CdTrp1!Q53=0,1,0)))</f>
        <v>3</v>
      </c>
      <c r="BL38" s="169">
        <f>IF(CdTrp1!R53=1,3,IF(CdTrp1!R53=0.5,2,IF(CdTrp1!R53=0,1,0)))</f>
        <v>3</v>
      </c>
      <c r="BM38" s="169">
        <f>IF(CdTrp1!S53=1,3,IF(CdTrp1!S53=0.5,2,IF(CdTrp1!S53=0,1,0)))</f>
        <v>3</v>
      </c>
      <c r="BN38" s="169">
        <f>IF(CdTrp1!T53=1,3,IF(CdTrp1!T53=0.5,2,IF(CdTrp1!T53=0,1,0)))</f>
        <v>3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lot3</v>
      </c>
      <c r="AU39" s="32"/>
      <c r="AV39" s="169">
        <f>IF(CdTrp1!B54=1,3,IF(CdTrp1!B54=0.5,2,IF(CdTrp1!B54=0,1,0)))</f>
        <v>1</v>
      </c>
      <c r="AW39" s="169">
        <f>IF(CdTrp1!C54=1,3,IF(CdTrp1!C54=0.5,2,IF(CdTrp1!C54=0,1,0)))</f>
        <v>1</v>
      </c>
      <c r="AX39" s="169">
        <f>IF(CdTrp1!D54=1,3,IF(CdTrp1!D54=0.5,2,IF(CdTrp1!D54=0,1,0)))</f>
        <v>1</v>
      </c>
      <c r="AY39" s="169">
        <f>IF(CdTrp1!E54=1,3,IF(CdTrp1!E54=0.5,2,IF(CdTrp1!E54=0,1,0)))</f>
        <v>1</v>
      </c>
      <c r="AZ39" s="169">
        <f>IF(CdTrp1!F54=1,3,IF(CdTrp1!F54=0.5,2,IF(CdTrp1!F54=0,1,0)))</f>
        <v>1</v>
      </c>
      <c r="BA39" s="169">
        <f>IF(CdTrp1!G54=1,3,IF(CdTrp1!G54=0.5,2,IF(CdTrp1!G54=0,1,0)))</f>
        <v>1</v>
      </c>
      <c r="BB39" s="169">
        <f>IF(CdTrp1!H54=1,3,IF(CdTrp1!H54=0.5,2,IF(CdTrp1!H54=0,1,0)))</f>
        <v>1</v>
      </c>
      <c r="BC39" s="169">
        <f>IF(CdTrp1!I54=1,3,IF(CdTrp1!I54=0.5,2,IF(CdTrp1!I54=0,1,0)))</f>
        <v>1</v>
      </c>
      <c r="BD39" s="169">
        <f>IF(CdTrp1!J54=1,3,IF(CdTrp1!J54=0.5,2,IF(CdTrp1!J54=0,1,0)))</f>
        <v>1</v>
      </c>
      <c r="BE39" s="169">
        <f>IF(CdTrp1!K54=1,3,IF(CdTrp1!K54=0.5,2,IF(CdTrp1!K54=0,1,0)))</f>
        <v>1</v>
      </c>
      <c r="BF39" s="169">
        <f>IF(CdTrp1!L54=1,3,IF(CdTrp1!L54=0.5,2,IF(CdTrp1!L54=0,1,0)))</f>
        <v>1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1</v>
      </c>
      <c r="BN39" s="169">
        <f>IF(CdTrp1!T54=1,3,IF(CdTrp1!T54=0.5,2,IF(CdTrp1!T54=0,1,0)))</f>
        <v>1</v>
      </c>
      <c r="BO39" s="169">
        <f>IF(CdTrp1!U54=1,3,IF(CdTrp1!U54=0.5,2,IF(CdTrp1!U54=0,1,0)))</f>
        <v>1</v>
      </c>
      <c r="BP39" s="169">
        <f>IF(CdTrp1!V54=1,3,IF(CdTrp1!V54=0.5,2,IF(CdTrp1!V54=0,1,0)))</f>
        <v>1</v>
      </c>
      <c r="BQ39" s="169">
        <f>IF(CdTrp1!W54=1,3,IF(CdTrp1!W54=0.5,2,IF(CdTrp1!W54=0,1,0)))</f>
        <v>1</v>
      </c>
      <c r="BR39" s="169">
        <f>IF(CdTrp1!X54=1,3,IF(CdTrp1!X54=0.5,2,IF(CdTrp1!X54=0,1,0)))</f>
        <v>1</v>
      </c>
      <c r="BS39" s="169">
        <f>IF(CdTrp1!Y54=1,3,IF(CdTrp1!Y54=0.5,2,IF(CdTrp1!Y54=0,1,0)))</f>
        <v>1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0</v>
      </c>
      <c r="BC48" s="169">
        <f>IF(CdTrp1!I76=1,1,IF(CdTrp1!I76=2,2,IF(CdTrp1!I76=3,2,0)))</f>
        <v>0</v>
      </c>
      <c r="BD48" s="169">
        <f>IF(CdTrp1!J76=1,1,IF(CdTrp1!J76=2,2,IF(CdTrp1!J76=3,2,0)))</f>
        <v>0</v>
      </c>
      <c r="BE48" s="169">
        <f>IF(CdTrp1!K76=1,1,IF(CdTrp1!K76=2,2,IF(CdTrp1!K76=3,2,0)))</f>
        <v>0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laitiéres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0</v>
      </c>
      <c r="BC49" s="169">
        <f>IF(CdTrp1!I77=1,1,IF(CdTrp1!I77=2,2,IF(CdTrp1!I77=3,2,0)))</f>
        <v>0</v>
      </c>
      <c r="BD49" s="169">
        <f>IF(CdTrp1!J77=1,1,IF(CdTrp1!J77=2,2,IF(CdTrp1!J77=3,2,0)))</f>
        <v>0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0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725</v>
      </c>
      <c r="AT50" s="183" t="str">
        <f t="shared" si="31"/>
        <v>lot3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13</v>
      </c>
      <c r="C51" s="184">
        <f>IF(B51&gt;[1]Trav!E117,[1]Trav!C117,[1]Trav!B117)</f>
        <v>15.7</v>
      </c>
      <c r="E51" s="168"/>
      <c r="F51" s="169">
        <f t="shared" ref="F51:F59" si="32">ROUND(B51*C51,0)</f>
        <v>204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2.25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2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33</v>
      </c>
      <c r="C54" s="184">
        <f>IF(B54&gt;[1]Trav!E119,[1]Trav!C119,[1]Trav!B119)</f>
        <v>1.4</v>
      </c>
      <c r="D54"/>
      <c r="E54" s="168"/>
      <c r="F54" s="169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33</v>
      </c>
      <c r="C55" s="184">
        <f>IF(B55&gt;[1]Trav!E121,[1]Trav!C121,[1]Trav!B121)</f>
        <v>7.2</v>
      </c>
      <c r="D55"/>
      <c r="E55" s="168"/>
      <c r="F55" s="169">
        <f t="shared" si="32"/>
        <v>238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33</v>
      </c>
      <c r="C56" s="184">
        <f>IF(B56&gt;[1]Trav!E121,[1]Trav!C121,[1]Trav!B121)</f>
        <v>7.2</v>
      </c>
      <c r="D56"/>
      <c r="E56" s="168"/>
      <c r="F56" s="169">
        <f t="shared" si="32"/>
        <v>238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3</v>
      </c>
      <c r="C57" s="184">
        <f>IF(B57&gt;[1]Trav!E121,[1]Trav!C121,[1]Trav!B121)</f>
        <v>7.2</v>
      </c>
      <c r="D57"/>
      <c r="E57" s="168"/>
      <c r="F57" s="169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0</v>
      </c>
      <c r="C58" s="184">
        <f>IF(B58&gt;[1]Trav!E122,[1]Trav!C122,[1]Trav!B122)</f>
        <v>4.4000000000000004</v>
      </c>
      <c r="E58" s="168"/>
      <c r="F58" s="169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3</v>
      </c>
      <c r="C59" s="184">
        <f>[1]Trav!$B$123</f>
        <v>7.2</v>
      </c>
      <c r="E59" s="168"/>
      <c r="F59" s="169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33</v>
      </c>
      <c r="BZ59" s="14" t="s">
        <v>774</v>
      </c>
      <c r="CA59" s="30">
        <f>VALUE(CONCATENATE(Scénario!K8,Travail!CA2))</f>
        <v>30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30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0</v>
      </c>
      <c r="BC60" s="169">
        <f>IF(BC15=0,0,IF(BC37=3,0,VALUE(CONCATENATE(Travail!BC26,Travail!BC37,Travail!BC48))))</f>
        <v>0</v>
      </c>
      <c r="BD60" s="169">
        <f>IF(BD15=0,0,IF(BD37=3,0,VALUE(CONCATENATE(Travail!BD26,Travail!BD37,Travail!BD48))))</f>
        <v>0</v>
      </c>
      <c r="BE60" s="169">
        <f>IF(BE15=0,0,IF(BE37=3,0,VALUE(CONCATENATE(Travail!BE26,Travail!BE37,Travail!BE48))))</f>
        <v>0</v>
      </c>
      <c r="BF60" s="169">
        <f>IF(BF15=0,0,IF(BF37=3,0,VALUE(CONCATENATE(Travail!BF26,Travail!BF37,Travail!BF48))))</f>
        <v>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laitiéres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0</v>
      </c>
      <c r="BC61" s="169">
        <f>IF(BC16=0,0,IF(BC38=3,0,VALUE(CONCATENATE(Travail!BC27,Travail!BC38,Travail!BC49))))</f>
        <v>0</v>
      </c>
      <c r="BD61" s="169">
        <f>IF(BD16=0,0,IF(BD38=3,0,VALUE(CONCATENATE(Travail!BD27,Travail!BD38,Travail!BD49))))</f>
        <v>0</v>
      </c>
      <c r="BE61" s="169">
        <f>IF(BE16=0,0,IF(BE38=3,0,VALUE(CONCATENATE(Travail!BE27,Travail!BE38,Travail!BE49))))</f>
        <v>0</v>
      </c>
      <c r="BF61" s="169">
        <f>IF(BF16=0,0,IF(BF38=3,0,VALUE(CONCATENATE(Travail!BF27,Travail!BF38,Travail!BF49))))</f>
        <v>0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0</v>
      </c>
      <c r="BN61" s="169">
        <f>IF(BN16=0,0,IF(BN38=3,0,VALUE(CONCATENATE(Travail!BN27,Travail!BN38,Travail!BN49))))</f>
        <v>0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lot3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23</v>
      </c>
      <c r="BA71" s="169">
        <f t="shared" si="36"/>
        <v>23</v>
      </c>
      <c r="BB71" s="169">
        <f t="shared" si="36"/>
        <v>23</v>
      </c>
      <c r="BC71" s="169">
        <f t="shared" si="36"/>
        <v>23</v>
      </c>
      <c r="BD71" s="169">
        <f t="shared" si="36"/>
        <v>23</v>
      </c>
      <c r="BE71" s="169">
        <f t="shared" si="36"/>
        <v>23</v>
      </c>
      <c r="BF71" s="169">
        <f t="shared" si="36"/>
        <v>23</v>
      </c>
      <c r="BG71" s="169">
        <f t="shared" si="36"/>
        <v>23</v>
      </c>
      <c r="BH71" s="169">
        <f t="shared" si="36"/>
        <v>23</v>
      </c>
      <c r="BI71" s="169">
        <f t="shared" si="36"/>
        <v>23</v>
      </c>
      <c r="BJ71" s="169">
        <f t="shared" si="36"/>
        <v>23</v>
      </c>
      <c r="BK71" s="169">
        <f t="shared" si="36"/>
        <v>23</v>
      </c>
      <c r="BL71" s="169">
        <f t="shared" si="36"/>
        <v>23</v>
      </c>
      <c r="BM71" s="169">
        <f t="shared" si="36"/>
        <v>23</v>
      </c>
      <c r="BN71" s="169">
        <f t="shared" si="36"/>
        <v>23</v>
      </c>
      <c r="BO71" s="169">
        <f t="shared" si="36"/>
        <v>23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40">AT61</f>
        <v>Génisses laitiéres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13</v>
      </c>
      <c r="BC72" s="169">
        <f t="shared" si="36"/>
        <v>13</v>
      </c>
      <c r="BD72" s="169">
        <f t="shared" si="36"/>
        <v>13</v>
      </c>
      <c r="BE72" s="169">
        <f t="shared" si="36"/>
        <v>13</v>
      </c>
      <c r="BF72" s="169">
        <f t="shared" si="36"/>
        <v>13</v>
      </c>
      <c r="BG72" s="169">
        <f t="shared" si="36"/>
        <v>13</v>
      </c>
      <c r="BH72" s="169">
        <f t="shared" si="36"/>
        <v>13</v>
      </c>
      <c r="BI72" s="169">
        <f t="shared" si="36"/>
        <v>13</v>
      </c>
      <c r="BJ72" s="169">
        <f t="shared" si="36"/>
        <v>13</v>
      </c>
      <c r="BK72" s="169">
        <f t="shared" si="36"/>
        <v>13</v>
      </c>
      <c r="BL72" s="169">
        <f t="shared" si="36"/>
        <v>13</v>
      </c>
      <c r="BM72" s="169">
        <f t="shared" si="36"/>
        <v>13</v>
      </c>
      <c r="BN72" s="169">
        <f t="shared" si="36"/>
        <v>13</v>
      </c>
      <c r="BO72" s="169">
        <f t="shared" si="36"/>
        <v>13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40"/>
        <v>lot3</v>
      </c>
      <c r="AV73" s="169">
        <f t="shared" si="36"/>
        <v>0</v>
      </c>
      <c r="AW73" s="169">
        <f t="shared" si="36"/>
        <v>0</v>
      </c>
      <c r="AX73" s="169">
        <f t="shared" si="36"/>
        <v>0</v>
      </c>
      <c r="AY73" s="169">
        <f t="shared" si="36"/>
        <v>0</v>
      </c>
      <c r="AZ73" s="169">
        <f t="shared" si="36"/>
        <v>0</v>
      </c>
      <c r="BA73" s="169">
        <f t="shared" si="36"/>
        <v>0</v>
      </c>
      <c r="BB73" s="169">
        <f t="shared" si="36"/>
        <v>0</v>
      </c>
      <c r="BC73" s="169">
        <f t="shared" si="36"/>
        <v>0</v>
      </c>
      <c r="BD73" s="169">
        <f t="shared" si="36"/>
        <v>0</v>
      </c>
      <c r="BE73" s="169">
        <f t="shared" si="36"/>
        <v>0</v>
      </c>
      <c r="BF73" s="169">
        <f t="shared" si="36"/>
        <v>0</v>
      </c>
      <c r="BG73" s="169">
        <f t="shared" si="36"/>
        <v>0</v>
      </c>
      <c r="BH73" s="169">
        <f t="shared" si="36"/>
        <v>0</v>
      </c>
      <c r="BI73" s="169">
        <f t="shared" si="36"/>
        <v>0</v>
      </c>
      <c r="BJ73" s="169">
        <f t="shared" si="36"/>
        <v>0</v>
      </c>
      <c r="BK73" s="169">
        <f t="shared" si="36"/>
        <v>0</v>
      </c>
      <c r="BL73" s="169">
        <f t="shared" si="36"/>
        <v>0</v>
      </c>
      <c r="BM73" s="169">
        <f t="shared" si="36"/>
        <v>0</v>
      </c>
      <c r="BN73" s="169">
        <f t="shared" si="36"/>
        <v>0</v>
      </c>
      <c r="BO73" s="169">
        <f t="shared" si="36"/>
        <v>0</v>
      </c>
      <c r="BP73" s="169">
        <f t="shared" si="36"/>
        <v>0</v>
      </c>
      <c r="BQ73" s="169">
        <f t="shared" si="36"/>
        <v>0</v>
      </c>
      <c r="BR73" s="169">
        <f t="shared" si="36"/>
        <v>0</v>
      </c>
      <c r="BS73" s="169">
        <f t="shared" si="36"/>
        <v>0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40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1398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1399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0.28999999999999998</v>
      </c>
      <c r="C81" s="184">
        <f>[1]Protect!$B$10</f>
        <v>4</v>
      </c>
      <c r="D81" s="168"/>
      <c r="E81" s="168"/>
      <c r="F81" s="169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1</v>
      </c>
      <c r="BB81" s="169">
        <f t="shared" si="44"/>
        <v>1</v>
      </c>
      <c r="BC81" s="169">
        <f t="shared" si="44"/>
        <v>1</v>
      </c>
      <c r="BD81" s="169">
        <f t="shared" si="44"/>
        <v>1</v>
      </c>
      <c r="BE81" s="169">
        <f t="shared" si="44"/>
        <v>1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1</v>
      </c>
      <c r="BF82" s="169">
        <f t="shared" si="47"/>
        <v>1</v>
      </c>
      <c r="BG82" s="169">
        <f t="shared" si="47"/>
        <v>1</v>
      </c>
      <c r="BH82" s="169">
        <f t="shared" si="47"/>
        <v>1</v>
      </c>
      <c r="BI82" s="169">
        <f t="shared" si="47"/>
        <v>1</v>
      </c>
      <c r="BJ82" s="169">
        <f t="shared" si="47"/>
        <v>1</v>
      </c>
      <c r="BK82" s="169">
        <f t="shared" si="47"/>
        <v>1</v>
      </c>
      <c r="BL82" s="169">
        <f t="shared" si="47"/>
        <v>1</v>
      </c>
      <c r="BM82" s="169">
        <f t="shared" si="47"/>
        <v>1</v>
      </c>
      <c r="BN82" s="169">
        <f t="shared" si="47"/>
        <v>1</v>
      </c>
      <c r="BO82" s="169">
        <f t="shared" si="47"/>
        <v>1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0</v>
      </c>
      <c r="BC83" s="169">
        <f t="shared" si="50"/>
        <v>0</v>
      </c>
      <c r="BD83" s="169">
        <f t="shared" si="50"/>
        <v>0</v>
      </c>
      <c r="BE83" s="169">
        <f t="shared" si="50"/>
        <v>0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0</v>
      </c>
      <c r="BF84" s="169">
        <f t="shared" si="53"/>
        <v>0</v>
      </c>
      <c r="BG84" s="169">
        <f t="shared" si="53"/>
        <v>0</v>
      </c>
      <c r="BH84" s="169">
        <f t="shared" si="53"/>
        <v>0</v>
      </c>
      <c r="BI84" s="169">
        <f t="shared" si="53"/>
        <v>0</v>
      </c>
      <c r="BJ84" s="169">
        <f t="shared" si="53"/>
        <v>0</v>
      </c>
      <c r="BK84" s="169">
        <f t="shared" si="53"/>
        <v>0</v>
      </c>
      <c r="BL84" s="169">
        <f t="shared" si="53"/>
        <v>0</v>
      </c>
      <c r="BM84" s="169">
        <f t="shared" si="53"/>
        <v>0</v>
      </c>
      <c r="BN84" s="169">
        <f t="shared" si="53"/>
        <v>0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38.950000000000003</v>
      </c>
      <c r="AW90" s="169">
        <f t="shared" si="60"/>
        <v>38.950000000000003</v>
      </c>
      <c r="AX90" s="169">
        <f t="shared" si="60"/>
        <v>38.950000000000003</v>
      </c>
      <c r="AY90" s="169">
        <f t="shared" si="60"/>
        <v>38.950000000000003</v>
      </c>
      <c r="AZ90" s="169">
        <f t="shared" si="60"/>
        <v>38.950000000000003</v>
      </c>
      <c r="BA90" s="169">
        <f t="shared" si="60"/>
        <v>38.950000000000003</v>
      </c>
      <c r="BB90" s="169">
        <f t="shared" si="60"/>
        <v>37.924999999999997</v>
      </c>
      <c r="BC90" s="169">
        <f t="shared" si="60"/>
        <v>36.9</v>
      </c>
      <c r="BD90" s="169">
        <f t="shared" si="60"/>
        <v>35.875</v>
      </c>
      <c r="BE90" s="169">
        <f t="shared" si="60"/>
        <v>33.825000000000003</v>
      </c>
      <c r="BF90" s="169">
        <f t="shared" si="60"/>
        <v>31.774999999999999</v>
      </c>
      <c r="BG90" s="169">
        <f t="shared" si="60"/>
        <v>30.75</v>
      </c>
      <c r="BH90" s="169">
        <f t="shared" si="60"/>
        <v>30.75</v>
      </c>
      <c r="BI90" s="169">
        <f t="shared" si="60"/>
        <v>30.75</v>
      </c>
      <c r="BJ90" s="169">
        <f t="shared" si="60"/>
        <v>33.825000000000003</v>
      </c>
      <c r="BK90" s="169">
        <f t="shared" si="60"/>
        <v>33.825000000000003</v>
      </c>
      <c r="BL90" s="169">
        <f t="shared" si="60"/>
        <v>38.950000000000003</v>
      </c>
      <c r="BM90" s="169">
        <f t="shared" si="60"/>
        <v>41</v>
      </c>
      <c r="BN90" s="169">
        <f t="shared" si="60"/>
        <v>41</v>
      </c>
      <c r="BO90" s="169">
        <f t="shared" si="60"/>
        <v>41</v>
      </c>
      <c r="BP90" s="169">
        <f t="shared" si="60"/>
        <v>41</v>
      </c>
      <c r="BQ90" s="169">
        <f t="shared" si="60"/>
        <v>39.975000000000001</v>
      </c>
      <c r="BR90" s="169">
        <f t="shared" si="60"/>
        <v>38.950000000000003</v>
      </c>
      <c r="BS90" s="169">
        <f t="shared" si="60"/>
        <v>38.950000000000003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1326.9324250000004</v>
      </c>
      <c r="C91" s="5"/>
      <c r="D91" s="196">
        <f>B91/Troupeau!$B$17</f>
        <v>32.364205487804888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laitiéres</v>
      </c>
      <c r="AV91" s="169">
        <f t="shared" si="60"/>
        <v>29.725000000000001</v>
      </c>
      <c r="AW91" s="169">
        <f t="shared" si="60"/>
        <v>29.725000000000001</v>
      </c>
      <c r="AX91" s="169">
        <f t="shared" si="60"/>
        <v>29.725000000000001</v>
      </c>
      <c r="AY91" s="169">
        <f t="shared" si="60"/>
        <v>29.725000000000001</v>
      </c>
      <c r="AZ91" s="169">
        <f t="shared" si="60"/>
        <v>29.725000000000001</v>
      </c>
      <c r="BA91" s="169">
        <f t="shared" si="60"/>
        <v>29.725000000000001</v>
      </c>
      <c r="BB91" s="169">
        <f t="shared" si="60"/>
        <v>29.725000000000001</v>
      </c>
      <c r="BC91" s="169">
        <f t="shared" si="60"/>
        <v>29.725000000000001</v>
      </c>
      <c r="BD91" s="169">
        <f t="shared" si="60"/>
        <v>29.725000000000001</v>
      </c>
      <c r="BE91" s="169">
        <f t="shared" si="60"/>
        <v>29.725000000000001</v>
      </c>
      <c r="BF91" s="169">
        <f t="shared" si="60"/>
        <v>29.725000000000001</v>
      </c>
      <c r="BG91" s="169">
        <f t="shared" si="60"/>
        <v>29.725000000000001</v>
      </c>
      <c r="BH91" s="169">
        <f t="shared" si="60"/>
        <v>29.725000000000001</v>
      </c>
      <c r="BI91" s="169">
        <f t="shared" si="60"/>
        <v>29.725000000000001</v>
      </c>
      <c r="BJ91" s="169">
        <f t="shared" si="60"/>
        <v>29.725000000000001</v>
      </c>
      <c r="BK91" s="169">
        <f t="shared" si="60"/>
        <v>29.725000000000001</v>
      </c>
      <c r="BL91" s="169">
        <f t="shared" si="60"/>
        <v>29.725000000000001</v>
      </c>
      <c r="BM91" s="169">
        <f t="shared" si="60"/>
        <v>29.725000000000001</v>
      </c>
      <c r="BN91" s="169">
        <f t="shared" si="60"/>
        <v>29.725000000000001</v>
      </c>
      <c r="BO91" s="169">
        <f t="shared" si="60"/>
        <v>29.725000000000001</v>
      </c>
      <c r="BP91" s="169">
        <f t="shared" si="60"/>
        <v>29.725000000000001</v>
      </c>
      <c r="BQ91" s="169">
        <f t="shared" si="60"/>
        <v>29.725000000000001</v>
      </c>
      <c r="BR91" s="169">
        <f t="shared" si="60"/>
        <v>29.725000000000001</v>
      </c>
      <c r="BS91" s="169">
        <f t="shared" si="60"/>
        <v>29.725000000000001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lot3</v>
      </c>
      <c r="AV92" s="169">
        <f t="shared" si="60"/>
        <v>0</v>
      </c>
      <c r="AW92" s="169">
        <f t="shared" si="60"/>
        <v>0</v>
      </c>
      <c r="AX92" s="169">
        <f t="shared" si="60"/>
        <v>0</v>
      </c>
      <c r="AY92" s="169">
        <f t="shared" si="60"/>
        <v>0</v>
      </c>
      <c r="AZ92" s="169">
        <f t="shared" si="60"/>
        <v>0</v>
      </c>
      <c r="BA92" s="169">
        <f t="shared" si="60"/>
        <v>0</v>
      </c>
      <c r="BB92" s="169">
        <f t="shared" si="60"/>
        <v>0</v>
      </c>
      <c r="BC92" s="169">
        <f t="shared" si="60"/>
        <v>0</v>
      </c>
      <c r="BD92" s="169">
        <f t="shared" si="60"/>
        <v>0</v>
      </c>
      <c r="BE92" s="169">
        <f t="shared" si="60"/>
        <v>0</v>
      </c>
      <c r="BF92" s="169">
        <f t="shared" si="60"/>
        <v>0</v>
      </c>
      <c r="BG92" s="169">
        <f t="shared" si="60"/>
        <v>0</v>
      </c>
      <c r="BH92" s="169">
        <f t="shared" si="60"/>
        <v>0</v>
      </c>
      <c r="BI92" s="169">
        <f t="shared" si="60"/>
        <v>0</v>
      </c>
      <c r="BJ92" s="169">
        <f t="shared" si="60"/>
        <v>0</v>
      </c>
      <c r="BK92" s="169">
        <f t="shared" si="60"/>
        <v>0</v>
      </c>
      <c r="BL92" s="169">
        <f t="shared" si="60"/>
        <v>0</v>
      </c>
      <c r="BM92" s="169">
        <f t="shared" si="60"/>
        <v>0</v>
      </c>
      <c r="BN92" s="169">
        <f t="shared" si="60"/>
        <v>0</v>
      </c>
      <c r="BO92" s="169">
        <f t="shared" si="60"/>
        <v>0</v>
      </c>
      <c r="BP92" s="169">
        <f t="shared" si="60"/>
        <v>0</v>
      </c>
      <c r="BQ92" s="169">
        <f t="shared" si="60"/>
        <v>0</v>
      </c>
      <c r="BR92" s="169">
        <f t="shared" si="60"/>
        <v>0</v>
      </c>
      <c r="BS92" s="169">
        <f t="shared" si="60"/>
        <v>0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1326.9324250000004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1140.5</v>
      </c>
      <c r="C99" s="5"/>
      <c r="D99" s="196">
        <f>B99/Troupeau!$B$17</f>
        <v>27.817073170731707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68.675000000000011</v>
      </c>
      <c r="AW99" s="62">
        <f t="shared" ref="AW99:BS99" si="68">SUM(AW90:AW98)</f>
        <v>68.675000000000011</v>
      </c>
      <c r="AX99" s="62">
        <f t="shared" si="68"/>
        <v>68.675000000000011</v>
      </c>
      <c r="AY99" s="62">
        <f t="shared" si="68"/>
        <v>68.675000000000011</v>
      </c>
      <c r="AZ99" s="62">
        <f t="shared" si="68"/>
        <v>68.675000000000011</v>
      </c>
      <c r="BA99" s="62">
        <f t="shared" si="68"/>
        <v>68.675000000000011</v>
      </c>
      <c r="BB99" s="62">
        <f t="shared" si="68"/>
        <v>67.650000000000006</v>
      </c>
      <c r="BC99" s="62">
        <f t="shared" si="68"/>
        <v>66.625</v>
      </c>
      <c r="BD99" s="62">
        <f t="shared" si="68"/>
        <v>65.599999999999994</v>
      </c>
      <c r="BE99" s="62">
        <f t="shared" si="68"/>
        <v>63.550000000000004</v>
      </c>
      <c r="BF99" s="62">
        <f t="shared" si="68"/>
        <v>61.5</v>
      </c>
      <c r="BG99" s="62">
        <f t="shared" si="68"/>
        <v>60.475000000000001</v>
      </c>
      <c r="BH99" s="62">
        <f t="shared" si="68"/>
        <v>60.475000000000001</v>
      </c>
      <c r="BI99" s="62">
        <f t="shared" si="68"/>
        <v>60.475000000000001</v>
      </c>
      <c r="BJ99" s="62">
        <f t="shared" si="68"/>
        <v>63.550000000000004</v>
      </c>
      <c r="BK99" s="62">
        <f t="shared" si="68"/>
        <v>63.550000000000004</v>
      </c>
      <c r="BL99" s="62">
        <f t="shared" si="68"/>
        <v>68.675000000000011</v>
      </c>
      <c r="BM99" s="62">
        <f t="shared" si="68"/>
        <v>70.724999999999994</v>
      </c>
      <c r="BN99" s="62">
        <f t="shared" si="68"/>
        <v>70.724999999999994</v>
      </c>
      <c r="BO99" s="62">
        <f t="shared" si="68"/>
        <v>70.724999999999994</v>
      </c>
      <c r="BP99" s="62">
        <f t="shared" si="68"/>
        <v>70.724999999999994</v>
      </c>
      <c r="BQ99" s="62">
        <f t="shared" si="68"/>
        <v>69.7</v>
      </c>
      <c r="BR99" s="62">
        <f t="shared" si="68"/>
        <v>68.675000000000011</v>
      </c>
      <c r="BS99" s="62">
        <f t="shared" si="68"/>
        <v>68.675000000000011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6.8675000000000015</v>
      </c>
      <c r="AW100" s="169">
        <f t="shared" ref="AW100:BS100" si="71">IF($AT$2="OL",AW99/50,AW99/10)</f>
        <v>6.8675000000000015</v>
      </c>
      <c r="AX100" s="169">
        <f t="shared" si="71"/>
        <v>6.8675000000000015</v>
      </c>
      <c r="AY100" s="169">
        <f t="shared" si="71"/>
        <v>6.8675000000000015</v>
      </c>
      <c r="AZ100" s="169">
        <f t="shared" si="71"/>
        <v>6.8675000000000015</v>
      </c>
      <c r="BA100" s="169">
        <f t="shared" si="71"/>
        <v>6.8675000000000015</v>
      </c>
      <c r="BB100" s="169">
        <f t="shared" si="71"/>
        <v>6.7650000000000006</v>
      </c>
      <c r="BC100" s="169">
        <f t="shared" si="71"/>
        <v>6.6624999999999996</v>
      </c>
      <c r="BD100" s="169">
        <f t="shared" si="71"/>
        <v>6.56</v>
      </c>
      <c r="BE100" s="169">
        <f t="shared" si="71"/>
        <v>6.3550000000000004</v>
      </c>
      <c r="BF100" s="169">
        <f t="shared" si="71"/>
        <v>6.15</v>
      </c>
      <c r="BG100" s="169">
        <f t="shared" si="71"/>
        <v>6.0475000000000003</v>
      </c>
      <c r="BH100" s="169">
        <f t="shared" si="71"/>
        <v>6.0475000000000003</v>
      </c>
      <c r="BI100" s="169">
        <f t="shared" si="71"/>
        <v>6.0475000000000003</v>
      </c>
      <c r="BJ100" s="169">
        <f t="shared" si="71"/>
        <v>6.3550000000000004</v>
      </c>
      <c r="BK100" s="169">
        <f t="shared" si="71"/>
        <v>6.3550000000000004</v>
      </c>
      <c r="BL100" s="169">
        <f t="shared" si="71"/>
        <v>6.8675000000000015</v>
      </c>
      <c r="BM100" s="169">
        <f t="shared" si="71"/>
        <v>7.0724999999999998</v>
      </c>
      <c r="BN100" s="169">
        <f t="shared" si="71"/>
        <v>7.0724999999999998</v>
      </c>
      <c r="BO100" s="169">
        <f t="shared" si="71"/>
        <v>7.0724999999999998</v>
      </c>
      <c r="BP100" s="169">
        <f t="shared" si="71"/>
        <v>7.0724999999999998</v>
      </c>
      <c r="BQ100" s="169">
        <f t="shared" si="71"/>
        <v>6.9700000000000006</v>
      </c>
      <c r="BR100" s="169">
        <f t="shared" si="71"/>
        <v>6.8675000000000015</v>
      </c>
      <c r="BS100" s="169">
        <f t="shared" si="71"/>
        <v>6.8675000000000015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5.8675000000000015</v>
      </c>
      <c r="AW101" s="169">
        <f t="shared" ref="AW101:BS101" si="74">IF(AW100&gt;1,AW100-1,0)</f>
        <v>5.8675000000000015</v>
      </c>
      <c r="AX101" s="169">
        <f t="shared" si="74"/>
        <v>5.8675000000000015</v>
      </c>
      <c r="AY101" s="169">
        <f t="shared" si="74"/>
        <v>5.8675000000000015</v>
      </c>
      <c r="AZ101" s="169">
        <f t="shared" si="74"/>
        <v>5.8675000000000015</v>
      </c>
      <c r="BA101" s="169">
        <f t="shared" si="74"/>
        <v>5.8675000000000015</v>
      </c>
      <c r="BB101" s="169">
        <f t="shared" si="74"/>
        <v>5.7650000000000006</v>
      </c>
      <c r="BC101" s="169">
        <f t="shared" si="74"/>
        <v>5.6624999999999996</v>
      </c>
      <c r="BD101" s="169">
        <f t="shared" si="74"/>
        <v>5.56</v>
      </c>
      <c r="BE101" s="169">
        <f t="shared" si="74"/>
        <v>5.3550000000000004</v>
      </c>
      <c r="BF101" s="169">
        <f t="shared" si="74"/>
        <v>5.15</v>
      </c>
      <c r="BG101" s="169">
        <f t="shared" si="74"/>
        <v>5.0475000000000003</v>
      </c>
      <c r="BH101" s="169">
        <f t="shared" si="74"/>
        <v>5.0475000000000003</v>
      </c>
      <c r="BI101" s="169">
        <f t="shared" si="74"/>
        <v>5.0475000000000003</v>
      </c>
      <c r="BJ101" s="169">
        <f t="shared" si="74"/>
        <v>5.3550000000000004</v>
      </c>
      <c r="BK101" s="169">
        <f t="shared" si="74"/>
        <v>5.3550000000000004</v>
      </c>
      <c r="BL101" s="169">
        <f t="shared" si="74"/>
        <v>5.8675000000000015</v>
      </c>
      <c r="BM101" s="169">
        <f t="shared" si="74"/>
        <v>6.0724999999999998</v>
      </c>
      <c r="BN101" s="169">
        <f t="shared" si="74"/>
        <v>6.0724999999999998</v>
      </c>
      <c r="BO101" s="169">
        <f t="shared" si="74"/>
        <v>6.0724999999999998</v>
      </c>
      <c r="BP101" s="169">
        <f t="shared" si="74"/>
        <v>6.0724999999999998</v>
      </c>
      <c r="BQ101" s="169">
        <f t="shared" si="74"/>
        <v>5.9700000000000006</v>
      </c>
      <c r="BR101" s="169">
        <f t="shared" si="74"/>
        <v>5.8675000000000015</v>
      </c>
      <c r="BS101" s="169">
        <f t="shared" si="74"/>
        <v>5.8675000000000015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1140.5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55.718215000000001</v>
      </c>
      <c r="AW102" s="62">
        <f t="shared" ref="AW102:BS102" si="77">AW86+AW87*AW101</f>
        <v>55.718215000000001</v>
      </c>
      <c r="AX102" s="62">
        <f t="shared" si="77"/>
        <v>55.718215000000001</v>
      </c>
      <c r="AY102" s="62">
        <f t="shared" si="77"/>
        <v>55.718215000000001</v>
      </c>
      <c r="AZ102" s="62">
        <f t="shared" si="77"/>
        <v>55.718215000000001</v>
      </c>
      <c r="BA102" s="62">
        <f t="shared" si="77"/>
        <v>55.718215000000001</v>
      </c>
      <c r="BB102" s="62">
        <f t="shared" si="77"/>
        <v>55.478570000000005</v>
      </c>
      <c r="BC102" s="62">
        <f t="shared" si="77"/>
        <v>55.238925000000002</v>
      </c>
      <c r="BD102" s="62">
        <f t="shared" si="77"/>
        <v>54.999279999999999</v>
      </c>
      <c r="BE102" s="62">
        <f t="shared" si="77"/>
        <v>54.51999</v>
      </c>
      <c r="BF102" s="62">
        <f t="shared" si="77"/>
        <v>54.040700000000001</v>
      </c>
      <c r="BG102" s="62">
        <f t="shared" si="77"/>
        <v>53.801055000000005</v>
      </c>
      <c r="BH102" s="62">
        <f t="shared" si="77"/>
        <v>53.801055000000005</v>
      </c>
      <c r="BI102" s="62">
        <f t="shared" si="77"/>
        <v>53.801055000000005</v>
      </c>
      <c r="BJ102" s="62">
        <f t="shared" si="77"/>
        <v>54.51999</v>
      </c>
      <c r="BK102" s="62">
        <f t="shared" si="77"/>
        <v>54.51999</v>
      </c>
      <c r="BL102" s="62">
        <f t="shared" si="77"/>
        <v>55.718215000000001</v>
      </c>
      <c r="BM102" s="62">
        <f t="shared" si="77"/>
        <v>56.197505</v>
      </c>
      <c r="BN102" s="62">
        <f t="shared" si="77"/>
        <v>56.197505</v>
      </c>
      <c r="BO102" s="62">
        <f t="shared" si="77"/>
        <v>56.197505</v>
      </c>
      <c r="BP102" s="62">
        <f t="shared" si="77"/>
        <v>56.197505</v>
      </c>
      <c r="BQ102" s="62">
        <f t="shared" si="77"/>
        <v>55.957860000000004</v>
      </c>
      <c r="BR102" s="62">
        <f t="shared" si="77"/>
        <v>55.718215000000001</v>
      </c>
      <c r="BS102" s="62">
        <f t="shared" si="77"/>
        <v>55.718215000000001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12</v>
      </c>
      <c r="BZ105" s="147" t="s">
        <v>832</v>
      </c>
      <c r="CA105" s="17">
        <f>VLOOKUP(CA59,[1]Trav!$B$12:$C$31,2)</f>
        <v>9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9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0</v>
      </c>
      <c r="BC106" s="184">
        <f>IF(BC60&gt;0,HLOOKUP(BC60,[1]Trav!$C$11:$O$31,$AU$105),0)</f>
        <v>0</v>
      </c>
      <c r="BD106" s="184">
        <f>IF(BD60&gt;0,HLOOKUP(BD60,[1]Trav!$C$11:$O$31,$AU$105),0)</f>
        <v>0</v>
      </c>
      <c r="BE106" s="184">
        <f>IF(BE60&gt;0,HLOOKUP(BE60,[1]Trav!$C$11:$O$31,$AU$105),0)</f>
        <v>0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laitiéres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0</v>
      </c>
      <c r="BC107" s="184">
        <f>IF(BC61&gt;0,HLOOKUP(BC61,[1]Trav!$C$11:$O$31,$AU$105),0)</f>
        <v>0</v>
      </c>
      <c r="BD107" s="184">
        <f>IF(BD61&gt;0,HLOOKUP(BD61,[1]Trav!$C$11:$O$31,$AU$105),0)</f>
        <v>0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0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772</v>
      </c>
      <c r="D108" s="191"/>
      <c r="AT108" s="183" t="str">
        <f t="shared" si="80"/>
        <v>lot3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9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0</v>
      </c>
      <c r="BB117" s="169">
        <f t="shared" si="83"/>
        <v>0</v>
      </c>
      <c r="BC117" s="169">
        <f t="shared" si="83"/>
        <v>0</v>
      </c>
      <c r="BD117" s="169">
        <f t="shared" si="83"/>
        <v>0</v>
      </c>
      <c r="BE117" s="169">
        <f t="shared" si="83"/>
        <v>0</v>
      </c>
      <c r="BF117" s="169">
        <f t="shared" si="83"/>
        <v>0</v>
      </c>
      <c r="BG117" s="169">
        <f t="shared" si="83"/>
        <v>0</v>
      </c>
      <c r="BH117" s="169">
        <f t="shared" si="83"/>
        <v>0</v>
      </c>
      <c r="BI117" s="169">
        <f t="shared" si="83"/>
        <v>0</v>
      </c>
      <c r="BJ117" s="169">
        <f t="shared" si="83"/>
        <v>0</v>
      </c>
      <c r="BK117" s="169">
        <f t="shared" si="83"/>
        <v>0</v>
      </c>
      <c r="BL117" s="169">
        <f t="shared" si="83"/>
        <v>0</v>
      </c>
      <c r="BM117" s="169">
        <f t="shared" si="83"/>
        <v>0</v>
      </c>
      <c r="BN117" s="169">
        <f t="shared" si="83"/>
        <v>0</v>
      </c>
      <c r="BO117" s="169">
        <f t="shared" si="83"/>
        <v>0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2467.4324250000004</v>
      </c>
      <c r="D118" s="196">
        <f>B118/Troupeau!$B$17</f>
        <v>60.181278658536598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2467.4324250000004</v>
      </c>
    </row>
    <row r="123" spans="1:132" x14ac:dyDescent="0.25">
      <c r="A123" s="2" t="s">
        <v>835</v>
      </c>
      <c r="B123" s="30">
        <f>B108</f>
        <v>772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9</v>
      </c>
    </row>
    <row r="128" spans="1:132" x14ac:dyDescent="0.25">
      <c r="A128" s="2" t="s">
        <v>852</v>
      </c>
      <c r="B128" s="195">
        <f>SUM(B122:B126)</f>
        <v>3688.4324250000004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2459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5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361988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131402</v>
      </c>
      <c r="K5" s="169">
        <f>ROUND(B5*F5/1000,0)</f>
        <v>131402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361988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17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1581</v>
      </c>
      <c r="K9" s="169">
        <f>ROUND(B9*F9,0)</f>
        <v>1581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5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306</v>
      </c>
      <c r="K10" s="169">
        <f t="shared" ref="K10:K16" si="7">ROUND(B10*F10,0)</f>
        <v>306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12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12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12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9188</v>
      </c>
      <c r="K14" s="169">
        <f t="shared" si="7"/>
        <v>9188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-9.4</v>
      </c>
      <c r="S16" s="5">
        <f>IF(R16&gt;0,R16,0)</f>
        <v>0</v>
      </c>
      <c r="T16" s="5">
        <f>IF(R16&lt;0,-R16,0)</f>
        <v>9.4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0</v>
      </c>
      <c r="AD18" s="169">
        <f>'Alim -Surf'!K13</f>
        <v>-9.4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0</v>
      </c>
      <c r="AD19" s="169">
        <f>'Alim -Surf'!K14</f>
        <v>0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41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41</v>
      </c>
      <c r="W29" s="14" t="s">
        <v>441</v>
      </c>
      <c r="X29" s="169">
        <f>V29/$T$25</f>
        <v>41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2310</v>
      </c>
    </row>
    <row r="30" spans="1:143" x14ac:dyDescent="0.25">
      <c r="A30" s="15" t="s">
        <v>932</v>
      </c>
      <c r="B30" s="168"/>
      <c r="C30" s="169">
        <f>IF('Alim -Surf'!K27&gt;0,'Alim -Surf'!K27,0)</f>
        <v>4.4000000000000057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594.0000000000008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2310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 t="str">
        <f>Scénario!K9</f>
        <v>M2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 t="str">
        <f>IF(Y53&gt;50,CONCATENATE(Z35,"O"),Z35)</f>
        <v>M2</v>
      </c>
      <c r="AA36" s="5"/>
      <c r="AB36" s="14" t="s">
        <v>945</v>
      </c>
      <c r="AC36" s="184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-Surf'!E34:E43)-'Alim -Surf'!E34</f>
        <v>13</v>
      </c>
      <c r="U38" s="169">
        <v>1</v>
      </c>
      <c r="V38" s="169">
        <f>T38*U38</f>
        <v>13</v>
      </c>
      <c r="Y38" s="14" t="s">
        <v>954</v>
      </c>
      <c r="Z38" s="30">
        <f>V46</f>
        <v>47.8</v>
      </c>
      <c r="AA38" s="14" t="s">
        <v>955</v>
      </c>
      <c r="AB38" s="169">
        <f>IF(Z39&gt;25, 25,Z39)</f>
        <v>25</v>
      </c>
      <c r="AC38" s="169">
        <f>AC40+AC36</f>
        <v>293</v>
      </c>
      <c r="AD38" s="169">
        <f>AB38*AC38</f>
        <v>7325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33</v>
      </c>
      <c r="U39" s="169">
        <f>[1]Eco!$B$20/100</f>
        <v>1</v>
      </c>
      <c r="V39" s="169">
        <f t="shared" ref="V39:V41" si="18">T39*U39</f>
        <v>33</v>
      </c>
      <c r="Y39" s="14" t="s">
        <v>957</v>
      </c>
      <c r="Z39" s="30">
        <f>Z38/T25</f>
        <v>47.8</v>
      </c>
      <c r="AA39" s="14" t="s">
        <v>958</v>
      </c>
      <c r="AB39" s="169">
        <f>IF(Z39&gt;50,25,IF(Z39&gt;25,Z39-25,0))</f>
        <v>22.799999999999997</v>
      </c>
      <c r="AC39" s="169">
        <f>AC40+0.66*AC36</f>
        <v>217.18</v>
      </c>
      <c r="AD39" s="169">
        <f t="shared" ref="AD39:AD40" si="19">AB39*AC39</f>
        <v>4951.7039999999997</v>
      </c>
    </row>
    <row r="40" spans="1:143" x14ac:dyDescent="0.25">
      <c r="A40" t="s">
        <v>537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0</v>
      </c>
      <c r="AC40" s="184">
        <f>[1]Eco!$B$34</f>
        <v>70</v>
      </c>
      <c r="AD40" s="169">
        <f t="shared" si="19"/>
        <v>0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3</v>
      </c>
      <c r="U41" s="169">
        <f>[1]Eco!$B$22/100</f>
        <v>0.6</v>
      </c>
      <c r="V41" s="169">
        <f t="shared" si="18"/>
        <v>1.7999999999999998</v>
      </c>
      <c r="AC41" s="40" t="s">
        <v>928</v>
      </c>
      <c r="AD41" s="62">
        <f>SUM(AD38:AD40)*T25</f>
        <v>12276.704</v>
      </c>
    </row>
    <row r="42" spans="1:143" x14ac:dyDescent="0.25">
      <c r="A42" t="s">
        <v>961</v>
      </c>
      <c r="B42" s="30">
        <f>V46</f>
        <v>47.8</v>
      </c>
      <c r="C42" s="209">
        <f>[1]Eco!$B$24</f>
        <v>97</v>
      </c>
      <c r="J42" s="169">
        <f>B42*C42</f>
        <v>4636.5999999999995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47.8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2342.1999999999998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47.8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3202.6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47.8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12276.704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47.8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38.950000000000003</v>
      </c>
      <c r="AI47" s="215">
        <f>CdTrp1!C39</f>
        <v>38.950000000000003</v>
      </c>
      <c r="AJ47" s="215">
        <f>CdTrp1!D39</f>
        <v>38.950000000000003</v>
      </c>
      <c r="AK47" s="215">
        <f>CdTrp1!E39</f>
        <v>38.950000000000003</v>
      </c>
      <c r="AL47" s="215">
        <f>CdTrp1!F39</f>
        <v>38.950000000000003</v>
      </c>
      <c r="AM47" s="215">
        <f>CdTrp1!G39</f>
        <v>38.950000000000003</v>
      </c>
      <c r="AN47" s="215">
        <f>CdTrp1!H39</f>
        <v>37.924999999999997</v>
      </c>
      <c r="AO47" s="215">
        <f>CdTrp1!I39</f>
        <v>36.9</v>
      </c>
      <c r="AP47" s="215">
        <f>CdTrp1!J39</f>
        <v>35.875</v>
      </c>
      <c r="AQ47" s="215">
        <f>CdTrp1!K39</f>
        <v>33.825000000000003</v>
      </c>
      <c r="AR47" s="215">
        <f>CdTrp1!L39</f>
        <v>31.774999999999999</v>
      </c>
      <c r="AS47" s="215">
        <f>CdTrp1!M39</f>
        <v>30.75</v>
      </c>
      <c r="AT47" s="215">
        <f>CdTrp1!N39</f>
        <v>30.75</v>
      </c>
      <c r="AU47" s="215">
        <f>CdTrp1!O39</f>
        <v>30.75</v>
      </c>
      <c r="AV47" s="215">
        <f>CdTrp1!P39</f>
        <v>33.825000000000003</v>
      </c>
      <c r="AW47" s="215">
        <f>CdTrp1!Q39</f>
        <v>33.825000000000003</v>
      </c>
      <c r="AX47" s="215">
        <f>CdTrp1!R39</f>
        <v>38.950000000000003</v>
      </c>
      <c r="AY47" s="215">
        <f>CdTrp1!S39</f>
        <v>41</v>
      </c>
      <c r="AZ47" s="215">
        <f>CdTrp1!T39</f>
        <v>41</v>
      </c>
      <c r="BA47" s="215">
        <f>CdTrp1!U39</f>
        <v>41</v>
      </c>
      <c r="BB47" s="215">
        <f>CdTrp1!V39</f>
        <v>41</v>
      </c>
      <c r="BC47" s="215">
        <f>CdTrp1!W39</f>
        <v>39.975000000000001</v>
      </c>
      <c r="BD47" s="215">
        <f>CdTrp1!X39</f>
        <v>38.950000000000003</v>
      </c>
      <c r="BE47" s="215">
        <f>CdTrp1!Y39</f>
        <v>38.950000000000003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167839.10400000002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54.2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54.2</v>
      </c>
      <c r="AD48" s="211"/>
      <c r="AE48" s="211"/>
      <c r="AF48" s="211"/>
      <c r="AG48" s="267" t="str">
        <f>CdTrp1!A40</f>
        <v>Génisses laitiéres</v>
      </c>
      <c r="AH48" s="215">
        <f>CdTrp1!B40</f>
        <v>17.373750000000001</v>
      </c>
      <c r="AI48" s="215">
        <f>CdTrp1!C40</f>
        <v>17.373750000000001</v>
      </c>
      <c r="AJ48" s="215">
        <f>CdTrp1!D40</f>
        <v>17.373750000000001</v>
      </c>
      <c r="AK48" s="215">
        <f>CdTrp1!E40</f>
        <v>17.373750000000001</v>
      </c>
      <c r="AL48" s="215">
        <f>CdTrp1!F40</f>
        <v>17.373750000000001</v>
      </c>
      <c r="AM48" s="215">
        <f>CdTrp1!G40</f>
        <v>17.373750000000001</v>
      </c>
      <c r="AN48" s="215">
        <f>CdTrp1!H40</f>
        <v>17.373750000000001</v>
      </c>
      <c r="AO48" s="215">
        <f>CdTrp1!I40</f>
        <v>17.373750000000001</v>
      </c>
      <c r="AP48" s="215">
        <f>CdTrp1!J40</f>
        <v>17.373750000000001</v>
      </c>
      <c r="AQ48" s="215">
        <f>CdTrp1!K40</f>
        <v>17.373750000000001</v>
      </c>
      <c r="AR48" s="215">
        <f>CdTrp1!L40</f>
        <v>17.373750000000001</v>
      </c>
      <c r="AS48" s="215">
        <f>CdTrp1!M40</f>
        <v>17.373750000000001</v>
      </c>
      <c r="AT48" s="215">
        <f>CdTrp1!N40</f>
        <v>17.373750000000001</v>
      </c>
      <c r="AU48" s="215">
        <f>CdTrp1!O40</f>
        <v>17.373750000000001</v>
      </c>
      <c r="AV48" s="215">
        <f>CdTrp1!P40</f>
        <v>17.373750000000001</v>
      </c>
      <c r="AW48" s="215">
        <f>CdTrp1!Q40</f>
        <v>17.373750000000001</v>
      </c>
      <c r="AX48" s="215">
        <f>CdTrp1!R40</f>
        <v>17.373750000000001</v>
      </c>
      <c r="AY48" s="215">
        <f>CdTrp1!S40</f>
        <v>17.373750000000001</v>
      </c>
      <c r="AZ48" s="215">
        <f>CdTrp1!T40</f>
        <v>17.373750000000001</v>
      </c>
      <c r="BA48" s="215">
        <f>CdTrp1!U40</f>
        <v>17.373750000000001</v>
      </c>
      <c r="BB48" s="215">
        <f>CdTrp1!V40</f>
        <v>17.373750000000001</v>
      </c>
      <c r="BC48" s="215">
        <f>CdTrp1!W40</f>
        <v>17.373750000000001</v>
      </c>
      <c r="BD48" s="215">
        <f>CdTrp1!X40</f>
        <v>17.373750000000001</v>
      </c>
      <c r="BE48" s="215">
        <f>CdTrp1!Y40</f>
        <v>17.373750000000001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lot3</v>
      </c>
      <c r="AH49" s="215">
        <f>CdTrp1!B41</f>
        <v>0</v>
      </c>
      <c r="AI49" s="215">
        <f>CdTrp1!C41</f>
        <v>0</v>
      </c>
      <c r="AJ49" s="215">
        <f>CdTrp1!D41</f>
        <v>0</v>
      </c>
      <c r="AK49" s="215">
        <f>CdTrp1!E41</f>
        <v>0</v>
      </c>
      <c r="AL49" s="215">
        <f>CdTrp1!F41</f>
        <v>0</v>
      </c>
      <c r="AM49" s="215">
        <f>CdTrp1!G41</f>
        <v>0</v>
      </c>
      <c r="AN49" s="215">
        <f>CdTrp1!H41</f>
        <v>0</v>
      </c>
      <c r="AO49" s="215">
        <f>CdTrp1!I41</f>
        <v>0</v>
      </c>
      <c r="AP49" s="215">
        <f>CdTrp1!J41</f>
        <v>0</v>
      </c>
      <c r="AQ49" s="215">
        <f>CdTrp1!K41</f>
        <v>0</v>
      </c>
      <c r="AR49" s="215">
        <f>CdTrp1!L41</f>
        <v>0</v>
      </c>
      <c r="AS49" s="215">
        <f>CdTrp1!M41</f>
        <v>0</v>
      </c>
      <c r="AT49" s="215">
        <f>CdTrp1!N41</f>
        <v>0</v>
      </c>
      <c r="AU49" s="215">
        <f>CdTrp1!O41</f>
        <v>0</v>
      </c>
      <c r="AV49" s="215">
        <f>CdTrp1!P41</f>
        <v>0</v>
      </c>
      <c r="AW49" s="215">
        <f>CdTrp1!Q41</f>
        <v>0</v>
      </c>
      <c r="AX49" s="215">
        <f>CdTrp1!R41</f>
        <v>0</v>
      </c>
      <c r="AY49" s="215">
        <f>CdTrp1!S41</f>
        <v>0</v>
      </c>
      <c r="AZ49" s="215">
        <f>CdTrp1!T41</f>
        <v>0</v>
      </c>
      <c r="BA49" s="215">
        <f>CdTrp1!U41</f>
        <v>0</v>
      </c>
      <c r="BB49" s="215">
        <f>CdTrp1!V41</f>
        <v>0</v>
      </c>
      <c r="BC49" s="215">
        <f>CdTrp1!W41</f>
        <v>0</v>
      </c>
      <c r="BD49" s="215">
        <f>CdTrp1!X41</f>
        <v>0</v>
      </c>
      <c r="BE49" s="215">
        <f>CdTrp1!Y41</f>
        <v>0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laitiéres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lot3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laitiéres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lot3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9.4</v>
      </c>
      <c r="E82" s="169">
        <f t="shared" ref="E82:F97" si="31">BZ89+CD89</f>
        <v>0</v>
      </c>
      <c r="F82" s="169">
        <f t="shared" si="31"/>
        <v>0</v>
      </c>
      <c r="J82" s="169">
        <f>SUM(K82:M82)</f>
        <v>1880</v>
      </c>
      <c r="K82" s="169">
        <f>$C82*D82</f>
        <v>1880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12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360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0.4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372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0.4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384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0.4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396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0.4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94.3</v>
      </c>
      <c r="E100" s="169">
        <f t="shared" si="33"/>
        <v>0</v>
      </c>
      <c r="F100" s="169">
        <f t="shared" si="33"/>
        <v>0</v>
      </c>
      <c r="J100" s="169">
        <f t="shared" si="34"/>
        <v>36777</v>
      </c>
      <c r="K100" s="169">
        <f t="shared" si="35"/>
        <v>36777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408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0.4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0.4</v>
      </c>
      <c r="BL101" s="56">
        <f t="shared" si="45"/>
        <v>0.4</v>
      </c>
      <c r="BM101" s="56">
        <f t="shared" si="45"/>
        <v>0.4</v>
      </c>
      <c r="BN101" s="56">
        <f t="shared" si="45"/>
        <v>0.4</v>
      </c>
      <c r="BO101" s="56">
        <f t="shared" si="45"/>
        <v>0.4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360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0.4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372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0.4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384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0.4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396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0.4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408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0.4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94.3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0.4</v>
      </c>
      <c r="BL108" s="56">
        <f t="shared" si="51"/>
        <v>0.4</v>
      </c>
      <c r="BM108" s="56">
        <f t="shared" si="51"/>
        <v>0.4</v>
      </c>
      <c r="BN108" s="56">
        <f t="shared" si="51"/>
        <v>0.4</v>
      </c>
      <c r="BO108" s="56">
        <f t="shared" si="51"/>
        <v>0.4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3985</v>
      </c>
      <c r="K110" s="173">
        <f t="shared" ref="K110:K115" si="53">ROUND(T132*U132,0)</f>
        <v>3985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38657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10517</v>
      </c>
      <c r="K111" s="173">
        <f t="shared" si="53"/>
        <v>10517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3690</v>
      </c>
      <c r="K113" s="173">
        <f t="shared" si="53"/>
        <v>3690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56849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0</v>
      </c>
      <c r="C118" s="184">
        <f>IF(Scénario!$K$12="BV",[1]Eco!$B$78,IF(Scénario!$K$12="BL",[1]Eco!$B$77,[1]Eco!$B$76))</f>
        <v>200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40.71</v>
      </c>
      <c r="C119" s="184">
        <f>[1]Eco!$B$79</f>
        <v>80</v>
      </c>
      <c r="J119" s="169">
        <f>B119*C119</f>
        <v>3256.8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landes lit</v>
      </c>
      <c r="B122" s="169">
        <f>'Alim -Surf'!D34</f>
        <v>28</v>
      </c>
      <c r="C122" s="169">
        <f>'Alim -Surf'!E34</f>
        <v>3</v>
      </c>
      <c r="D122" s="184">
        <f>IF(B122=0,0,VLOOKUP(A122,[1]Anx!$A$212:$CO$218,3+Troupeau!$J$17))</f>
        <v>0</v>
      </c>
      <c r="J122" s="169">
        <f>C122*D122</f>
        <v>0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4</v>
      </c>
      <c r="C123" s="169">
        <f>'Alim -Surf'!E35</f>
        <v>13</v>
      </c>
      <c r="D123" s="184">
        <f>IF(B123=0,0,VLOOKUP(A123,[1]Anx!$A$212:$CO$218,3+Troupeau!$J$17))</f>
        <v>380</v>
      </c>
      <c r="J123" s="169">
        <f t="shared" ref="J123:J131" si="56">C123*D123</f>
        <v>4940</v>
      </c>
      <c r="K123" s="168"/>
      <c r="L123" s="168"/>
      <c r="M123" s="168"/>
      <c r="N123" s="168"/>
      <c r="S123" s="14" t="s">
        <v>1010</v>
      </c>
      <c r="T123" s="167">
        <f>Troupeau!J17</f>
        <v>49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361.99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49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6"/>
        <v>0</v>
      </c>
      <c r="K126" s="168"/>
      <c r="L126" s="168"/>
      <c r="M126" s="168"/>
      <c r="N126" s="168"/>
      <c r="S126" s="14" t="s">
        <v>1016</v>
      </c>
      <c r="T126">
        <f>ROUND(AF147/100,2)</f>
        <v>3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17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41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5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300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3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90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41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8" si="59">D133*C133</f>
        <v>0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41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24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1336.8000000000002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41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41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9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1126.8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12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59"/>
        <v>0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1809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12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69408.400000000009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300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46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5796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2360</v>
      </c>
      <c r="D150" s="5"/>
      <c r="G150" s="167"/>
      <c r="J150" s="169">
        <f t="shared" si="65"/>
        <v>2360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10000</v>
      </c>
      <c r="D151" s="5"/>
      <c r="G151" s="167"/>
      <c r="J151" s="169">
        <f t="shared" si="65"/>
        <v>10000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10000</v>
      </c>
      <c r="D153" s="5"/>
      <c r="E153" s="5"/>
      <c r="G153" s="167"/>
      <c r="J153" s="169">
        <f t="shared" si="65"/>
        <v>10000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33</v>
      </c>
      <c r="X153" t="s">
        <v>51</v>
      </c>
      <c r="Y153" s="169">
        <f>W153-Scénario!K28</f>
        <v>21</v>
      </c>
      <c r="Z153" s="169">
        <f>Y153-Y156</f>
        <v>21</v>
      </c>
    </row>
    <row r="154" spans="1:39" x14ac:dyDescent="0.25">
      <c r="A154" t="s">
        <v>1429</v>
      </c>
      <c r="B154" s="169">
        <f>Scénario!K48</f>
        <v>46</v>
      </c>
      <c r="C154" s="184">
        <f>HLOOKUP(Troupeau!J$17,[1]Anx!$D$170:$CN$220,'Calcul éco'!O154)</f>
        <v>365</v>
      </c>
      <c r="D154" s="5"/>
      <c r="G154" s="167"/>
      <c r="J154" s="169">
        <f t="shared" si="65"/>
        <v>16790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33</v>
      </c>
      <c r="X154" t="s">
        <v>51</v>
      </c>
      <c r="Y154" s="169">
        <f>W154-Scénario!K29</f>
        <v>21</v>
      </c>
      <c r="Z154" s="169">
        <f>Y154</f>
        <v>21</v>
      </c>
    </row>
    <row r="155" spans="1:39" x14ac:dyDescent="0.25">
      <c r="A155" s="17" t="s">
        <v>1057</v>
      </c>
      <c r="B155" s="233">
        <f>B154</f>
        <v>46</v>
      </c>
      <c r="C155" s="184">
        <f>HLOOKUP(Troupeau!J$17,[1]Anx!$D$170:$CN$220,'Calcul éco'!O155)</f>
        <v>70</v>
      </c>
      <c r="D155" s="86"/>
      <c r="E155" s="17"/>
      <c r="G155" s="167"/>
      <c r="H155" s="17"/>
      <c r="I155" s="233">
        <f>B155*C155</f>
        <v>3220</v>
      </c>
      <c r="O155" s="228">
        <v>25</v>
      </c>
      <c r="V155" s="14" t="s">
        <v>1058</v>
      </c>
      <c r="W155" s="169">
        <f>W$228</f>
        <v>3</v>
      </c>
      <c r="X155" t="s">
        <v>51</v>
      </c>
      <c r="Y155" s="169">
        <f>W155-Scénario!K30</f>
        <v>3</v>
      </c>
      <c r="Z155" s="169">
        <f t="shared" ref="Z155:Z156" si="66">Y155</f>
        <v>3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0</v>
      </c>
      <c r="Z156" s="169">
        <f t="shared" si="66"/>
        <v>0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21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760.2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21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630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3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90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56</v>
      </c>
      <c r="S164" s="169">
        <f>'Alim -Surf'!R7</f>
        <v>21</v>
      </c>
      <c r="T164" s="169">
        <f>VLOOKUP($R164,[1]MEP!$A$4:$M$300,13)</f>
        <v>2</v>
      </c>
      <c r="U164" s="169">
        <f>IF($T164&gt;0,$S164,0)</f>
        <v>21</v>
      </c>
      <c r="V164" s="169">
        <f>IF($T164&gt;1,$S164,0)</f>
        <v>21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21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21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57</v>
      </c>
      <c r="S165" s="169">
        <f>'Alim -Surf'!R8</f>
        <v>3</v>
      </c>
      <c r="T165" s="169">
        <f>VLOOKUP(R165,[1]MEP!$A$4:$M$300,13)</f>
        <v>3</v>
      </c>
      <c r="U165" s="169">
        <f t="shared" ref="U165:U227" si="70">IF($T165&gt;0,$S165,0)</f>
        <v>3</v>
      </c>
      <c r="V165" s="169">
        <f t="shared" ref="V165:V227" si="71">IF($T165&gt;1,$S165,0)</f>
        <v>3</v>
      </c>
      <c r="W165" s="169">
        <f t="shared" ref="W165:W227" si="72">IF($T165&gt;2,$S165,0)</f>
        <v>3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3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3</v>
      </c>
      <c r="AN165" s="32" t="s">
        <v>637</v>
      </c>
      <c r="AO165" s="169">
        <f>SUM(AD164:AD183)</f>
        <v>24</v>
      </c>
    </row>
    <row r="166" spans="1:41" x14ac:dyDescent="0.25">
      <c r="A166" s="5" t="s">
        <v>1404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0</v>
      </c>
      <c r="T166" s="169">
        <f>VLOOKUP(R166,[1]MEP!$A$4:$M$300,13)</f>
        <v>1</v>
      </c>
      <c r="U166" s="169">
        <f t="shared" si="70"/>
        <v>0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0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9</v>
      </c>
    </row>
    <row r="167" spans="1:41" x14ac:dyDescent="0.25">
      <c r="A167" s="5" t="s">
        <v>1405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65</v>
      </c>
      <c r="S167" s="169">
        <f>'Alim -Surf'!R10</f>
        <v>9</v>
      </c>
      <c r="T167" s="169">
        <f>VLOOKUP(R167,[1]MEP!$A$4:$M$300,13)</f>
        <v>2</v>
      </c>
      <c r="U167" s="169">
        <f t="shared" si="70"/>
        <v>9</v>
      </c>
      <c r="V167" s="169">
        <f t="shared" si="71"/>
        <v>9</v>
      </c>
      <c r="W167" s="169">
        <f t="shared" si="7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68"/>
        <v>0</v>
      </c>
      <c r="AB167" s="169">
        <f t="shared" si="69"/>
        <v>0</v>
      </c>
      <c r="AC167" s="169">
        <f t="shared" si="73"/>
        <v>9</v>
      </c>
      <c r="AD167" s="169">
        <f t="shared" si="74"/>
        <v>0</v>
      </c>
      <c r="AE167" s="169">
        <f t="shared" si="75"/>
        <v>0</v>
      </c>
      <c r="AF167" s="169">
        <f t="shared" si="76"/>
        <v>0</v>
      </c>
      <c r="AG167" s="169">
        <f t="shared" si="77"/>
        <v>9</v>
      </c>
      <c r="AH167" s="169">
        <f t="shared" si="78"/>
        <v>0</v>
      </c>
      <c r="AI167" s="169">
        <f t="shared" si="79"/>
        <v>0</v>
      </c>
      <c r="AJ167" s="169">
        <f t="shared" si="80"/>
        <v>0</v>
      </c>
      <c r="AN167" s="32" t="s">
        <v>639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0</v>
      </c>
      <c r="S168" s="169">
        <f>'Alim -Surf'!R11</f>
        <v>0</v>
      </c>
      <c r="T168" s="169">
        <f>VLOOKUP(R168,[1]MEP!$A$4:$M$300,13)</f>
        <v>0</v>
      </c>
      <c r="U168" s="169">
        <f t="shared" si="70"/>
        <v>0</v>
      </c>
      <c r="V168" s="169">
        <f t="shared" si="71"/>
        <v>0</v>
      </c>
      <c r="W168" s="169">
        <f t="shared" si="7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0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0</v>
      </c>
      <c r="AJ168" s="169">
        <f t="shared" si="80"/>
        <v>0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46426.2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52004.504000000015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34670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19000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33004.504000000015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22003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3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3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3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36</v>
      </c>
      <c r="U228" s="62">
        <f>SUM(U164:U227)</f>
        <v>33</v>
      </c>
      <c r="V228" s="62">
        <f t="shared" ref="V228:W228" si="82">SUM(V164:V227)</f>
        <v>33</v>
      </c>
      <c r="W228" s="62">
        <f t="shared" si="82"/>
        <v>3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9</v>
      </c>
      <c r="AD228" s="62">
        <f>SUM(AD164:AD227)</f>
        <v>27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9</v>
      </c>
      <c r="AH228" s="62">
        <f t="shared" si="84"/>
        <v>3</v>
      </c>
      <c r="AI228" s="62">
        <f t="shared" si="84"/>
        <v>0</v>
      </c>
      <c r="AJ228" s="62">
        <f t="shared" si="84"/>
        <v>24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2</v>
      </c>
      <c r="X245" s="169">
        <f>ROUND((([1]Protect!$B$5/[1]Protect!$B$11)+[1]Protect!$B$8)*T245,0)</f>
        <v>1809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1809</v>
      </c>
    </row>
    <row r="249" spans="17:31" x14ac:dyDescent="0.25">
      <c r="W249" s="14" t="s">
        <v>1406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86" zoomScale="110" zoomScaleNormal="110" workbookViewId="0">
      <selection activeCell="C303" sqref="C303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69" t="str">
        <f>Scénario!K1</f>
        <v>Z3_BL_A2_s5</v>
      </c>
      <c r="D1" s="269" t="str">
        <f>CONCATENATE(C1,"_corr")</f>
        <v>Z3_BL_A2_s5_corr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1.5</v>
      </c>
      <c r="D4" s="173">
        <f t="shared" si="0"/>
        <v>1.5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3</v>
      </c>
      <c r="D7" s="173">
        <f t="shared" si="0"/>
        <v>3</v>
      </c>
    </row>
    <row r="8" spans="2:4" x14ac:dyDescent="0.25">
      <c r="B8" s="14" t="s">
        <v>485</v>
      </c>
      <c r="C8" s="173" t="str">
        <f>Scénario!K9</f>
        <v>M2</v>
      </c>
      <c r="D8" s="173" t="str">
        <f t="shared" si="0"/>
        <v>M2</v>
      </c>
    </row>
    <row r="9" spans="2:4" x14ac:dyDescent="0.25">
      <c r="B9" s="14" t="s">
        <v>489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493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12</v>
      </c>
      <c r="D18" s="173">
        <f t="shared" si="0"/>
        <v>12</v>
      </c>
    </row>
    <row r="19" spans="2:5" x14ac:dyDescent="0.25">
      <c r="B19" s="14" t="s">
        <v>527</v>
      </c>
      <c r="C19" s="173">
        <f>Scénario!K29</f>
        <v>12</v>
      </c>
      <c r="D19" s="173">
        <f t="shared" si="0"/>
        <v>12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0</v>
      </c>
      <c r="D21" s="173">
        <f t="shared" si="0"/>
        <v>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5</v>
      </c>
      <c r="D51" s="173">
        <f t="shared" si="0"/>
        <v>5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1.2806122448979591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41</v>
      </c>
      <c r="D64" s="252">
        <f t="shared" ref="D64:D66" si="1">ROUND(C64*$D$82/$C$82,3)</f>
        <v>52.505000000000003</v>
      </c>
      <c r="F64" s="183" t="s">
        <v>1126</v>
      </c>
      <c r="AT64" s="183" t="str">
        <f>AT87</f>
        <v>Vaches laitiéres</v>
      </c>
      <c r="AU64" s="168"/>
      <c r="AV64" s="169">
        <f>CdTrp1!B15*$G$63</f>
        <v>49.879846938775508</v>
      </c>
      <c r="AW64" s="169">
        <f>CdTrp1!C15*$G$63</f>
        <v>49.879846938775508</v>
      </c>
      <c r="AX64" s="169">
        <f>CdTrp1!D15*$G$63</f>
        <v>49.879846938775508</v>
      </c>
      <c r="AY64" s="169">
        <f>CdTrp1!E15*$G$63</f>
        <v>49.879846938775508</v>
      </c>
      <c r="AZ64" s="169">
        <f>CdTrp1!F15*$G$63</f>
        <v>49.879846938775508</v>
      </c>
      <c r="BA64" s="169">
        <f>CdTrp1!G15*$G$63</f>
        <v>49.879846938775508</v>
      </c>
      <c r="BB64" s="169">
        <f>CdTrp1!H15*$G$63</f>
        <v>48.567219387755095</v>
      </c>
      <c r="BC64" s="169">
        <f>CdTrp1!I15*$G$63</f>
        <v>47.25459183673469</v>
      </c>
      <c r="BD64" s="169">
        <f>CdTrp1!J15*$G$63</f>
        <v>45.941964285714285</v>
      </c>
      <c r="BE64" s="169">
        <f>CdTrp1!K15*$G$63</f>
        <v>43.316709183673467</v>
      </c>
      <c r="BF64" s="169">
        <f>CdTrp1!L15*$G$63</f>
        <v>40.691454081632649</v>
      </c>
      <c r="BG64" s="169">
        <f>CdTrp1!M15*$G$63</f>
        <v>39.378826530612244</v>
      </c>
      <c r="BH64" s="169">
        <f>CdTrp1!N15*$G$63</f>
        <v>39.378826530612244</v>
      </c>
      <c r="BI64" s="169">
        <f>CdTrp1!O15*$G$63</f>
        <v>39.378826530612244</v>
      </c>
      <c r="BJ64" s="169">
        <f>CdTrp1!P15*$G$63</f>
        <v>43.316709183673467</v>
      </c>
      <c r="BK64" s="169">
        <f>CdTrp1!Q15*$G$63</f>
        <v>43.316709183673467</v>
      </c>
      <c r="BL64" s="169">
        <f>CdTrp1!R15*$G$63</f>
        <v>49.879846938775508</v>
      </c>
      <c r="BM64" s="169">
        <f>CdTrp1!S15*$G$63</f>
        <v>52.505102040816325</v>
      </c>
      <c r="BN64" s="169">
        <f>CdTrp1!T15*$G$63</f>
        <v>52.505102040816325</v>
      </c>
      <c r="BO64" s="169">
        <f>CdTrp1!U15*$G$63</f>
        <v>52.505102040816325</v>
      </c>
      <c r="BP64" s="169">
        <f>CdTrp1!V15*$G$63</f>
        <v>52.505102040816325</v>
      </c>
      <c r="BQ64" s="169">
        <f>CdTrp1!W15*$G$63</f>
        <v>51.19247448979592</v>
      </c>
      <c r="BR64" s="169">
        <f>CdTrp1!X15*$G$63</f>
        <v>49.879846938775508</v>
      </c>
      <c r="BS64" s="169">
        <f>CdTrp1!Y15*$G$63</f>
        <v>49.879846938775508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laitiéres</v>
      </c>
      <c r="AU65" s="168"/>
      <c r="AV65" s="169">
        <f>CdTrp1!B16*$G$63</f>
        <v>38.066198979591839</v>
      </c>
      <c r="AW65" s="169">
        <f>CdTrp1!C16*$G$63</f>
        <v>38.066198979591839</v>
      </c>
      <c r="AX65" s="169">
        <f>CdTrp1!D16*$G$63</f>
        <v>38.066198979591839</v>
      </c>
      <c r="AY65" s="169">
        <f>CdTrp1!E16*$G$63</f>
        <v>38.066198979591839</v>
      </c>
      <c r="AZ65" s="169">
        <f>CdTrp1!F16*$G$63</f>
        <v>38.066198979591839</v>
      </c>
      <c r="BA65" s="169">
        <f>CdTrp1!G16*$G$63</f>
        <v>38.066198979591839</v>
      </c>
      <c r="BB65" s="169">
        <f>CdTrp1!H16*$G$63</f>
        <v>38.066198979591839</v>
      </c>
      <c r="BC65" s="169">
        <f>CdTrp1!I16*$G$63</f>
        <v>38.066198979591839</v>
      </c>
      <c r="BD65" s="169">
        <f>CdTrp1!J16*$G$63</f>
        <v>38.066198979591839</v>
      </c>
      <c r="BE65" s="169">
        <f>CdTrp1!K16*$G$63</f>
        <v>38.066198979591839</v>
      </c>
      <c r="BF65" s="169">
        <f>CdTrp1!L16*$G$63</f>
        <v>38.066198979591839</v>
      </c>
      <c r="BG65" s="169">
        <f>CdTrp1!M16*$G$63</f>
        <v>38.066198979591839</v>
      </c>
      <c r="BH65" s="169">
        <f>CdTrp1!N16*$G$63</f>
        <v>38.066198979591839</v>
      </c>
      <c r="BI65" s="169">
        <f>CdTrp1!O16*$G$63</f>
        <v>38.066198979591839</v>
      </c>
      <c r="BJ65" s="169">
        <f>CdTrp1!P16*$G$63</f>
        <v>38.066198979591839</v>
      </c>
      <c r="BK65" s="169">
        <f>CdTrp1!Q16*$G$63</f>
        <v>38.066198979591839</v>
      </c>
      <c r="BL65" s="169">
        <f>CdTrp1!R16*$G$63</f>
        <v>38.066198979591839</v>
      </c>
      <c r="BM65" s="169">
        <f>CdTrp1!S16*$G$63</f>
        <v>38.066198979591839</v>
      </c>
      <c r="BN65" s="169">
        <f>CdTrp1!T16*$G$63</f>
        <v>38.066198979591839</v>
      </c>
      <c r="BO65" s="169">
        <f>CdTrp1!U16*$G$63</f>
        <v>38.066198979591839</v>
      </c>
      <c r="BP65" s="169">
        <f>CdTrp1!V16*$G$63</f>
        <v>38.066198979591839</v>
      </c>
      <c r="BQ65" s="169">
        <f>CdTrp1!W16*$G$63</f>
        <v>38.066198979591839</v>
      </c>
      <c r="BR65" s="169">
        <f>CdTrp1!X16*$G$63</f>
        <v>38.066198979591839</v>
      </c>
      <c r="BS65" s="169">
        <f>CdTrp1!Y16*$G$63</f>
        <v>38.066198979591839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lot3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54.487291666666671</v>
      </c>
      <c r="D67" s="252">
        <f>ROUND(C67*$D$82/$C$82,3)</f>
        <v>69.777000000000001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54.487291666666671</v>
      </c>
      <c r="D70" s="252">
        <f>ROUND(C70*$D$82/$C$82,3)</f>
        <v>69.777000000000001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13</v>
      </c>
      <c r="D71" s="252">
        <f t="shared" ref="D71:D80" si="3">ROUND(C71*$D$82/$C$82,3)</f>
        <v>16.648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9</v>
      </c>
      <c r="D73" s="252">
        <f t="shared" si="3"/>
        <v>11.526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22</v>
      </c>
      <c r="D74" s="252">
        <f t="shared" si="3"/>
        <v>28.172999999999998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24</v>
      </c>
      <c r="D75" s="252">
        <f t="shared" si="3"/>
        <v>30.734999999999999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9</v>
      </c>
      <c r="D76" s="252">
        <f t="shared" si="3"/>
        <v>11.526</v>
      </c>
      <c r="AT76" s="183" t="str">
        <f t="shared" si="4"/>
        <v>Génisses laitiéres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lot3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24</v>
      </c>
      <c r="D78" s="252">
        <f t="shared" si="3"/>
        <v>30.734999999999999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3</v>
      </c>
      <c r="D80" s="252">
        <f t="shared" si="3"/>
        <v>3.8420000000000001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46</v>
      </c>
      <c r="D81" s="252">
        <f>ROUND(C81*$D$82/$C$82,3)</f>
        <v>58.908000000000001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49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1.5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1.1120000000000001</v>
      </c>
      <c r="D84" s="169">
        <f>ROUND(D70/D82,3)</f>
        <v>1.1120000000000001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33</v>
      </c>
      <c r="D85" s="255">
        <f>ROUND(C85*$D$82/$C$82,3)</f>
        <v>42.26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33</v>
      </c>
      <c r="D86" s="255">
        <f t="shared" ref="D86:D97" si="17">ROUND(C86*$D$82/$C$82,3)</f>
        <v>42.26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3</v>
      </c>
      <c r="D87" s="255">
        <f t="shared" si="17"/>
        <v>3.8420000000000001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0</v>
      </c>
      <c r="D88" s="255">
        <f t="shared" si="17"/>
        <v>0</v>
      </c>
      <c r="AT88" s="183" t="str">
        <f>CdTrp1!A16</f>
        <v>Génisses laitiéres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3</v>
      </c>
      <c r="D89" s="255">
        <f t="shared" si="17"/>
        <v>3.8420000000000001</v>
      </c>
      <c r="AT89" s="183" t="str">
        <f>CdTrp1!A17</f>
        <v>lot3</v>
      </c>
      <c r="AU89" s="186">
        <f>Scénario!K98</f>
        <v>0</v>
      </c>
      <c r="AV89" s="169">
        <f t="shared" si="18"/>
        <v>0</v>
      </c>
      <c r="AW89" s="169">
        <f t="shared" si="18"/>
        <v>0</v>
      </c>
      <c r="AX89" s="169">
        <f t="shared" si="18"/>
        <v>0</v>
      </c>
      <c r="AY89" s="169">
        <f t="shared" si="18"/>
        <v>0</v>
      </c>
      <c r="AZ89" s="169">
        <f t="shared" si="18"/>
        <v>0</v>
      </c>
      <c r="BA89" s="169">
        <f t="shared" si="18"/>
        <v>0</v>
      </c>
      <c r="BB89" s="169">
        <f t="shared" si="18"/>
        <v>0</v>
      </c>
      <c r="BC89" s="169">
        <f t="shared" si="18"/>
        <v>0</v>
      </c>
      <c r="BD89" s="169">
        <f t="shared" si="18"/>
        <v>0</v>
      </c>
      <c r="BE89" s="169">
        <f t="shared" si="18"/>
        <v>0</v>
      </c>
      <c r="BF89" s="169">
        <f t="shared" si="18"/>
        <v>0</v>
      </c>
      <c r="BG89" s="169">
        <f t="shared" si="18"/>
        <v>0</v>
      </c>
      <c r="BH89" s="169">
        <f t="shared" si="18"/>
        <v>0</v>
      </c>
      <c r="BI89" s="169">
        <f t="shared" si="18"/>
        <v>0</v>
      </c>
      <c r="BJ89" s="169">
        <f t="shared" si="18"/>
        <v>0</v>
      </c>
      <c r="BK89" s="169">
        <f t="shared" si="18"/>
        <v>0</v>
      </c>
      <c r="BL89" s="169">
        <f t="shared" si="19"/>
        <v>0</v>
      </c>
      <c r="BM89" s="169">
        <f t="shared" si="19"/>
        <v>0</v>
      </c>
      <c r="BN89" s="169">
        <f t="shared" si="19"/>
        <v>0</v>
      </c>
      <c r="BO89" s="169">
        <f t="shared" si="19"/>
        <v>0</v>
      </c>
      <c r="BP89" s="169">
        <f t="shared" si="19"/>
        <v>0</v>
      </c>
      <c r="BQ89" s="169">
        <f t="shared" si="19"/>
        <v>0</v>
      </c>
      <c r="BR89" s="169">
        <f t="shared" si="19"/>
        <v>0</v>
      </c>
      <c r="BS89" s="169">
        <f t="shared" si="19"/>
        <v>0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13</v>
      </c>
      <c r="D90" s="255">
        <f t="shared" si="17"/>
        <v>16.648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0</v>
      </c>
      <c r="D91" s="255">
        <f t="shared" si="17"/>
        <v>0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0</v>
      </c>
      <c r="D92" s="255">
        <f t="shared" si="17"/>
        <v>0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0</v>
      </c>
      <c r="D94" s="255">
        <f t="shared" si="17"/>
        <v>0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laitiéres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lot3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46</v>
      </c>
      <c r="D97" s="255">
        <f t="shared" si="17"/>
        <v>58.908000000000001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0</v>
      </c>
      <c r="D98" s="169">
        <f>C98</f>
        <v>0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3</v>
      </c>
      <c r="BA98" s="169">
        <f>IF(CdTrp1!G52=1,3,IF(CdTrp1!G52=0.5,2,IF(CdTrp1!G52=0,1,0)))</f>
        <v>3</v>
      </c>
      <c r="BB98" s="169">
        <f>IF(CdTrp1!H52=1,3,IF(CdTrp1!H52=0.5,2,IF(CdTrp1!H52=0,1,0)))</f>
        <v>3</v>
      </c>
      <c r="BC98" s="169">
        <f>IF(CdTrp1!I52=1,3,IF(CdTrp1!I52=0.5,2,IF(CdTrp1!I52=0,1,0)))</f>
        <v>3</v>
      </c>
      <c r="BD98" s="169">
        <f>IF(CdTrp1!J52=1,3,IF(CdTrp1!J52=0.5,2,IF(CdTrp1!J52=0,1,0)))</f>
        <v>3</v>
      </c>
      <c r="BE98" s="169">
        <f>IF(CdTrp1!K52=1,3,IF(CdTrp1!K52=0.5,2,IF(CdTrp1!K52=0,1,0)))</f>
        <v>3</v>
      </c>
      <c r="BF98" s="169">
        <f>IF(CdTrp1!L52=1,3,IF(CdTrp1!L52=0.5,2,IF(CdTrp1!L52=0,1,0)))</f>
        <v>3</v>
      </c>
      <c r="BG98" s="169">
        <f>IF(CdTrp1!M52=1,3,IF(CdTrp1!M52=0.5,2,IF(CdTrp1!M52=0,1,0)))</f>
        <v>3</v>
      </c>
      <c r="BH98" s="169">
        <f>IF(CdTrp1!N52=1,3,IF(CdTrp1!N52=0.5,2,IF(CdTrp1!N52=0,1,0)))</f>
        <v>3</v>
      </c>
      <c r="BI98" s="169">
        <f>IF(CdTrp1!O52=1,3,IF(CdTrp1!O52=0.5,2,IF(CdTrp1!O52=0,1,0)))</f>
        <v>3</v>
      </c>
      <c r="BJ98" s="169">
        <f>IF(CdTrp1!P52=1,3,IF(CdTrp1!P52=0.5,2,IF(CdTrp1!P52=0,1,0)))</f>
        <v>3</v>
      </c>
      <c r="BK98" s="169">
        <f>IF(CdTrp1!Q52=1,3,IF(CdTrp1!Q52=0.5,2,IF(CdTrp1!Q52=0,1,0)))</f>
        <v>3</v>
      </c>
      <c r="BL98" s="169">
        <f>IF(CdTrp1!R52=1,3,IF(CdTrp1!R52=0.5,2,IF(CdTrp1!R52=0,1,0)))</f>
        <v>3</v>
      </c>
      <c r="BM98" s="169">
        <f>IF(CdTrp1!S52=1,3,IF(CdTrp1!S52=0.5,2,IF(CdTrp1!S52=0,1,0)))</f>
        <v>3</v>
      </c>
      <c r="BN98" s="169">
        <f>IF(CdTrp1!T52=1,3,IF(CdTrp1!T52=0.5,2,IF(CdTrp1!T52=0,1,0)))</f>
        <v>3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laitiéres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3</v>
      </c>
      <c r="BC99" s="169">
        <f>IF(CdTrp1!I53=1,3,IF(CdTrp1!I53=0.5,2,IF(CdTrp1!I53=0,1,0)))</f>
        <v>3</v>
      </c>
      <c r="BD99" s="169">
        <f>IF(CdTrp1!J53=1,3,IF(CdTrp1!J53=0.5,2,IF(CdTrp1!J53=0,1,0)))</f>
        <v>3</v>
      </c>
      <c r="BE99" s="169">
        <f>IF(CdTrp1!K53=1,3,IF(CdTrp1!K53=0.5,2,IF(CdTrp1!K53=0,1,0)))</f>
        <v>3</v>
      </c>
      <c r="BF99" s="169">
        <f>IF(CdTrp1!L53=1,3,IF(CdTrp1!L53=0.5,2,IF(CdTrp1!L53=0,1,0)))</f>
        <v>3</v>
      </c>
      <c r="BG99" s="169">
        <f>IF(CdTrp1!M53=1,3,IF(CdTrp1!M53=0.5,2,IF(CdTrp1!M53=0,1,0)))</f>
        <v>3</v>
      </c>
      <c r="BH99" s="169">
        <f>IF(CdTrp1!N53=1,3,IF(CdTrp1!N53=0.5,2,IF(CdTrp1!N53=0,1,0)))</f>
        <v>3</v>
      </c>
      <c r="BI99" s="169">
        <f>IF(CdTrp1!O53=1,3,IF(CdTrp1!O53=0.5,2,IF(CdTrp1!O53=0,1,0)))</f>
        <v>3</v>
      </c>
      <c r="BJ99" s="169">
        <f>IF(CdTrp1!P53=1,3,IF(CdTrp1!P53=0.5,2,IF(CdTrp1!P53=0,1,0)))</f>
        <v>3</v>
      </c>
      <c r="BK99" s="169">
        <f>IF(CdTrp1!Q53=1,3,IF(CdTrp1!Q53=0.5,2,IF(CdTrp1!Q53=0,1,0)))</f>
        <v>3</v>
      </c>
      <c r="BL99" s="169">
        <f>IF(CdTrp1!R53=1,3,IF(CdTrp1!R53=0.5,2,IF(CdTrp1!R53=0,1,0)))</f>
        <v>3</v>
      </c>
      <c r="BM99" s="169">
        <f>IF(CdTrp1!S53=1,3,IF(CdTrp1!S53=0.5,2,IF(CdTrp1!S53=0,1,0)))</f>
        <v>3</v>
      </c>
      <c r="BN99" s="169">
        <f>IF(CdTrp1!T53=1,3,IF(CdTrp1!T53=0.5,2,IF(CdTrp1!T53=0,1,0)))</f>
        <v>3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lot3</v>
      </c>
      <c r="AU100" s="32"/>
      <c r="AV100" s="169">
        <f>IF(CdTrp1!B54=1,3,IF(CdTrp1!B54=0.5,2,IF(CdTrp1!B54=0,1,0)))</f>
        <v>1</v>
      </c>
      <c r="AW100" s="169">
        <f>IF(CdTrp1!C54=1,3,IF(CdTrp1!C54=0.5,2,IF(CdTrp1!C54=0,1,0)))</f>
        <v>1</v>
      </c>
      <c r="AX100" s="169">
        <f>IF(CdTrp1!D54=1,3,IF(CdTrp1!D54=0.5,2,IF(CdTrp1!D54=0,1,0)))</f>
        <v>1</v>
      </c>
      <c r="AY100" s="169">
        <f>IF(CdTrp1!E54=1,3,IF(CdTrp1!E54=0.5,2,IF(CdTrp1!E54=0,1,0)))</f>
        <v>1</v>
      </c>
      <c r="AZ100" s="169">
        <f>IF(CdTrp1!F54=1,3,IF(CdTrp1!F54=0.5,2,IF(CdTrp1!F54=0,1,0)))</f>
        <v>1</v>
      </c>
      <c r="BA100" s="169">
        <f>IF(CdTrp1!G54=1,3,IF(CdTrp1!G54=0.5,2,IF(CdTrp1!G54=0,1,0)))</f>
        <v>1</v>
      </c>
      <c r="BB100" s="169">
        <f>IF(CdTrp1!H54=1,3,IF(CdTrp1!H54=0.5,2,IF(CdTrp1!H54=0,1,0)))</f>
        <v>1</v>
      </c>
      <c r="BC100" s="169">
        <f>IF(CdTrp1!I54=1,3,IF(CdTrp1!I54=0.5,2,IF(CdTrp1!I54=0,1,0)))</f>
        <v>1</v>
      </c>
      <c r="BD100" s="169">
        <f>IF(CdTrp1!J54=1,3,IF(CdTrp1!J54=0.5,2,IF(CdTrp1!J54=0,1,0)))</f>
        <v>1</v>
      </c>
      <c r="BE100" s="169">
        <f>IF(CdTrp1!K54=1,3,IF(CdTrp1!K54=0.5,2,IF(CdTrp1!K54=0,1,0)))</f>
        <v>1</v>
      </c>
      <c r="BF100" s="169">
        <f>IF(CdTrp1!L54=1,3,IF(CdTrp1!L54=0.5,2,IF(CdTrp1!L54=0,1,0)))</f>
        <v>1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1</v>
      </c>
      <c r="BN100" s="169">
        <f>IF(CdTrp1!T54=1,3,IF(CdTrp1!T54=0.5,2,IF(CdTrp1!T54=0,1,0)))</f>
        <v>1</v>
      </c>
      <c r="BO100" s="169">
        <f>IF(CdTrp1!U54=1,3,IF(CdTrp1!U54=0.5,2,IF(CdTrp1!U54=0,1,0)))</f>
        <v>1</v>
      </c>
      <c r="BP100" s="169">
        <f>IF(CdTrp1!V54=1,3,IF(CdTrp1!V54=0.5,2,IF(CdTrp1!V54=0,1,0)))</f>
        <v>1</v>
      </c>
      <c r="BQ100" s="169">
        <f>IF(CdTrp1!W54=1,3,IF(CdTrp1!W54=0.5,2,IF(CdTrp1!W54=0,1,0)))</f>
        <v>1</v>
      </c>
      <c r="BR100" s="169">
        <f>IF(CdTrp1!X54=1,3,IF(CdTrp1!X54=0.5,2,IF(CdTrp1!X54=0,1,0)))</f>
        <v>1</v>
      </c>
      <c r="BS100" s="169">
        <f>IF(CdTrp1!Y54=1,3,IF(CdTrp1!Y54=0.5,2,IF(CdTrp1!Y54=0,1,0)))</f>
        <v>1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0</v>
      </c>
      <c r="D101" s="169">
        <f t="shared" si="28"/>
        <v>0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0</v>
      </c>
      <c r="D102" s="169">
        <f t="shared" si="28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0</v>
      </c>
      <c r="D105" s="169">
        <f t="shared" si="28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0</v>
      </c>
      <c r="D106" s="169">
        <f t="shared" si="28"/>
        <v>0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0</v>
      </c>
      <c r="D109" s="169">
        <f t="shared" si="28"/>
        <v>0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0</v>
      </c>
      <c r="BC109" s="169">
        <f>IF(CdTrp1!I76=1,1,IF(CdTrp1!I76=2,2,IF(CdTrp1!I76=3,2,IF(CdTrp1!I76=4,4,0))))</f>
        <v>0</v>
      </c>
      <c r="BD109" s="169">
        <f>IF(CdTrp1!J76=1,1,IF(CdTrp1!J76=2,2,IF(CdTrp1!J76=3,2,IF(CdTrp1!J76=4,4,0))))</f>
        <v>0</v>
      </c>
      <c r="BE109" s="169">
        <f>IF(CdTrp1!K76=1,1,IF(CdTrp1!K76=2,2,IF(CdTrp1!K76=3,2,IF(CdTrp1!K76=4,4,0))))</f>
        <v>0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0</v>
      </c>
      <c r="D110" s="169">
        <f t="shared" si="28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laitiéres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0</v>
      </c>
      <c r="BC110" s="169">
        <f>IF(CdTrp1!I77=1,1,IF(CdTrp1!I77=2,2,IF(CdTrp1!I77=3,2,IF(CdTrp1!I77=4,4,0))))</f>
        <v>0</v>
      </c>
      <c r="BD110" s="169">
        <f>IF(CdTrp1!J77=1,1,IF(CdTrp1!J77=2,2,IF(CdTrp1!J77=3,2,IF(CdTrp1!J77=4,4,0))))</f>
        <v>0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0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lot3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33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30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30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laitiéres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lot3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0</v>
      </c>
      <c r="M129">
        <f t="shared" si="38"/>
        <v>0</v>
      </c>
      <c r="N129">
        <f t="shared" si="38"/>
        <v>0</v>
      </c>
      <c r="O129">
        <f t="shared" si="38"/>
        <v>0</v>
      </c>
      <c r="P129">
        <f t="shared" si="38"/>
        <v>0</v>
      </c>
      <c r="Q129">
        <f t="shared" si="38"/>
        <v>0</v>
      </c>
      <c r="R129">
        <f t="shared" si="38"/>
        <v>0</v>
      </c>
      <c r="S129">
        <f t="shared" si="38"/>
        <v>0</v>
      </c>
      <c r="T129">
        <f t="shared" si="38"/>
        <v>0</v>
      </c>
      <c r="U129">
        <f t="shared" si="38"/>
        <v>0</v>
      </c>
      <c r="V129">
        <f t="shared" si="38"/>
        <v>0</v>
      </c>
      <c r="W129">
        <f t="shared" si="38"/>
        <v>0</v>
      </c>
      <c r="X129">
        <f t="shared" si="38"/>
        <v>0</v>
      </c>
      <c r="Y129">
        <f t="shared" si="38"/>
        <v>0</v>
      </c>
      <c r="Z129">
        <f t="shared" si="38"/>
        <v>0</v>
      </c>
      <c r="AA129">
        <f t="shared" si="38"/>
        <v>0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0</v>
      </c>
      <c r="M132">
        <f t="shared" si="41"/>
        <v>0</v>
      </c>
      <c r="N132">
        <f t="shared" si="41"/>
        <v>0</v>
      </c>
      <c r="O132">
        <f t="shared" si="41"/>
        <v>0</v>
      </c>
      <c r="P132">
        <f t="shared" si="41"/>
        <v>0</v>
      </c>
      <c r="Q132">
        <f t="shared" si="41"/>
        <v>0</v>
      </c>
      <c r="R132">
        <f t="shared" si="41"/>
        <v>0</v>
      </c>
      <c r="S132">
        <f t="shared" si="41"/>
        <v>0</v>
      </c>
      <c r="T132">
        <f t="shared" si="41"/>
        <v>0</v>
      </c>
      <c r="U132">
        <f t="shared" si="41"/>
        <v>0</v>
      </c>
      <c r="V132">
        <f t="shared" si="41"/>
        <v>0</v>
      </c>
      <c r="W132">
        <f t="shared" si="41"/>
        <v>0</v>
      </c>
      <c r="X132">
        <f t="shared" si="41"/>
        <v>0</v>
      </c>
      <c r="Y132">
        <f t="shared" si="41"/>
        <v>0</v>
      </c>
      <c r="Z132">
        <f t="shared" si="41"/>
        <v>0</v>
      </c>
      <c r="AA132">
        <f t="shared" si="41"/>
        <v>0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23</v>
      </c>
      <c r="BA132" s="169">
        <f t="shared" si="42"/>
        <v>23</v>
      </c>
      <c r="BB132" s="169">
        <f t="shared" si="42"/>
        <v>23</v>
      </c>
      <c r="BC132" s="169">
        <f t="shared" si="42"/>
        <v>23</v>
      </c>
      <c r="BD132" s="169">
        <f t="shared" si="42"/>
        <v>23</v>
      </c>
      <c r="BE132" s="169">
        <f t="shared" si="42"/>
        <v>23</v>
      </c>
      <c r="BF132" s="169">
        <f t="shared" si="42"/>
        <v>23</v>
      </c>
      <c r="BG132" s="169">
        <f t="shared" si="42"/>
        <v>23</v>
      </c>
      <c r="BH132" s="169">
        <f t="shared" si="42"/>
        <v>23</v>
      </c>
      <c r="BI132" s="169">
        <f t="shared" si="42"/>
        <v>23</v>
      </c>
      <c r="BJ132" s="169">
        <f t="shared" si="42"/>
        <v>23</v>
      </c>
      <c r="BK132" s="169">
        <f t="shared" si="42"/>
        <v>23</v>
      </c>
      <c r="BL132" s="169">
        <f t="shared" si="42"/>
        <v>23</v>
      </c>
      <c r="BM132" s="169">
        <f t="shared" si="42"/>
        <v>23</v>
      </c>
      <c r="BN132" s="169">
        <f t="shared" si="42"/>
        <v>23</v>
      </c>
      <c r="BO132" s="169">
        <f t="shared" si="42"/>
        <v>23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0</v>
      </c>
      <c r="D133" s="256">
        <f t="shared" si="28"/>
        <v>0</v>
      </c>
      <c r="AT133" s="183" t="str">
        <f t="shared" ref="AT133:AT141" si="45">AT122</f>
        <v>Génisses laitiéres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13</v>
      </c>
      <c r="BC133" s="169">
        <f t="shared" si="46"/>
        <v>13</v>
      </c>
      <c r="BD133" s="169">
        <f t="shared" si="46"/>
        <v>13</v>
      </c>
      <c r="BE133" s="169">
        <f t="shared" si="46"/>
        <v>13</v>
      </c>
      <c r="BF133" s="169">
        <f t="shared" si="46"/>
        <v>13</v>
      </c>
      <c r="BG133" s="169">
        <f t="shared" si="46"/>
        <v>13</v>
      </c>
      <c r="BH133" s="169">
        <f t="shared" si="46"/>
        <v>13</v>
      </c>
      <c r="BI133" s="169">
        <f t="shared" si="46"/>
        <v>13</v>
      </c>
      <c r="BJ133" s="169">
        <f t="shared" si="46"/>
        <v>13</v>
      </c>
      <c r="BK133" s="169">
        <f t="shared" si="46"/>
        <v>13</v>
      </c>
      <c r="BL133" s="169">
        <f t="shared" si="46"/>
        <v>13</v>
      </c>
      <c r="BM133" s="169">
        <f t="shared" si="46"/>
        <v>13</v>
      </c>
      <c r="BN133" s="169">
        <f t="shared" si="46"/>
        <v>13</v>
      </c>
      <c r="BO133" s="169">
        <f t="shared" si="46"/>
        <v>13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lot3</v>
      </c>
      <c r="AV134" s="169">
        <f t="shared" ref="AV134:BS134" si="53">IF(AV77=0,0,VALUE(CONCATENATE(AV89,AV100)))</f>
        <v>0</v>
      </c>
      <c r="AW134" s="169">
        <f t="shared" si="53"/>
        <v>0</v>
      </c>
      <c r="AX134" s="169">
        <f t="shared" si="53"/>
        <v>0</v>
      </c>
      <c r="AY134" s="169">
        <f t="shared" si="53"/>
        <v>0</v>
      </c>
      <c r="AZ134" s="169">
        <f t="shared" si="53"/>
        <v>0</v>
      </c>
      <c r="BA134" s="169">
        <f t="shared" si="53"/>
        <v>0</v>
      </c>
      <c r="BB134" s="169">
        <f t="shared" si="53"/>
        <v>0</v>
      </c>
      <c r="BC134" s="169">
        <f t="shared" si="53"/>
        <v>0</v>
      </c>
      <c r="BD134" s="169">
        <f t="shared" si="53"/>
        <v>0</v>
      </c>
      <c r="BE134" s="169">
        <f t="shared" si="53"/>
        <v>0</v>
      </c>
      <c r="BF134" s="169">
        <f t="shared" si="53"/>
        <v>0</v>
      </c>
      <c r="BG134" s="169">
        <f t="shared" si="53"/>
        <v>0</v>
      </c>
      <c r="BH134" s="169">
        <f t="shared" si="53"/>
        <v>0</v>
      </c>
      <c r="BI134" s="169">
        <f t="shared" si="53"/>
        <v>0</v>
      </c>
      <c r="BJ134" s="169">
        <f t="shared" si="53"/>
        <v>0</v>
      </c>
      <c r="BK134" s="169">
        <f t="shared" si="53"/>
        <v>0</v>
      </c>
      <c r="BL134" s="169">
        <f t="shared" si="53"/>
        <v>0</v>
      </c>
      <c r="BM134" s="169">
        <f t="shared" si="53"/>
        <v>0</v>
      </c>
      <c r="BN134" s="169">
        <f t="shared" si="53"/>
        <v>0</v>
      </c>
      <c r="BO134" s="169">
        <f t="shared" si="53"/>
        <v>0</v>
      </c>
      <c r="BP134" s="169">
        <f t="shared" si="53"/>
        <v>0</v>
      </c>
      <c r="BQ134" s="169">
        <f t="shared" si="53"/>
        <v>0</v>
      </c>
      <c r="BR134" s="169">
        <f t="shared" si="53"/>
        <v>0</v>
      </c>
      <c r="BS134" s="169">
        <f t="shared" si="53"/>
        <v>0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 t="e">
        <f>SUM(C110:C112)/SUM(C110:C118)</f>
        <v>#DIV/0!</v>
      </c>
      <c r="D136" s="256" t="e">
        <f t="shared" si="28"/>
        <v>#DIV/0!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1</v>
      </c>
      <c r="AW142" s="169">
        <f t="shared" ref="AW142:BS142" si="82">COUNTIF(AW$132:AW$141,23)</f>
        <v>1</v>
      </c>
      <c r="AX142" s="169">
        <f t="shared" si="82"/>
        <v>1</v>
      </c>
      <c r="AY142" s="169">
        <f t="shared" si="82"/>
        <v>1</v>
      </c>
      <c r="AZ142" s="169">
        <f t="shared" si="82"/>
        <v>1</v>
      </c>
      <c r="BA142" s="169">
        <f t="shared" si="82"/>
        <v>1</v>
      </c>
      <c r="BB142" s="169">
        <f t="shared" si="82"/>
        <v>1</v>
      </c>
      <c r="BC142" s="169">
        <f t="shared" si="82"/>
        <v>1</v>
      </c>
      <c r="BD142" s="169">
        <f t="shared" si="82"/>
        <v>1</v>
      </c>
      <c r="BE142" s="169">
        <f t="shared" si="82"/>
        <v>1</v>
      </c>
      <c r="BF142" s="169">
        <f t="shared" si="82"/>
        <v>1</v>
      </c>
      <c r="BG142" s="169">
        <f t="shared" si="82"/>
        <v>1</v>
      </c>
      <c r="BH142" s="169">
        <f t="shared" si="82"/>
        <v>1</v>
      </c>
      <c r="BI142" s="169">
        <f t="shared" si="82"/>
        <v>1</v>
      </c>
      <c r="BJ142" s="169">
        <f t="shared" si="82"/>
        <v>1</v>
      </c>
      <c r="BK142" s="169">
        <f t="shared" si="82"/>
        <v>1</v>
      </c>
      <c r="BL142" s="169">
        <f t="shared" si="82"/>
        <v>1</v>
      </c>
      <c r="BM142" s="169">
        <f t="shared" si="82"/>
        <v>1</v>
      </c>
      <c r="BN142" s="169">
        <f t="shared" si="82"/>
        <v>1</v>
      </c>
      <c r="BO142" s="169">
        <f t="shared" si="82"/>
        <v>1</v>
      </c>
      <c r="BP142" s="169">
        <f t="shared" si="82"/>
        <v>1</v>
      </c>
      <c r="BQ142" s="169">
        <f t="shared" si="82"/>
        <v>1</v>
      </c>
      <c r="BR142" s="169">
        <f t="shared" si="82"/>
        <v>1</v>
      </c>
      <c r="BS142" s="169">
        <f t="shared" si="82"/>
        <v>1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1</v>
      </c>
      <c r="BC143" s="169">
        <f t="shared" si="85"/>
        <v>1</v>
      </c>
      <c r="BD143" s="169">
        <f t="shared" si="85"/>
        <v>1</v>
      </c>
      <c r="BE143" s="169">
        <f t="shared" si="85"/>
        <v>1</v>
      </c>
      <c r="BF143" s="169">
        <f t="shared" si="85"/>
        <v>1</v>
      </c>
      <c r="BG143" s="169">
        <f t="shared" si="85"/>
        <v>1</v>
      </c>
      <c r="BH143" s="169">
        <f t="shared" si="85"/>
        <v>1</v>
      </c>
      <c r="BI143" s="169">
        <f t="shared" si="85"/>
        <v>1</v>
      </c>
      <c r="BJ143" s="169">
        <f t="shared" si="85"/>
        <v>1</v>
      </c>
      <c r="BK143" s="169">
        <f t="shared" si="85"/>
        <v>1</v>
      </c>
      <c r="BL143" s="169">
        <f t="shared" si="85"/>
        <v>1</v>
      </c>
      <c r="BM143" s="169">
        <f t="shared" si="85"/>
        <v>1</v>
      </c>
      <c r="BN143" s="169">
        <f t="shared" si="85"/>
        <v>1</v>
      </c>
      <c r="BO143" s="169">
        <f t="shared" si="85"/>
        <v>1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0</v>
      </c>
      <c r="BA144" s="169">
        <f t="shared" si="88"/>
        <v>0</v>
      </c>
      <c r="BB144" s="169">
        <f t="shared" si="88"/>
        <v>0</v>
      </c>
      <c r="BC144" s="169">
        <f t="shared" si="88"/>
        <v>0</v>
      </c>
      <c r="BD144" s="169">
        <f t="shared" si="88"/>
        <v>0</v>
      </c>
      <c r="BE144" s="169">
        <f t="shared" si="88"/>
        <v>0</v>
      </c>
      <c r="BF144" s="169">
        <f t="shared" si="88"/>
        <v>0</v>
      </c>
      <c r="BG144" s="169">
        <f t="shared" si="88"/>
        <v>0</v>
      </c>
      <c r="BH144" s="169">
        <f t="shared" si="88"/>
        <v>0</v>
      </c>
      <c r="BI144" s="169">
        <f t="shared" si="88"/>
        <v>0</v>
      </c>
      <c r="BJ144" s="169">
        <f t="shared" si="88"/>
        <v>0</v>
      </c>
      <c r="BK144" s="169">
        <f t="shared" si="88"/>
        <v>0</v>
      </c>
      <c r="BL144" s="169">
        <f t="shared" si="88"/>
        <v>0</v>
      </c>
      <c r="BM144" s="169">
        <f t="shared" si="88"/>
        <v>0</v>
      </c>
      <c r="BN144" s="169">
        <f t="shared" si="88"/>
        <v>0</v>
      </c>
      <c r="BO144" s="169">
        <f t="shared" si="88"/>
        <v>0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0</v>
      </c>
      <c r="BC145" s="169">
        <f t="shared" si="91"/>
        <v>0</v>
      </c>
      <c r="BD145" s="169">
        <f t="shared" si="91"/>
        <v>0</v>
      </c>
      <c r="BE145" s="169">
        <f t="shared" si="91"/>
        <v>0</v>
      </c>
      <c r="BF145" s="169">
        <f t="shared" si="91"/>
        <v>0</v>
      </c>
      <c r="BG145" s="169">
        <f t="shared" si="91"/>
        <v>0</v>
      </c>
      <c r="BH145" s="169">
        <f t="shared" si="91"/>
        <v>0</v>
      </c>
      <c r="BI145" s="169">
        <f t="shared" si="91"/>
        <v>0</v>
      </c>
      <c r="BJ145" s="169">
        <f t="shared" si="91"/>
        <v>0</v>
      </c>
      <c r="BK145" s="169">
        <f t="shared" si="91"/>
        <v>0</v>
      </c>
      <c r="BL145" s="169">
        <f t="shared" si="91"/>
        <v>0</v>
      </c>
      <c r="BM145" s="169">
        <f t="shared" si="91"/>
        <v>0</v>
      </c>
      <c r="BN145" s="169">
        <f t="shared" si="91"/>
        <v>0</v>
      </c>
      <c r="BO145" s="169">
        <f t="shared" si="91"/>
        <v>0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23</v>
      </c>
      <c r="BA146" s="62">
        <f t="shared" si="94"/>
        <v>23</v>
      </c>
      <c r="BB146" s="62">
        <f t="shared" si="94"/>
        <v>23</v>
      </c>
      <c r="BC146" s="62">
        <f t="shared" si="94"/>
        <v>23</v>
      </c>
      <c r="BD146" s="62">
        <f t="shared" si="94"/>
        <v>23</v>
      </c>
      <c r="BE146" s="62">
        <f t="shared" si="94"/>
        <v>23</v>
      </c>
      <c r="BF146" s="62">
        <f t="shared" si="94"/>
        <v>23</v>
      </c>
      <c r="BG146" s="62">
        <f t="shared" si="94"/>
        <v>23</v>
      </c>
      <c r="BH146" s="62">
        <f t="shared" si="94"/>
        <v>23</v>
      </c>
      <c r="BI146" s="62">
        <f t="shared" si="94"/>
        <v>23</v>
      </c>
      <c r="BJ146" s="62">
        <f t="shared" si="94"/>
        <v>23</v>
      </c>
      <c r="BK146" s="62">
        <f t="shared" si="94"/>
        <v>23</v>
      </c>
      <c r="BL146" s="62">
        <f t="shared" si="94"/>
        <v>23</v>
      </c>
      <c r="BM146" s="62">
        <f t="shared" si="94"/>
        <v>23</v>
      </c>
      <c r="BN146" s="62">
        <f t="shared" si="94"/>
        <v>23</v>
      </c>
      <c r="BO146" s="62">
        <f t="shared" si="94"/>
        <v>23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42</v>
      </c>
      <c r="BC147" s="184">
        <f>IF(BC146=0,0,HLOOKUP(BC146,[1]Trav!$C$39:$G$59,$AU$166))</f>
        <v>42</v>
      </c>
      <c r="BD147" s="184">
        <f>IF(BD146=0,0,HLOOKUP(BD146,[1]Trav!$C$39:$G$59,$AU$166))</f>
        <v>42</v>
      </c>
      <c r="BE147" s="184">
        <f>IF(BE146=0,0,HLOOKUP(BE146,[1]Trav!$C$39:$G$59,$AU$166))</f>
        <v>42</v>
      </c>
      <c r="BF147" s="184">
        <f>IF(BF146=0,0,HLOOKUP(BF146,[1]Trav!$C$39:$G$59,$AU$166))</f>
        <v>42</v>
      </c>
      <c r="BG147" s="184">
        <f>IF(BG146=0,0,HLOOKUP(BG146,[1]Trav!$C$39:$G$59,$AU$166))</f>
        <v>42</v>
      </c>
      <c r="BH147" s="184">
        <f>IF(BH146=0,0,HLOOKUP(BH146,[1]Trav!$C$39:$G$59,$AU$166))</f>
        <v>42</v>
      </c>
      <c r="BI147" s="184">
        <f>IF(BI146=0,0,HLOOKUP(BI146,[1]Trav!$C$39:$G$59,$AU$166))</f>
        <v>42</v>
      </c>
      <c r="BJ147" s="184">
        <f>IF(BJ146=0,0,HLOOKUP(BJ146,[1]Trav!$C$39:$G$59,$AU$166))</f>
        <v>42</v>
      </c>
      <c r="BK147" s="184">
        <f>IF(BK146=0,0,HLOOKUP(BK146,[1]Trav!$C$39:$G$59,$AU$166))</f>
        <v>42</v>
      </c>
      <c r="BL147" s="184">
        <f>IF(BL146=0,0,HLOOKUP(BL146,[1]Trav!$C$39:$G$59,$AU$166))</f>
        <v>42</v>
      </c>
      <c r="BM147" s="184">
        <f>IF(BM146=0,0,HLOOKUP(BM146,[1]Trav!$C$39:$G$59,$AU$166))</f>
        <v>42</v>
      </c>
      <c r="BN147" s="184">
        <f>IF(BN146=0,0,HLOOKUP(BN146,[1]Trav!$C$39:$G$59,$AU$166))</f>
        <v>42</v>
      </c>
      <c r="BO147" s="184">
        <f>IF(BO146=0,0,HLOOKUP(BO146,[1]Trav!$C$39:$G$59,$AU$166))</f>
        <v>42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361988</v>
      </c>
      <c r="D150" s="257">
        <f t="shared" si="68"/>
        <v>463566.26530612243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0</v>
      </c>
      <c r="D151" s="257">
        <f t="shared" si="68"/>
        <v>0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49.879846938775508</v>
      </c>
      <c r="AW151" s="169">
        <f t="shared" si="98"/>
        <v>49.879846938775508</v>
      </c>
      <c r="AX151" s="169">
        <f t="shared" si="98"/>
        <v>49.879846938775508</v>
      </c>
      <c r="AY151" s="169">
        <f t="shared" si="98"/>
        <v>49.879846938775508</v>
      </c>
      <c r="AZ151" s="169">
        <f t="shared" si="98"/>
        <v>49.879846938775508</v>
      </c>
      <c r="BA151" s="169">
        <f t="shared" si="98"/>
        <v>49.879846938775508</v>
      </c>
      <c r="BB151" s="169">
        <f t="shared" si="98"/>
        <v>48.567219387755095</v>
      </c>
      <c r="BC151" s="169">
        <f t="shared" si="98"/>
        <v>47.25459183673469</v>
      </c>
      <c r="BD151" s="169">
        <f t="shared" si="98"/>
        <v>45.941964285714285</v>
      </c>
      <c r="BE151" s="169">
        <f t="shared" si="98"/>
        <v>43.316709183673467</v>
      </c>
      <c r="BF151" s="169">
        <f t="shared" si="98"/>
        <v>40.691454081632649</v>
      </c>
      <c r="BG151" s="169">
        <f t="shared" si="98"/>
        <v>39.378826530612244</v>
      </c>
      <c r="BH151" s="169">
        <f t="shared" si="98"/>
        <v>39.378826530612244</v>
      </c>
      <c r="BI151" s="169">
        <f t="shared" si="98"/>
        <v>39.378826530612244</v>
      </c>
      <c r="BJ151" s="169">
        <f t="shared" si="98"/>
        <v>43.316709183673467</v>
      </c>
      <c r="BK151" s="169">
        <f t="shared" si="98"/>
        <v>43.316709183673467</v>
      </c>
      <c r="BL151" s="169">
        <f t="shared" si="98"/>
        <v>49.879846938775508</v>
      </c>
      <c r="BM151" s="169">
        <f t="shared" si="98"/>
        <v>52.505102040816325</v>
      </c>
      <c r="BN151" s="169">
        <f t="shared" si="98"/>
        <v>52.505102040816325</v>
      </c>
      <c r="BO151" s="169">
        <f t="shared" si="98"/>
        <v>52.505102040816325</v>
      </c>
      <c r="BP151" s="169">
        <f t="shared" si="98"/>
        <v>52.505102040816325</v>
      </c>
      <c r="BQ151" s="169">
        <f t="shared" si="98"/>
        <v>51.19247448979592</v>
      </c>
      <c r="BR151" s="169">
        <f t="shared" si="98"/>
        <v>49.879846938775508</v>
      </c>
      <c r="BS151" s="169">
        <f t="shared" si="98"/>
        <v>49.879846938775508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0</v>
      </c>
      <c r="D152" s="257">
        <f t="shared" si="68"/>
        <v>0</v>
      </c>
      <c r="F152" s="14" t="s">
        <v>1235</v>
      </c>
      <c r="G152">
        <f>IF(Troupeau!B$3="BV",'Calcul éco'!B14,0)</f>
        <v>0</v>
      </c>
      <c r="AT152" s="183" t="str">
        <f t="shared" si="97"/>
        <v>Génisses laitiéres</v>
      </c>
      <c r="AV152" s="169">
        <f t="shared" ref="AV152:BS152" si="103">IF(AV99&gt;1,AV65,0)</f>
        <v>38.066198979591839</v>
      </c>
      <c r="AW152" s="169">
        <f t="shared" si="103"/>
        <v>38.066198979591839</v>
      </c>
      <c r="AX152" s="169">
        <f t="shared" si="103"/>
        <v>38.066198979591839</v>
      </c>
      <c r="AY152" s="169">
        <f t="shared" si="103"/>
        <v>38.066198979591839</v>
      </c>
      <c r="AZ152" s="169">
        <f t="shared" si="103"/>
        <v>38.066198979591839</v>
      </c>
      <c r="BA152" s="169">
        <f t="shared" si="103"/>
        <v>38.066198979591839</v>
      </c>
      <c r="BB152" s="169">
        <f t="shared" si="103"/>
        <v>38.066198979591839</v>
      </c>
      <c r="BC152" s="169">
        <f t="shared" si="103"/>
        <v>38.066198979591839</v>
      </c>
      <c r="BD152" s="169">
        <f t="shared" si="103"/>
        <v>38.066198979591839</v>
      </c>
      <c r="BE152" s="169">
        <f t="shared" si="103"/>
        <v>38.066198979591839</v>
      </c>
      <c r="BF152" s="169">
        <f t="shared" si="103"/>
        <v>38.066198979591839</v>
      </c>
      <c r="BG152" s="169">
        <f t="shared" si="103"/>
        <v>38.066198979591839</v>
      </c>
      <c r="BH152" s="169">
        <f t="shared" si="103"/>
        <v>38.066198979591839</v>
      </c>
      <c r="BI152" s="169">
        <f t="shared" si="103"/>
        <v>38.066198979591839</v>
      </c>
      <c r="BJ152" s="169">
        <f t="shared" si="103"/>
        <v>38.066198979591839</v>
      </c>
      <c r="BK152" s="169">
        <f t="shared" si="103"/>
        <v>38.066198979591839</v>
      </c>
      <c r="BL152" s="169">
        <f t="shared" si="103"/>
        <v>38.066198979591839</v>
      </c>
      <c r="BM152" s="169">
        <f t="shared" si="103"/>
        <v>38.066198979591839</v>
      </c>
      <c r="BN152" s="169">
        <f t="shared" si="103"/>
        <v>38.066198979591839</v>
      </c>
      <c r="BO152" s="169">
        <f t="shared" si="103"/>
        <v>38.066198979591839</v>
      </c>
      <c r="BP152" s="169">
        <f t="shared" si="103"/>
        <v>38.066198979591839</v>
      </c>
      <c r="BQ152" s="169">
        <f t="shared" si="103"/>
        <v>38.066198979591839</v>
      </c>
      <c r="BR152" s="169">
        <f t="shared" si="103"/>
        <v>38.066198979591839</v>
      </c>
      <c r="BS152" s="169">
        <f t="shared" si="103"/>
        <v>38.066198979591839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0</v>
      </c>
      <c r="D153" s="257">
        <f t="shared" si="68"/>
        <v>0</v>
      </c>
      <c r="F153" s="14" t="s">
        <v>1237</v>
      </c>
      <c r="G153">
        <f>IF(Troupeau!C$3="BV",'Calcul éco'!C13,0)</f>
        <v>0</v>
      </c>
      <c r="AT153" s="183" t="str">
        <f t="shared" si="97"/>
        <v>lot3</v>
      </c>
      <c r="AV153" s="169">
        <f t="shared" ref="AV153:BS153" si="106">IF(AV100&gt;1,AV66,0)</f>
        <v>0</v>
      </c>
      <c r="AW153" s="169">
        <f t="shared" si="106"/>
        <v>0</v>
      </c>
      <c r="AX153" s="169">
        <f t="shared" si="106"/>
        <v>0</v>
      </c>
      <c r="AY153" s="169">
        <f t="shared" si="106"/>
        <v>0</v>
      </c>
      <c r="AZ153" s="169">
        <f t="shared" si="106"/>
        <v>0</v>
      </c>
      <c r="BA153" s="169">
        <f t="shared" si="106"/>
        <v>0</v>
      </c>
      <c r="BB153" s="169">
        <f t="shared" si="106"/>
        <v>0</v>
      </c>
      <c r="BC153" s="169">
        <f t="shared" si="106"/>
        <v>0</v>
      </c>
      <c r="BD153" s="169">
        <f t="shared" si="106"/>
        <v>0</v>
      </c>
      <c r="BE153" s="169">
        <f t="shared" si="106"/>
        <v>0</v>
      </c>
      <c r="BF153" s="169">
        <f t="shared" si="106"/>
        <v>0</v>
      </c>
      <c r="BG153" s="169">
        <f t="shared" si="106"/>
        <v>0</v>
      </c>
      <c r="BH153" s="169">
        <f t="shared" si="106"/>
        <v>0</v>
      </c>
      <c r="BI153" s="169">
        <f t="shared" si="106"/>
        <v>0</v>
      </c>
      <c r="BJ153" s="169">
        <f t="shared" si="106"/>
        <v>0</v>
      </c>
      <c r="BK153" s="169">
        <f t="shared" si="106"/>
        <v>0</v>
      </c>
      <c r="BL153" s="169">
        <f t="shared" si="106"/>
        <v>0</v>
      </c>
      <c r="BM153" s="169">
        <f t="shared" si="106"/>
        <v>0</v>
      </c>
      <c r="BN153" s="169">
        <f t="shared" si="106"/>
        <v>0</v>
      </c>
      <c r="BO153" s="169">
        <f t="shared" si="106"/>
        <v>0</v>
      </c>
      <c r="BP153" s="169">
        <f t="shared" si="106"/>
        <v>0</v>
      </c>
      <c r="BQ153" s="169">
        <f t="shared" si="106"/>
        <v>0</v>
      </c>
      <c r="BR153" s="169">
        <f t="shared" si="106"/>
        <v>0</v>
      </c>
      <c r="BS153" s="169">
        <f t="shared" si="106"/>
        <v>0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0</v>
      </c>
      <c r="D154" s="257">
        <f t="shared" si="68"/>
        <v>0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0</v>
      </c>
      <c r="D157" s="257">
        <f t="shared" si="68"/>
        <v>0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0</v>
      </c>
      <c r="D158" s="257">
        <f t="shared" si="68"/>
        <v>0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0</v>
      </c>
      <c r="D159" s="257">
        <f t="shared" si="68"/>
        <v>0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4.4000000000000057</v>
      </c>
      <c r="D160" s="257">
        <f t="shared" si="68"/>
        <v>5.6346938775510278</v>
      </c>
      <c r="AT160" s="198" t="s">
        <v>13</v>
      </c>
      <c r="AV160" s="62">
        <f>SUM(AV151:AV159)</f>
        <v>87.946045918367346</v>
      </c>
      <c r="AW160" s="62">
        <f t="shared" ref="AW160:BS160" si="128">SUM(AW151:AW159)</f>
        <v>87.946045918367346</v>
      </c>
      <c r="AX160" s="62">
        <f t="shared" si="128"/>
        <v>87.946045918367346</v>
      </c>
      <c r="AY160" s="62">
        <f t="shared" si="128"/>
        <v>87.946045918367346</v>
      </c>
      <c r="AZ160" s="62">
        <f t="shared" si="128"/>
        <v>87.946045918367346</v>
      </c>
      <c r="BA160" s="62">
        <f t="shared" si="128"/>
        <v>87.946045918367346</v>
      </c>
      <c r="BB160" s="62">
        <f t="shared" si="128"/>
        <v>86.633418367346934</v>
      </c>
      <c r="BC160" s="62">
        <f t="shared" si="128"/>
        <v>85.320790816326536</v>
      </c>
      <c r="BD160" s="62">
        <f t="shared" si="128"/>
        <v>84.008163265306123</v>
      </c>
      <c r="BE160" s="62">
        <f t="shared" si="128"/>
        <v>81.382908163265313</v>
      </c>
      <c r="BF160" s="62">
        <f t="shared" si="128"/>
        <v>78.757653061224488</v>
      </c>
      <c r="BG160" s="62">
        <f t="shared" si="128"/>
        <v>77.44502551020409</v>
      </c>
      <c r="BH160" s="62">
        <f t="shared" si="128"/>
        <v>77.44502551020409</v>
      </c>
      <c r="BI160" s="62">
        <f t="shared" si="128"/>
        <v>77.44502551020409</v>
      </c>
      <c r="BJ160" s="62">
        <f t="shared" si="128"/>
        <v>81.382908163265313</v>
      </c>
      <c r="BK160" s="62">
        <f t="shared" si="128"/>
        <v>81.382908163265313</v>
      </c>
      <c r="BL160" s="62">
        <f t="shared" si="128"/>
        <v>87.946045918367346</v>
      </c>
      <c r="BM160" s="62">
        <f t="shared" si="128"/>
        <v>90.571301020408157</v>
      </c>
      <c r="BN160" s="62">
        <f t="shared" si="128"/>
        <v>90.571301020408157</v>
      </c>
      <c r="BO160" s="62">
        <f t="shared" si="128"/>
        <v>90.571301020408157</v>
      </c>
      <c r="BP160" s="62">
        <f t="shared" si="128"/>
        <v>90.571301020408157</v>
      </c>
      <c r="BQ160" s="62">
        <f t="shared" si="128"/>
        <v>89.258673469387759</v>
      </c>
      <c r="BR160" s="62">
        <f t="shared" si="128"/>
        <v>87.946045918367346</v>
      </c>
      <c r="BS160" s="62">
        <f t="shared" si="128"/>
        <v>87.946045918367346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8.7946045918367339</v>
      </c>
      <c r="AW161" s="169">
        <f t="shared" ref="AW161:BS161" si="131">IF($AT$62="OL",AW160/50,AW160/10)</f>
        <v>8.7946045918367339</v>
      </c>
      <c r="AX161" s="169">
        <f t="shared" si="131"/>
        <v>8.7946045918367339</v>
      </c>
      <c r="AY161" s="169">
        <f t="shared" si="131"/>
        <v>8.7946045918367339</v>
      </c>
      <c r="AZ161" s="169">
        <f t="shared" si="131"/>
        <v>8.7946045918367339</v>
      </c>
      <c r="BA161" s="169">
        <f t="shared" si="131"/>
        <v>8.7946045918367339</v>
      </c>
      <c r="BB161" s="169">
        <f t="shared" si="131"/>
        <v>8.663341836734693</v>
      </c>
      <c r="BC161" s="169">
        <f t="shared" si="131"/>
        <v>8.5320790816326539</v>
      </c>
      <c r="BD161" s="169">
        <f t="shared" si="131"/>
        <v>8.4008163265306131</v>
      </c>
      <c r="BE161" s="169">
        <f t="shared" si="131"/>
        <v>8.1382908163265313</v>
      </c>
      <c r="BF161" s="169">
        <f t="shared" si="131"/>
        <v>7.8757653061224486</v>
      </c>
      <c r="BG161" s="169">
        <f t="shared" si="131"/>
        <v>7.7445025510204086</v>
      </c>
      <c r="BH161" s="169">
        <f t="shared" si="131"/>
        <v>7.7445025510204086</v>
      </c>
      <c r="BI161" s="169">
        <f t="shared" si="131"/>
        <v>7.7445025510204086</v>
      </c>
      <c r="BJ161" s="169">
        <f t="shared" si="131"/>
        <v>8.1382908163265313</v>
      </c>
      <c r="BK161" s="169">
        <f t="shared" si="131"/>
        <v>8.1382908163265313</v>
      </c>
      <c r="BL161" s="169">
        <f t="shared" si="131"/>
        <v>8.7946045918367339</v>
      </c>
      <c r="BM161" s="169">
        <f t="shared" si="131"/>
        <v>9.0571301020408157</v>
      </c>
      <c r="BN161" s="169">
        <f t="shared" si="131"/>
        <v>9.0571301020408157</v>
      </c>
      <c r="BO161" s="169">
        <f t="shared" si="131"/>
        <v>9.0571301020408157</v>
      </c>
      <c r="BP161" s="169">
        <f t="shared" si="131"/>
        <v>9.0571301020408157</v>
      </c>
      <c r="BQ161" s="169">
        <f t="shared" si="131"/>
        <v>8.9258673469387766</v>
      </c>
      <c r="BR161" s="169">
        <f t="shared" si="131"/>
        <v>8.7946045918367339</v>
      </c>
      <c r="BS161" s="169">
        <f t="shared" si="131"/>
        <v>8.7946045918367339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7.7946045918367339</v>
      </c>
      <c r="AW162" s="169">
        <f t="shared" ref="AW162:BS162" si="134">IF(AW161&gt;1,AW161-1,0)</f>
        <v>7.7946045918367339</v>
      </c>
      <c r="AX162" s="169">
        <f t="shared" si="134"/>
        <v>7.7946045918367339</v>
      </c>
      <c r="AY162" s="169">
        <f t="shared" si="134"/>
        <v>7.7946045918367339</v>
      </c>
      <c r="AZ162" s="169">
        <f t="shared" si="134"/>
        <v>7.7946045918367339</v>
      </c>
      <c r="BA162" s="169">
        <f t="shared" si="134"/>
        <v>7.7946045918367339</v>
      </c>
      <c r="BB162" s="169">
        <f t="shared" si="134"/>
        <v>7.663341836734693</v>
      </c>
      <c r="BC162" s="169">
        <f t="shared" si="134"/>
        <v>7.5320790816326539</v>
      </c>
      <c r="BD162" s="169">
        <f t="shared" si="134"/>
        <v>7.4008163265306131</v>
      </c>
      <c r="BE162" s="169">
        <f t="shared" si="134"/>
        <v>7.1382908163265313</v>
      </c>
      <c r="BF162" s="169">
        <f t="shared" si="134"/>
        <v>6.8757653061224486</v>
      </c>
      <c r="BG162" s="169">
        <f t="shared" si="134"/>
        <v>6.7445025510204086</v>
      </c>
      <c r="BH162" s="169">
        <f t="shared" si="134"/>
        <v>6.7445025510204086</v>
      </c>
      <c r="BI162" s="169">
        <f t="shared" si="134"/>
        <v>6.7445025510204086</v>
      </c>
      <c r="BJ162" s="169">
        <f t="shared" si="134"/>
        <v>7.1382908163265313</v>
      </c>
      <c r="BK162" s="169">
        <f t="shared" si="134"/>
        <v>7.1382908163265313</v>
      </c>
      <c r="BL162" s="169">
        <f t="shared" si="134"/>
        <v>7.7946045918367339</v>
      </c>
      <c r="BM162" s="169">
        <f t="shared" si="134"/>
        <v>8.0571301020408157</v>
      </c>
      <c r="BN162" s="169">
        <f t="shared" si="134"/>
        <v>8.0571301020408157</v>
      </c>
      <c r="BO162" s="169">
        <f t="shared" si="134"/>
        <v>8.0571301020408157</v>
      </c>
      <c r="BP162" s="169">
        <f t="shared" si="134"/>
        <v>8.0571301020408157</v>
      </c>
      <c r="BQ162" s="169">
        <f t="shared" si="134"/>
        <v>7.9258673469387766</v>
      </c>
      <c r="BR162" s="169">
        <f t="shared" si="134"/>
        <v>7.7946045918367339</v>
      </c>
      <c r="BS162" s="169">
        <f t="shared" si="134"/>
        <v>7.7946045918367339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0</v>
      </c>
      <c r="D163" s="257">
        <f t="shared" si="68"/>
        <v>0</v>
      </c>
      <c r="AT163" s="40" t="s">
        <v>827</v>
      </c>
      <c r="AV163" s="62">
        <f>AV147+AV148*AV162</f>
        <v>60.223785535714285</v>
      </c>
      <c r="AW163" s="62">
        <f t="shared" ref="AW163:BS163" si="137">AW147+AW148*AW162</f>
        <v>60.223785535714285</v>
      </c>
      <c r="AX163" s="62">
        <f t="shared" si="137"/>
        <v>60.223785535714285</v>
      </c>
      <c r="AY163" s="62">
        <f t="shared" si="137"/>
        <v>60.223785535714285</v>
      </c>
      <c r="AZ163" s="62">
        <f t="shared" si="137"/>
        <v>60.223785535714285</v>
      </c>
      <c r="BA163" s="62">
        <f t="shared" si="137"/>
        <v>60.223785535714285</v>
      </c>
      <c r="BB163" s="62">
        <f t="shared" si="137"/>
        <v>59.916893214285714</v>
      </c>
      <c r="BC163" s="62">
        <f t="shared" si="137"/>
        <v>59.610000892857144</v>
      </c>
      <c r="BD163" s="62">
        <f t="shared" si="137"/>
        <v>59.303108571428574</v>
      </c>
      <c r="BE163" s="62">
        <f t="shared" si="137"/>
        <v>58.689323928571426</v>
      </c>
      <c r="BF163" s="62">
        <f t="shared" si="137"/>
        <v>58.075539285714285</v>
      </c>
      <c r="BG163" s="62">
        <f t="shared" si="137"/>
        <v>57.768646964285715</v>
      </c>
      <c r="BH163" s="62">
        <f t="shared" si="137"/>
        <v>57.768646964285715</v>
      </c>
      <c r="BI163" s="62">
        <f t="shared" si="137"/>
        <v>57.768646964285715</v>
      </c>
      <c r="BJ163" s="62">
        <f t="shared" si="137"/>
        <v>58.689323928571426</v>
      </c>
      <c r="BK163" s="62">
        <f t="shared" si="137"/>
        <v>58.689323928571426</v>
      </c>
      <c r="BL163" s="62">
        <f t="shared" si="137"/>
        <v>60.223785535714285</v>
      </c>
      <c r="BM163" s="62">
        <f t="shared" si="137"/>
        <v>60.837570178571426</v>
      </c>
      <c r="BN163" s="62">
        <f t="shared" si="137"/>
        <v>60.837570178571426</v>
      </c>
      <c r="BO163" s="62">
        <f t="shared" si="137"/>
        <v>60.837570178571426</v>
      </c>
      <c r="BP163" s="62">
        <f t="shared" si="137"/>
        <v>60.837570178571426</v>
      </c>
      <c r="BQ163" s="62">
        <f t="shared" si="137"/>
        <v>60.530677857142862</v>
      </c>
      <c r="BR163" s="62">
        <f t="shared" si="137"/>
        <v>60.223785535714285</v>
      </c>
      <c r="BS163" s="62">
        <f t="shared" si="137"/>
        <v>60.223785535714285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371</v>
      </c>
      <c r="D164" s="257">
        <f t="shared" si="68"/>
        <v>475.10714285714283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12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9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9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laitiéres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0</v>
      </c>
      <c r="D169" s="257">
        <f t="shared" si="68"/>
        <v>0</v>
      </c>
      <c r="AT169" s="183" t="str">
        <f t="shared" si="140"/>
        <v>lot3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0</v>
      </c>
      <c r="D170" s="257">
        <f t="shared" si="68"/>
        <v>0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196.5</v>
      </c>
      <c r="D171" s="257">
        <f t="shared" si="68"/>
        <v>251.64030612244898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192.1</v>
      </c>
      <c r="D172" s="257">
        <f t="shared" si="68"/>
        <v>246.00561224489795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0</v>
      </c>
      <c r="D173" s="257">
        <f t="shared" si="68"/>
        <v>0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 t="e">
        <f>ROUND((1 -(C173/C169))*100,1)</f>
        <v>#DIV/0!</v>
      </c>
      <c r="D174" s="257" t="e">
        <f t="shared" si="68"/>
        <v>#DIV/0!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4.4000000000000057</v>
      </c>
      <c r="D175" s="257">
        <f>C175*$D$82/$C$82</f>
        <v>5.6346938775510278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0</v>
      </c>
      <c r="D176" s="257">
        <f>C176*$D$82/$C$82</f>
        <v>0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4.4000000000000057</v>
      </c>
      <c r="D177" s="257">
        <f>C177*$D$82/$C$82</f>
        <v>5.6346938775510278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102</v>
      </c>
      <c r="D178" s="169">
        <f>ROUND((D170+D171)/(D170+D172),2)*100</f>
        <v>102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0</v>
      </c>
      <c r="BA178" s="169">
        <f t="shared" si="143"/>
        <v>0</v>
      </c>
      <c r="BB178" s="169">
        <f t="shared" si="143"/>
        <v>0</v>
      </c>
      <c r="BC178" s="169">
        <f t="shared" si="143"/>
        <v>0</v>
      </c>
      <c r="BD178" s="169">
        <f t="shared" si="143"/>
        <v>0</v>
      </c>
      <c r="BE178" s="169">
        <f t="shared" si="143"/>
        <v>0</v>
      </c>
      <c r="BF178" s="169">
        <f t="shared" si="143"/>
        <v>0</v>
      </c>
      <c r="BG178" s="169">
        <f t="shared" si="143"/>
        <v>0</v>
      </c>
      <c r="BH178" s="169">
        <f t="shared" si="143"/>
        <v>0</v>
      </c>
      <c r="BI178" s="169">
        <f t="shared" si="143"/>
        <v>0</v>
      </c>
      <c r="BJ178" s="169">
        <f t="shared" si="143"/>
        <v>0</v>
      </c>
      <c r="BK178" s="169">
        <f t="shared" si="143"/>
        <v>0</v>
      </c>
      <c r="BL178" s="169">
        <f t="shared" si="143"/>
        <v>0</v>
      </c>
      <c r="BM178" s="169">
        <f t="shared" si="143"/>
        <v>0</v>
      </c>
      <c r="BN178" s="169">
        <f t="shared" si="143"/>
        <v>0</v>
      </c>
      <c r="BO178" s="169">
        <f t="shared" si="143"/>
        <v>0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103.7</v>
      </c>
      <c r="D179" s="257">
        <f>C179*$D$82/$C$82</f>
        <v>132.79948979591836</v>
      </c>
    </row>
    <row r="180" spans="1:132" x14ac:dyDescent="0.25">
      <c r="B180" s="14" t="s">
        <v>1269</v>
      </c>
      <c r="C180" s="169">
        <f>SUM('Calcul éco'!D19:D21)</f>
        <v>0</v>
      </c>
      <c r="D180" s="257">
        <f>C180*$D$82/$C$82</f>
        <v>0</v>
      </c>
    </row>
    <row r="181" spans="1:132" x14ac:dyDescent="0.25">
      <c r="B181" s="14" t="s">
        <v>1270</v>
      </c>
      <c r="C181" s="169">
        <f>ROUND(C180/C179,2)*100</f>
        <v>0</v>
      </c>
      <c r="D181" s="169">
        <f>ROUND(D180/D179,2)*100</f>
        <v>0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2</v>
      </c>
      <c r="D189" s="169">
        <f t="shared" si="146"/>
        <v>2</v>
      </c>
      <c r="AH189" s="15"/>
      <c r="AJ189" s="14" t="s">
        <v>1093</v>
      </c>
      <c r="AK189" s="30">
        <f>D189</f>
        <v>2</v>
      </c>
      <c r="AO189" s="169">
        <f>ROUND((([1]Protect!$B$5/[1]Protect!$B$11)+[1]Protect!$B$8)*AK189,0)</f>
        <v>1809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1809</v>
      </c>
    </row>
    <row r="193" spans="1:43" x14ac:dyDescent="0.25">
      <c r="B193" s="14" t="s">
        <v>1288</v>
      </c>
      <c r="C193" s="169">
        <f>(Travail!F75+Travail!F76+Travail!F81)/8</f>
        <v>1.125</v>
      </c>
      <c r="D193" s="169">
        <f>C193</f>
        <v>1.125</v>
      </c>
      <c r="I193" s="32" t="s">
        <v>1289</v>
      </c>
      <c r="J193" s="5">
        <f>D65</f>
        <v>0</v>
      </c>
      <c r="P193" s="32" t="s">
        <v>1290</v>
      </c>
      <c r="Q193" s="5">
        <f>D64</f>
        <v>52.505000000000003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143071</v>
      </c>
      <c r="D194" s="255">
        <f>ROUND(C194*D$82/C$82,0)</f>
        <v>183218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52.505000000000003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131402</v>
      </c>
      <c r="D196" s="255">
        <f t="shared" si="147"/>
        <v>168275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11075</v>
      </c>
      <c r="D198" s="255">
        <f t="shared" si="147"/>
        <v>14183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40</v>
      </c>
      <c r="Q199" s="169">
        <f>O199*P199</f>
        <v>1520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2310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2310</v>
      </c>
      <c r="D202" s="258">
        <f>ROUND(Q200,0)</f>
        <v>2310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0</v>
      </c>
      <c r="D205" s="255">
        <f>ROUND(C205*D$82/C$82,0)</f>
        <v>0</v>
      </c>
      <c r="I205" s="14" t="s">
        <v>1304</v>
      </c>
      <c r="J205" s="169">
        <f>D81</f>
        <v>58.908000000000001</v>
      </c>
      <c r="K205" s="169">
        <v>1</v>
      </c>
      <c r="L205" s="169">
        <f>J205*K205</f>
        <v>58.908000000000001</v>
      </c>
      <c r="T205" s="5"/>
      <c r="U205" s="5"/>
      <c r="V205" s="36"/>
      <c r="W205" s="5"/>
      <c r="X205" s="14" t="s">
        <v>945</v>
      </c>
      <c r="Y205" s="184">
        <f>'Calcul éco'!AC36</f>
        <v>223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4637</v>
      </c>
      <c r="D206" s="255">
        <f>ROUND(C206*D$82/C$82,0)</f>
        <v>5938</v>
      </c>
      <c r="I206" s="14" t="s">
        <v>271</v>
      </c>
      <c r="J206" s="169">
        <f>D80</f>
        <v>3.8420000000000001</v>
      </c>
      <c r="K206" s="169">
        <f>[1]Eco!$B$22/100</f>
        <v>0.6</v>
      </c>
      <c r="L206" s="169">
        <f t="shared" ref="L206" si="149">J206*K206</f>
        <v>2.3052000000000001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2342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>
        <f>Y209+Y205</f>
        <v>293</v>
      </c>
      <c r="Z207" s="169">
        <f>X207*Y207</f>
        <v>7325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3203</v>
      </c>
      <c r="D208" s="255">
        <f>ROUND(C208*D$82/C$82,0)</f>
        <v>4102</v>
      </c>
      <c r="S208" s="14" t="s">
        <v>957</v>
      </c>
      <c r="T208" s="30">
        <f>L212</f>
        <v>61.213200000000001</v>
      </c>
      <c r="W208" s="14" t="s">
        <v>958</v>
      </c>
      <c r="X208" s="169">
        <f>IF(T208&gt;50,25,IF(T208&gt;25,T208-25,0))</f>
        <v>25</v>
      </c>
      <c r="Y208" s="169">
        <f>Y209+0.66*Y205</f>
        <v>217.18</v>
      </c>
      <c r="Z208" s="169">
        <f t="shared" ref="Z208:Z209" si="150">X208*Y208</f>
        <v>5429.5</v>
      </c>
      <c r="AF208" s="5"/>
      <c r="AK208" s="14" t="s">
        <v>1113</v>
      </c>
      <c r="AL208" s="169">
        <f>IF(AO192&lt;SUM(AK200:AK204),AO192,SUM(AK200:AK204))</f>
        <v>1809</v>
      </c>
      <c r="AQ208" s="239"/>
    </row>
    <row r="209" spans="1:43" x14ac:dyDescent="0.25">
      <c r="B209" s="19" t="s">
        <v>968</v>
      </c>
      <c r="C209" s="169">
        <f>ROUND('Calcul éco'!J45,0)</f>
        <v>12277</v>
      </c>
      <c r="D209" s="258">
        <f>IF(Scénario!K9=0,0,ROUND(Z210,0))</f>
        <v>13539</v>
      </c>
      <c r="E209" s="17" t="s">
        <v>1306</v>
      </c>
      <c r="K209" s="40" t="s">
        <v>967</v>
      </c>
      <c r="L209" s="62">
        <f>SUM(L205:L206)</f>
        <v>61.213200000000001</v>
      </c>
      <c r="W209" s="14" t="s">
        <v>959</v>
      </c>
      <c r="X209" s="169">
        <f>IF(T208&gt;75,25,IF(T208&gt;50,T208-50,0))</f>
        <v>11.213200000000001</v>
      </c>
      <c r="Y209" s="184">
        <f>[1]Eco!$B$34</f>
        <v>70</v>
      </c>
      <c r="Z209" s="169">
        <f t="shared" si="150"/>
        <v>784.92399999999998</v>
      </c>
      <c r="AF209" s="5"/>
      <c r="AK209" s="14" t="s">
        <v>1114</v>
      </c>
      <c r="AL209" s="169">
        <f>IF(AO192&lt;SUM(AQ200:AQ204),AO192,SUM(AQ200:AQ204))</f>
        <v>1809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>
        <f>SUM(Z207:Z209)*IF(Scénario!K2="Exploit. Ind.",1,Scénario!K3)</f>
        <v>13539.423999999999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24769</v>
      </c>
      <c r="D211" s="258">
        <f>ROUND(SUM(D201:D210),0)</f>
        <v>28437</v>
      </c>
      <c r="E211" s="17" t="s">
        <v>1310</v>
      </c>
      <c r="K211" s="40" t="s">
        <v>974</v>
      </c>
      <c r="L211" s="62">
        <f>L209+L210</f>
        <v>61.213200000000001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61.213200000000001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56849</v>
      </c>
      <c r="D213" s="255">
        <f t="shared" ref="D213:D219" si="151">ROUND(C213*D$82/C$82,0)</f>
        <v>72802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56849</v>
      </c>
      <c r="D216" s="255">
        <f t="shared" si="151"/>
        <v>72802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7493.6</v>
      </c>
      <c r="D217" s="255">
        <f t="shared" si="151"/>
        <v>9596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3256.8</v>
      </c>
      <c r="D218" s="255">
        <f t="shared" si="151"/>
        <v>4171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1809</v>
      </c>
      <c r="D219" s="255">
        <f t="shared" si="151"/>
        <v>2317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69408</v>
      </c>
      <c r="D221" s="258">
        <f>ROUND(SUM(D216:D220),0)</f>
        <v>88886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5796</v>
      </c>
      <c r="D222" s="255">
        <f>ROUND(C222*D$82/C$82,0)</f>
        <v>7422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2360</v>
      </c>
      <c r="D223" s="169">
        <f>C223</f>
        <v>2360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10000</v>
      </c>
      <c r="D224" s="169">
        <f>C224</f>
        <v>10000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10000</v>
      </c>
      <c r="D226" s="255">
        <f>ROUND(C226*D$82/C$82,0)</f>
        <v>12806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16790</v>
      </c>
      <c r="D227" s="255">
        <f t="shared" ref="D227:D233" si="154">ROUND(C227*D$82/C$82,0)</f>
        <v>21501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760.2</v>
      </c>
      <c r="D230" s="255">
        <f t="shared" si="154"/>
        <v>974</v>
      </c>
    </row>
    <row r="231" spans="1:49" x14ac:dyDescent="0.25">
      <c r="B231" s="14" t="s">
        <v>1062</v>
      </c>
      <c r="C231" s="169">
        <f>'Calcul éco'!J159</f>
        <v>630</v>
      </c>
      <c r="D231" s="255">
        <f t="shared" si="154"/>
        <v>807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90</v>
      </c>
      <c r="D232" s="255">
        <f t="shared" si="154"/>
        <v>115</v>
      </c>
    </row>
    <row r="233" spans="1:49" x14ac:dyDescent="0.25">
      <c r="B233" s="14" t="s">
        <v>1064</v>
      </c>
      <c r="C233" s="169">
        <f>'Calcul éco'!J161</f>
        <v>0</v>
      </c>
      <c r="D233" s="255">
        <f t="shared" si="154"/>
        <v>0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46426</v>
      </c>
      <c r="D236" s="258">
        <f>ROUND(SUM(D222:D235),0)</f>
        <v>55985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52006</v>
      </c>
      <c r="D237" s="258">
        <f>D194+D211-D221-D236</f>
        <v>66784</v>
      </c>
    </row>
    <row r="238" spans="1:49" x14ac:dyDescent="0.25">
      <c r="B238" s="205" t="s">
        <v>1069</v>
      </c>
      <c r="C238" s="169">
        <f>ROUND(C237/Scénario!$K$4,0)</f>
        <v>34671</v>
      </c>
      <c r="D238" s="258">
        <f>ROUND(D237/D83,0)</f>
        <v>33392</v>
      </c>
    </row>
    <row r="239" spans="1:49" x14ac:dyDescent="0.25">
      <c r="B239" s="205" t="s">
        <v>1070</v>
      </c>
      <c r="C239" s="169">
        <f>'Calcul éco'!B177</f>
        <v>19000</v>
      </c>
      <c r="D239" s="258">
        <f>C239</f>
        <v>19000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33006</v>
      </c>
      <c r="D241" s="262">
        <f>ROUND(D237-D239-D240,0)</f>
        <v>47784</v>
      </c>
    </row>
    <row r="242" spans="1:15" x14ac:dyDescent="0.25">
      <c r="B242" s="205" t="s">
        <v>1073</v>
      </c>
      <c r="C242" s="169">
        <f>ROUND(C241/Scénario!K4,0)</f>
        <v>22004</v>
      </c>
      <c r="D242" s="258">
        <f>ROUND(D241/D83,0)</f>
        <v>23892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0</v>
      </c>
      <c r="D245" s="169">
        <f>C245</f>
        <v>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1326.9324250000004</v>
      </c>
      <c r="D248" s="258">
        <f>ROUND(SUM(AV163:BS163),1)</f>
        <v>1432.2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16.648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261.37360000000001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2.8815</v>
      </c>
      <c r="L255" s="184">
        <f>IF(K255&gt;[1]Trav!E118,[1]Trav!C118,[1]Trav!B118)</f>
        <v>3.7</v>
      </c>
      <c r="N255" s="168"/>
      <c r="O255">
        <f t="shared" si="159"/>
        <v>10.66155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59"/>
        <v>0</v>
      </c>
    </row>
    <row r="257" spans="1:15" x14ac:dyDescent="0.25">
      <c r="A257" s="2" t="s">
        <v>742</v>
      </c>
      <c r="B257" s="14" t="s">
        <v>546</v>
      </c>
      <c r="C257" s="264">
        <f>Travail!F31</f>
        <v>228</v>
      </c>
      <c r="D257" s="255">
        <f>ROUND(C257*D$82/C$82,0)</f>
        <v>292</v>
      </c>
      <c r="E257" s="17" t="s">
        <v>1339</v>
      </c>
      <c r="J257" s="32" t="s">
        <v>767</v>
      </c>
      <c r="K257" s="169">
        <f>D72+D73+D75</f>
        <v>42.260999999999996</v>
      </c>
      <c r="L257" s="184">
        <f>IF(K257&gt;[1]Trav!E119,[1]Trav!C119,[1]Trav!B119)</f>
        <v>1.4</v>
      </c>
      <c r="N257" s="168"/>
      <c r="O257">
        <f t="shared" si="159"/>
        <v>59.165399999999991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42.26</v>
      </c>
      <c r="L258" s="184">
        <f>IF(K258&gt;[1]Trav!E121,[1]Trav!C121,[1]Trav!B121)</f>
        <v>7.2</v>
      </c>
      <c r="N258" s="168"/>
      <c r="O258">
        <f t="shared" si="159"/>
        <v>304.27199999999999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42.26</v>
      </c>
      <c r="L259" s="184">
        <f>IF(K259&gt;[1]Trav!E121,[1]Trav!C121,[1]Trav!B121)</f>
        <v>7.2</v>
      </c>
      <c r="N259" s="168"/>
      <c r="O259">
        <f t="shared" si="159"/>
        <v>304.27199999999999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3.8420000000000001</v>
      </c>
      <c r="L260" s="184">
        <f>IF(K260&gt;[1]Trav!E121,[1]Trav!C121,[1]Trav!B121)</f>
        <v>7.2</v>
      </c>
      <c r="N260" s="168"/>
      <c r="O260">
        <f t="shared" si="159"/>
        <v>27.662400000000002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59"/>
        <v>0</v>
      </c>
    </row>
    <row r="262" spans="1:15" x14ac:dyDescent="0.25">
      <c r="A262" s="2" t="s">
        <v>1342</v>
      </c>
      <c r="B262" s="14" t="s">
        <v>761</v>
      </c>
      <c r="C262" s="264">
        <f>Travail!F50</f>
        <v>0</v>
      </c>
      <c r="D262" s="258">
        <f t="shared" ref="D262:D271" si="161">ROUND(K253*L253,0)</f>
        <v>0</v>
      </c>
      <c r="E262" s="17" t="s">
        <v>1343</v>
      </c>
      <c r="J262" s="32" t="s">
        <v>773</v>
      </c>
      <c r="K262" s="169">
        <f>D89</f>
        <v>3.8420000000000001</v>
      </c>
      <c r="L262" s="184">
        <f>[1]Trav!$B$123</f>
        <v>7.2</v>
      </c>
      <c r="M262" s="5"/>
      <c r="N262" s="168"/>
      <c r="O262">
        <f t="shared" si="159"/>
        <v>27.662400000000002</v>
      </c>
    </row>
    <row r="263" spans="1:15" x14ac:dyDescent="0.25">
      <c r="B263" s="14" t="s">
        <v>763</v>
      </c>
      <c r="C263" s="264">
        <f>Travail!F51</f>
        <v>204</v>
      </c>
      <c r="D263" s="258">
        <f t="shared" si="161"/>
        <v>261</v>
      </c>
    </row>
    <row r="264" spans="1:15" x14ac:dyDescent="0.25">
      <c r="B264" s="32" t="s">
        <v>765</v>
      </c>
      <c r="C264" s="264">
        <f>Travail!F52</f>
        <v>2</v>
      </c>
      <c r="D264" s="258">
        <f t="shared" si="161"/>
        <v>11</v>
      </c>
    </row>
    <row r="265" spans="1:15" x14ac:dyDescent="0.25">
      <c r="B265" s="32" t="s">
        <v>766</v>
      </c>
      <c r="C265" s="264">
        <f>Travail!F53</f>
        <v>0</v>
      </c>
      <c r="D265" s="258">
        <f t="shared" si="161"/>
        <v>0</v>
      </c>
    </row>
    <row r="266" spans="1:15" x14ac:dyDescent="0.25">
      <c r="B266" s="32" t="s">
        <v>767</v>
      </c>
      <c r="C266" s="264">
        <f>Travail!F54</f>
        <v>46</v>
      </c>
      <c r="D266" s="258">
        <f t="shared" si="161"/>
        <v>59</v>
      </c>
    </row>
    <row r="267" spans="1:15" x14ac:dyDescent="0.25">
      <c r="B267" s="32" t="s">
        <v>768</v>
      </c>
      <c r="C267" s="264">
        <f>Travail!F55</f>
        <v>238</v>
      </c>
      <c r="D267" s="258">
        <f t="shared" si="161"/>
        <v>304</v>
      </c>
    </row>
    <row r="268" spans="1:15" x14ac:dyDescent="0.25">
      <c r="B268" s="32" t="s">
        <v>769</v>
      </c>
      <c r="C268" s="264">
        <f>Travail!F56</f>
        <v>238</v>
      </c>
      <c r="D268" s="258">
        <f t="shared" si="161"/>
        <v>304</v>
      </c>
    </row>
    <row r="269" spans="1:15" x14ac:dyDescent="0.25">
      <c r="B269" s="32" t="s">
        <v>770</v>
      </c>
      <c r="C269" s="264">
        <f>Travail!F57</f>
        <v>22</v>
      </c>
      <c r="D269" s="258">
        <f t="shared" si="161"/>
        <v>28</v>
      </c>
    </row>
    <row r="270" spans="1:15" x14ac:dyDescent="0.25">
      <c r="B270" s="32" t="s">
        <v>771</v>
      </c>
      <c r="C270" s="264">
        <f>Travail!F58</f>
        <v>0</v>
      </c>
      <c r="D270" s="258">
        <f t="shared" si="161"/>
        <v>0</v>
      </c>
    </row>
    <row r="271" spans="1:15" x14ac:dyDescent="0.25">
      <c r="B271" s="32" t="s">
        <v>773</v>
      </c>
      <c r="C271" s="264">
        <f>Travail!F59</f>
        <v>22</v>
      </c>
      <c r="D271" s="258">
        <f t="shared" si="161"/>
        <v>28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1400</v>
      </c>
      <c r="C277" s="264">
        <f>Travail!F75+Travail!F81</f>
        <v>9</v>
      </c>
      <c r="D277" s="169">
        <f>C277</f>
        <v>9</v>
      </c>
    </row>
    <row r="278" spans="1:4" x14ac:dyDescent="0.25">
      <c r="B278" s="32" t="s">
        <v>1401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2468</v>
      </c>
      <c r="D281" s="258">
        <f>ROUND(D245+D248+D251+D254+D257+D260+D261,0)</f>
        <v>2637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60.2</v>
      </c>
      <c r="D284" s="169">
        <f>ROUND(D281/(Troupeau!$B$17*G63),2)</f>
        <v>50.22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2468</v>
      </c>
      <c r="D287" s="258">
        <f>SUM(D281:D283)</f>
        <v>2637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772</v>
      </c>
      <c r="D289" s="258">
        <f>SUM(D262:D271)</f>
        <v>995</v>
      </c>
    </row>
    <row r="290" spans="2:4" x14ac:dyDescent="0.25">
      <c r="B290" s="14" t="s">
        <v>1402</v>
      </c>
      <c r="C290" s="264">
        <f>C275+C276+C277</f>
        <v>9</v>
      </c>
      <c r="D290" s="273">
        <f>D275+D276+D277</f>
        <v>9</v>
      </c>
    </row>
    <row r="291" spans="2:4" x14ac:dyDescent="0.25">
      <c r="B291" s="14" t="s">
        <v>1403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3689</v>
      </c>
      <c r="D292" s="258">
        <f>ROUND(SUM(D287:D291),0)</f>
        <v>4081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2459</v>
      </c>
      <c r="D294" s="169">
        <f>ROUND((D292-D293)/D83,0)</f>
        <v>2041</v>
      </c>
    </row>
    <row r="295" spans="2:4" x14ac:dyDescent="0.25">
      <c r="B295" s="14" t="s">
        <v>1411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1412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1413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1414</v>
      </c>
      <c r="C298" s="169">
        <f>IF(Troupeau!$B$3="OL",CdTrp1!AA220,0)</f>
        <v>0</v>
      </c>
    </row>
    <row r="299" spans="2:4" x14ac:dyDescent="0.25">
      <c r="B299" s="14" t="s">
        <v>1415</v>
      </c>
      <c r="C299" s="169">
        <f>IF(Troupeau!$B$3="OL",CdTrp1!AA221,0)</f>
        <v>0</v>
      </c>
    </row>
    <row r="300" spans="2:4" x14ac:dyDescent="0.25">
      <c r="B300" s="14" t="s">
        <v>1416</v>
      </c>
      <c r="C300" s="169">
        <f>IF(Troupeau!$B$3="BV",CdTrp1!AA220,0)+IF(Troupeau!$C$3="BV",CdTrp2!AA220,0)</f>
        <v>0</v>
      </c>
    </row>
    <row r="301" spans="2:4" x14ac:dyDescent="0.25">
      <c r="B301" s="14" t="s">
        <v>1417</v>
      </c>
      <c r="C301" s="169">
        <f>IF(Troupeau!$B$3="BV",CdTrp1!AA221,0)+IF(Troupeau!$C$3="BV",CdTrp2!AA221,0)</f>
        <v>0</v>
      </c>
    </row>
    <row r="302" spans="2:4" x14ac:dyDescent="0.25">
      <c r="B302" s="14" t="s">
        <v>1418</v>
      </c>
      <c r="C302" s="169">
        <f>IF(Troupeau!$B$3="BL",CdTrp1!AA220,0)</f>
        <v>0</v>
      </c>
    </row>
    <row r="303" spans="2:4" x14ac:dyDescent="0.25">
      <c r="B303" s="14" t="s">
        <v>1419</v>
      </c>
      <c r="C303" s="169">
        <f>'Alim -Surf'!H10</f>
        <v>182</v>
      </c>
    </row>
    <row r="304" spans="2:4" x14ac:dyDescent="0.25">
      <c r="B304" s="14" t="s">
        <v>1420</v>
      </c>
      <c r="C304" s="169">
        <f>Protection!BL31+Protection!BK31</f>
        <v>30</v>
      </c>
    </row>
    <row r="305" spans="2:3" x14ac:dyDescent="0.25">
      <c r="B305" s="14" t="s">
        <v>1421</v>
      </c>
      <c r="C305" s="169">
        <f>Protection!BJ31</f>
        <v>0</v>
      </c>
    </row>
    <row r="306" spans="2:3" x14ac:dyDescent="0.25">
      <c r="B306" s="14" t="s">
        <v>1422</v>
      </c>
      <c r="C306" s="169">
        <f>'Calcul éco'!X233</f>
        <v>0</v>
      </c>
    </row>
    <row r="307" spans="2:3" x14ac:dyDescent="0.25">
      <c r="B307" s="14" t="s">
        <v>1423</v>
      </c>
      <c r="C307" s="169">
        <f>'Calcul éco'!X234</f>
        <v>0</v>
      </c>
    </row>
    <row r="308" spans="2:3" x14ac:dyDescent="0.25">
      <c r="B308" s="14" t="s">
        <v>1424</v>
      </c>
      <c r="C308" s="169">
        <f>'Calcul éco'!X235</f>
        <v>0</v>
      </c>
    </row>
    <row r="309" spans="2:3" x14ac:dyDescent="0.25">
      <c r="B309" s="14" t="s">
        <v>1425</v>
      </c>
      <c r="C309" s="169">
        <f>'Calcul éco'!X236</f>
        <v>0</v>
      </c>
    </row>
    <row r="310" spans="2:3" x14ac:dyDescent="0.25">
      <c r="B310" s="14" t="s">
        <v>1426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41</v>
      </c>
      <c r="C17" s="60"/>
      <c r="D17" s="60"/>
      <c r="E17" s="60"/>
      <c r="H17" s="2" t="s">
        <v>153</v>
      </c>
      <c r="I17" s="22"/>
      <c r="J17" s="60">
        <v>49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38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38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12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12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361988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12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17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54.2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4.1999999999999993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170.15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178.65750000000003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9430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94300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B123" sqref="B123:B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21"/>
      <c r="AA1" t="s">
        <v>177</v>
      </c>
      <c r="AK1" t="s">
        <v>1373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1374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278">
        <f>+Troupeau!J17</f>
        <v>49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2.5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38.950000000000003</v>
      </c>
      <c r="C15" s="60">
        <f>AM2*Troupeau!$B$17/CdTrp1!$AI$2</f>
        <v>38.950000000000003</v>
      </c>
      <c r="D15" s="60">
        <f>AN2*Troupeau!$B$17/CdTrp1!$AI$2</f>
        <v>38.950000000000003</v>
      </c>
      <c r="E15" s="60">
        <f>AO2*Troupeau!$B$17/CdTrp1!$AI$2</f>
        <v>38.950000000000003</v>
      </c>
      <c r="F15" s="60">
        <f>AP2*Troupeau!$B$17/CdTrp1!$AI$2</f>
        <v>38.950000000000003</v>
      </c>
      <c r="G15" s="60">
        <f>AQ2*Troupeau!$B$17/CdTrp1!$AI$2</f>
        <v>38.950000000000003</v>
      </c>
      <c r="H15" s="60">
        <f>AR2*Troupeau!$B$17/CdTrp1!$AI$2</f>
        <v>37.924999999999997</v>
      </c>
      <c r="I15" s="60">
        <f>AS2*Troupeau!$B$17/CdTrp1!$AI$2</f>
        <v>36.9</v>
      </c>
      <c r="J15" s="60">
        <f>AT2*Troupeau!$B$17/CdTrp1!$AI$2</f>
        <v>35.875</v>
      </c>
      <c r="K15" s="60">
        <f>AU2*Troupeau!$B$17/CdTrp1!$AI$2</f>
        <v>33.825000000000003</v>
      </c>
      <c r="L15" s="60">
        <f>AV2*Troupeau!$B$17/CdTrp1!$AI$2</f>
        <v>31.774999999999999</v>
      </c>
      <c r="M15" s="60">
        <f>AW2*Troupeau!$B$17/CdTrp1!$AI$2</f>
        <v>30.75</v>
      </c>
      <c r="N15" s="60">
        <f>AX2*Troupeau!$B$17/CdTrp1!$AI$2</f>
        <v>30.75</v>
      </c>
      <c r="O15" s="60">
        <f>AY2*Troupeau!$B$17/CdTrp1!$AI$2</f>
        <v>30.75</v>
      </c>
      <c r="P15" s="60">
        <f>AZ2*Troupeau!$B$17/CdTrp1!$AI$2</f>
        <v>33.825000000000003</v>
      </c>
      <c r="Q15" s="60">
        <f>BA2*Troupeau!$B$17/CdTrp1!$AI$2</f>
        <v>33.825000000000003</v>
      </c>
      <c r="R15" s="60">
        <f>BB2*Troupeau!$B$17/CdTrp1!$AI$2</f>
        <v>38.950000000000003</v>
      </c>
      <c r="S15" s="60">
        <f>BC2*Troupeau!$B$17/CdTrp1!$AI$2</f>
        <v>41</v>
      </c>
      <c r="T15" s="60">
        <f>BD2*Troupeau!$B$17/CdTrp1!$AI$2</f>
        <v>41</v>
      </c>
      <c r="U15" s="60">
        <f>BE2*Troupeau!$B$17/CdTrp1!$AI$2</f>
        <v>41</v>
      </c>
      <c r="V15" s="60">
        <f>BF2*Troupeau!$B$17/CdTrp1!$AI$2</f>
        <v>41</v>
      </c>
      <c r="W15" s="60">
        <f>BG2*Troupeau!$B$17/CdTrp1!$AI$2</f>
        <v>39.975000000000001</v>
      </c>
      <c r="X15" s="60">
        <f>BH2*Troupeau!$B$17/CdTrp1!$AI$2</f>
        <v>38.950000000000003</v>
      </c>
      <c r="Y15" s="60">
        <f>BI2*Troupeau!$B$17/CdTrp1!$AI$2</f>
        <v>38.950000000000003</v>
      </c>
      <c r="Z15" s="52"/>
    </row>
    <row r="16" spans="1:61" x14ac:dyDescent="0.25">
      <c r="A16" s="50" t="s">
        <v>431</v>
      </c>
      <c r="B16" s="60">
        <f>AL3*Troupeau!$B$17/CdTrp1!$AI$2</f>
        <v>29.725000000000001</v>
      </c>
      <c r="C16" s="60">
        <f>AM3*Troupeau!$B$17/CdTrp1!$AI$2</f>
        <v>29.725000000000001</v>
      </c>
      <c r="D16" s="60">
        <f>AN3*Troupeau!$B$17/CdTrp1!$AI$2</f>
        <v>29.725000000000001</v>
      </c>
      <c r="E16" s="60">
        <f>AO3*Troupeau!$B$17/CdTrp1!$AI$2</f>
        <v>29.725000000000001</v>
      </c>
      <c r="F16" s="60">
        <f>AP3*Troupeau!$B$17/CdTrp1!$AI$2</f>
        <v>29.725000000000001</v>
      </c>
      <c r="G16" s="60">
        <f>AQ3*Troupeau!$B$17/CdTrp1!$AI$2</f>
        <v>29.725000000000001</v>
      </c>
      <c r="H16" s="60">
        <f>AR3*Troupeau!$B$17/CdTrp1!$AI$2</f>
        <v>29.725000000000001</v>
      </c>
      <c r="I16" s="60">
        <f>AS3*Troupeau!$B$17/CdTrp1!$AI$2</f>
        <v>29.725000000000001</v>
      </c>
      <c r="J16" s="60">
        <f>AT3*Troupeau!$B$17/CdTrp1!$AI$2</f>
        <v>29.725000000000001</v>
      </c>
      <c r="K16" s="60">
        <f>AU3*Troupeau!$B$17/CdTrp1!$AI$2</f>
        <v>29.725000000000001</v>
      </c>
      <c r="L16" s="60">
        <f>AV3*Troupeau!$B$17/CdTrp1!$AI$2</f>
        <v>29.725000000000001</v>
      </c>
      <c r="M16" s="60">
        <f>AW3*Troupeau!$B$17/CdTrp1!$AI$2</f>
        <v>29.725000000000001</v>
      </c>
      <c r="N16" s="60">
        <f>AX3*Troupeau!$B$17/CdTrp1!$AI$2</f>
        <v>29.725000000000001</v>
      </c>
      <c r="O16" s="60">
        <f>AY3*Troupeau!$B$17/CdTrp1!$AI$2</f>
        <v>29.725000000000001</v>
      </c>
      <c r="P16" s="60">
        <f>AZ3*Troupeau!$B$17/CdTrp1!$AI$2</f>
        <v>29.725000000000001</v>
      </c>
      <c r="Q16" s="60">
        <f>BA3*Troupeau!$B$17/CdTrp1!$AI$2</f>
        <v>29.725000000000001</v>
      </c>
      <c r="R16" s="60">
        <f>BB3*Troupeau!$B$17/CdTrp1!$AI$2</f>
        <v>29.725000000000001</v>
      </c>
      <c r="S16" s="60">
        <f>BC3*Troupeau!$B$17/CdTrp1!$AI$2</f>
        <v>29.725000000000001</v>
      </c>
      <c r="T16" s="60">
        <f>BD3*Troupeau!$B$17/CdTrp1!$AI$2</f>
        <v>29.725000000000001</v>
      </c>
      <c r="U16" s="60">
        <f>BE3*Troupeau!$B$17/CdTrp1!$AI$2</f>
        <v>29.725000000000001</v>
      </c>
      <c r="V16" s="60">
        <f>BF3*Troupeau!$B$17/CdTrp1!$AI$2</f>
        <v>29.725000000000001</v>
      </c>
      <c r="W16" s="60">
        <f>BG3*Troupeau!$B$17/CdTrp1!$AI$2</f>
        <v>29.725000000000001</v>
      </c>
      <c r="X16" s="60">
        <f>BH3*Troupeau!$B$17/CdTrp1!$AI$2</f>
        <v>29.725000000000001</v>
      </c>
      <c r="Y16" s="60">
        <f>BI3*Troupeau!$B$17/CdTrp1!$AI$2</f>
        <v>29.725000000000001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9430</v>
      </c>
      <c r="AK18" s="54">
        <f>IF($AH18=AK$17,ROUND($AI18/1000,1),0)</f>
        <v>9.4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94300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94.3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laitiéres</v>
      </c>
      <c r="B28" s="60">
        <v>0.58448275862068966</v>
      </c>
      <c r="C28" s="60">
        <v>0.58448275862068966</v>
      </c>
      <c r="D28" s="60">
        <v>0.58448275862068966</v>
      </c>
      <c r="E28" s="60">
        <v>0.58448275862068966</v>
      </c>
      <c r="F28" s="60">
        <v>0.58448275862068966</v>
      </c>
      <c r="G28" s="60">
        <v>0.58448275862068966</v>
      </c>
      <c r="H28" s="60">
        <v>0.58448275862068966</v>
      </c>
      <c r="I28" s="60">
        <v>0.58448275862068966</v>
      </c>
      <c r="J28" s="60">
        <v>0.58448275862068966</v>
      </c>
      <c r="K28" s="60">
        <v>0.58448275862068966</v>
      </c>
      <c r="L28" s="60">
        <v>0.58448275862068966</v>
      </c>
      <c r="M28" s="60">
        <v>0.58448275862068966</v>
      </c>
      <c r="N28" s="60">
        <v>0.58448275862068966</v>
      </c>
      <c r="O28" s="60">
        <v>0.58448275862068966</v>
      </c>
      <c r="P28" s="60">
        <v>0.58448275862068966</v>
      </c>
      <c r="Q28" s="60">
        <v>0.58448275862068966</v>
      </c>
      <c r="R28" s="60">
        <v>0.58448275862068966</v>
      </c>
      <c r="S28" s="60">
        <v>0.58448275862068966</v>
      </c>
      <c r="T28" s="60">
        <v>0.58448275862068966</v>
      </c>
      <c r="U28" s="60">
        <v>0.58448275862068966</v>
      </c>
      <c r="V28" s="60">
        <v>0.58448275862068966</v>
      </c>
      <c r="W28" s="60">
        <v>0.58448275862068966</v>
      </c>
      <c r="X28" s="60">
        <v>0.58448275862068966</v>
      </c>
      <c r="Y28" s="60">
        <v>0.58448275862068966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38.950000000000003</v>
      </c>
      <c r="C39" s="61">
        <f t="shared" ref="C39:Y48" si="11">C15*C27</f>
        <v>38.950000000000003</v>
      </c>
      <c r="D39" s="61">
        <f t="shared" si="11"/>
        <v>38.950000000000003</v>
      </c>
      <c r="E39" s="61">
        <f t="shared" si="11"/>
        <v>38.950000000000003</v>
      </c>
      <c r="F39" s="61">
        <f t="shared" si="11"/>
        <v>38.950000000000003</v>
      </c>
      <c r="G39" s="61">
        <f t="shared" si="11"/>
        <v>38.950000000000003</v>
      </c>
      <c r="H39" s="61">
        <f t="shared" si="11"/>
        <v>37.924999999999997</v>
      </c>
      <c r="I39" s="61">
        <f t="shared" si="11"/>
        <v>36.9</v>
      </c>
      <c r="J39" s="61">
        <f t="shared" si="11"/>
        <v>35.875</v>
      </c>
      <c r="K39" s="61">
        <f t="shared" si="11"/>
        <v>33.825000000000003</v>
      </c>
      <c r="L39" s="61">
        <f t="shared" si="11"/>
        <v>31.774999999999999</v>
      </c>
      <c r="M39" s="61">
        <f t="shared" si="11"/>
        <v>30.75</v>
      </c>
      <c r="N39" s="61">
        <f t="shared" si="11"/>
        <v>30.75</v>
      </c>
      <c r="O39" s="61">
        <f t="shared" si="11"/>
        <v>30.75</v>
      </c>
      <c r="P39" s="61">
        <f t="shared" si="11"/>
        <v>33.825000000000003</v>
      </c>
      <c r="Q39" s="61">
        <f t="shared" si="11"/>
        <v>33.825000000000003</v>
      </c>
      <c r="R39" s="61">
        <f t="shared" si="11"/>
        <v>38.950000000000003</v>
      </c>
      <c r="S39" s="61">
        <f t="shared" si="11"/>
        <v>41</v>
      </c>
      <c r="T39" s="61">
        <f t="shared" si="11"/>
        <v>41</v>
      </c>
      <c r="U39" s="61">
        <f t="shared" si="11"/>
        <v>41</v>
      </c>
      <c r="V39" s="61">
        <f t="shared" si="11"/>
        <v>41</v>
      </c>
      <c r="W39" s="61">
        <f t="shared" si="11"/>
        <v>39.975000000000001</v>
      </c>
      <c r="X39" s="61">
        <f t="shared" si="11"/>
        <v>38.950000000000003</v>
      </c>
      <c r="Y39" s="61">
        <f t="shared" si="11"/>
        <v>38.950000000000003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laitiéres</v>
      </c>
      <c r="B40" s="61">
        <f t="shared" ref="B40:Q48" si="12">B16*B28</f>
        <v>17.373750000000001</v>
      </c>
      <c r="C40" s="61">
        <f t="shared" si="12"/>
        <v>17.373750000000001</v>
      </c>
      <c r="D40" s="61">
        <f t="shared" si="12"/>
        <v>17.373750000000001</v>
      </c>
      <c r="E40" s="61">
        <f t="shared" si="12"/>
        <v>17.373750000000001</v>
      </c>
      <c r="F40" s="61">
        <f t="shared" si="12"/>
        <v>17.373750000000001</v>
      </c>
      <c r="G40" s="61">
        <f t="shared" si="12"/>
        <v>17.373750000000001</v>
      </c>
      <c r="H40" s="61">
        <f t="shared" si="12"/>
        <v>17.373750000000001</v>
      </c>
      <c r="I40" s="61">
        <f t="shared" si="12"/>
        <v>17.373750000000001</v>
      </c>
      <c r="J40" s="61">
        <f t="shared" si="12"/>
        <v>17.373750000000001</v>
      </c>
      <c r="K40" s="61">
        <f t="shared" si="12"/>
        <v>17.373750000000001</v>
      </c>
      <c r="L40" s="61">
        <f t="shared" si="12"/>
        <v>17.373750000000001</v>
      </c>
      <c r="M40" s="61">
        <f t="shared" si="12"/>
        <v>17.373750000000001</v>
      </c>
      <c r="N40" s="61">
        <f t="shared" si="12"/>
        <v>17.373750000000001</v>
      </c>
      <c r="O40" s="61">
        <f t="shared" si="12"/>
        <v>17.373750000000001</v>
      </c>
      <c r="P40" s="61">
        <f t="shared" si="12"/>
        <v>17.373750000000001</v>
      </c>
      <c r="Q40" s="61">
        <f t="shared" si="12"/>
        <v>17.373750000000001</v>
      </c>
      <c r="R40" s="61">
        <f t="shared" si="11"/>
        <v>17.373750000000001</v>
      </c>
      <c r="S40" s="61">
        <f t="shared" si="11"/>
        <v>17.373750000000001</v>
      </c>
      <c r="T40" s="61">
        <f t="shared" si="11"/>
        <v>17.373750000000001</v>
      </c>
      <c r="U40" s="61">
        <f t="shared" si="11"/>
        <v>17.373750000000001</v>
      </c>
      <c r="V40" s="61">
        <f t="shared" si="11"/>
        <v>17.373750000000001</v>
      </c>
      <c r="W40" s="61">
        <f t="shared" si="11"/>
        <v>17.373750000000001</v>
      </c>
      <c r="X40" s="61">
        <f t="shared" si="11"/>
        <v>17.373750000000001</v>
      </c>
      <c r="Y40" s="61">
        <f t="shared" si="11"/>
        <v>17.373750000000001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56.323750000000004</v>
      </c>
      <c r="C49" s="62">
        <f t="shared" ref="C49:Y49" si="13">SUM(C39:C48)</f>
        <v>56.323750000000004</v>
      </c>
      <c r="D49" s="62">
        <f t="shared" si="13"/>
        <v>56.323750000000004</v>
      </c>
      <c r="E49" s="62">
        <f t="shared" si="13"/>
        <v>56.323750000000004</v>
      </c>
      <c r="F49" s="62">
        <f t="shared" si="13"/>
        <v>56.323750000000004</v>
      </c>
      <c r="G49" s="62">
        <f t="shared" si="13"/>
        <v>56.323750000000004</v>
      </c>
      <c r="H49" s="62">
        <f t="shared" si="13"/>
        <v>55.298749999999998</v>
      </c>
      <c r="I49" s="62">
        <f t="shared" si="13"/>
        <v>54.27375</v>
      </c>
      <c r="J49" s="62">
        <f t="shared" si="13"/>
        <v>53.248750000000001</v>
      </c>
      <c r="K49" s="62">
        <f t="shared" si="13"/>
        <v>51.198750000000004</v>
      </c>
      <c r="L49" s="62">
        <f t="shared" si="13"/>
        <v>49.14875</v>
      </c>
      <c r="M49" s="62">
        <f t="shared" si="13"/>
        <v>48.123750000000001</v>
      </c>
      <c r="N49" s="62">
        <f t="shared" si="13"/>
        <v>48.123750000000001</v>
      </c>
      <c r="O49" s="62">
        <f t="shared" si="13"/>
        <v>48.123750000000001</v>
      </c>
      <c r="P49" s="62">
        <f t="shared" si="13"/>
        <v>51.198750000000004</v>
      </c>
      <c r="Q49" s="62">
        <f t="shared" si="13"/>
        <v>51.198750000000004</v>
      </c>
      <c r="R49" s="62">
        <f t="shared" si="13"/>
        <v>56.323750000000004</v>
      </c>
      <c r="S49" s="62">
        <f t="shared" si="13"/>
        <v>58.373750000000001</v>
      </c>
      <c r="T49" s="62">
        <f t="shared" si="13"/>
        <v>58.373750000000001</v>
      </c>
      <c r="U49" s="62">
        <f t="shared" si="13"/>
        <v>58.373750000000001</v>
      </c>
      <c r="V49" s="62">
        <f t="shared" si="13"/>
        <v>58.373750000000001</v>
      </c>
      <c r="W49" s="62">
        <f t="shared" si="13"/>
        <v>57.348750000000003</v>
      </c>
      <c r="X49" s="62">
        <f t="shared" si="13"/>
        <v>56.323750000000004</v>
      </c>
      <c r="Y49" s="62">
        <f t="shared" si="13"/>
        <v>56.323750000000004</v>
      </c>
      <c r="Z49" s="23"/>
      <c r="AA49" s="46">
        <f>AVERAGE(B49:Y49)</f>
        <v>54.487291666666671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laitiéres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6">SUM(AK18:AK52)</f>
        <v>9.4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94.3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49.71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603.72500000000002</v>
      </c>
      <c r="C63" s="61">
        <f t="shared" si="17"/>
        <v>603.72500000000002</v>
      </c>
      <c r="D63" s="61">
        <f t="shared" si="17"/>
        <v>545.30000000000007</v>
      </c>
      <c r="E63" s="61">
        <f t="shared" si="17"/>
        <v>545.30000000000007</v>
      </c>
      <c r="F63" s="61">
        <f t="shared" si="17"/>
        <v>603.72500000000002</v>
      </c>
      <c r="G63" s="61">
        <f t="shared" si="17"/>
        <v>603.72500000000002</v>
      </c>
      <c r="H63" s="61">
        <f t="shared" si="17"/>
        <v>568.875</v>
      </c>
      <c r="I63" s="61">
        <f t="shared" si="17"/>
        <v>553.5</v>
      </c>
      <c r="J63" s="61">
        <f t="shared" si="17"/>
        <v>556.0625</v>
      </c>
      <c r="K63" s="61">
        <f t="shared" si="17"/>
        <v>524.28750000000002</v>
      </c>
      <c r="L63" s="61">
        <f t="shared" si="17"/>
        <v>476.625</v>
      </c>
      <c r="M63" s="61">
        <f t="shared" si="17"/>
        <v>461.25</v>
      </c>
      <c r="N63" s="61">
        <f t="shared" si="17"/>
        <v>476.625</v>
      </c>
      <c r="O63" s="61">
        <f t="shared" si="17"/>
        <v>476.625</v>
      </c>
      <c r="P63" s="61">
        <f t="shared" si="17"/>
        <v>524.28750000000002</v>
      </c>
      <c r="Q63" s="61">
        <f t="shared" si="17"/>
        <v>524.28750000000002</v>
      </c>
      <c r="R63" s="61">
        <f t="shared" si="17"/>
        <v>584.25</v>
      </c>
      <c r="S63" s="61">
        <f t="shared" si="17"/>
        <v>615</v>
      </c>
      <c r="T63" s="61">
        <f t="shared" si="17"/>
        <v>635.5</v>
      </c>
      <c r="U63" s="61">
        <f t="shared" si="17"/>
        <v>635.5</v>
      </c>
      <c r="V63" s="61">
        <f t="shared" si="17"/>
        <v>615</v>
      </c>
      <c r="W63" s="61">
        <f t="shared" si="17"/>
        <v>599.625</v>
      </c>
      <c r="X63" s="61">
        <f t="shared" si="17"/>
        <v>603.72500000000002</v>
      </c>
      <c r="Y63" s="61">
        <f t="shared" si="17"/>
        <v>603.72500000000002</v>
      </c>
      <c r="Z63" s="52"/>
      <c r="AE63" s="86"/>
    </row>
    <row r="64" spans="1:83" s="5" customFormat="1" hidden="1" x14ac:dyDescent="0.25">
      <c r="A64" s="38" t="str">
        <f>A$16</f>
        <v>Génisses laitiéres</v>
      </c>
      <c r="B64" s="61">
        <f t="shared" ref="B64:Y64" si="18">B40*B53*B$3</f>
        <v>269.29312500000003</v>
      </c>
      <c r="C64" s="61">
        <f t="shared" si="18"/>
        <v>269.29312500000003</v>
      </c>
      <c r="D64" s="61">
        <f t="shared" si="18"/>
        <v>243.23250000000002</v>
      </c>
      <c r="E64" s="61">
        <f t="shared" si="18"/>
        <v>243.23250000000002</v>
      </c>
      <c r="F64" s="61">
        <f t="shared" si="18"/>
        <v>269.29312500000003</v>
      </c>
      <c r="G64" s="61">
        <f t="shared" si="18"/>
        <v>269.29312500000003</v>
      </c>
      <c r="H64" s="61">
        <f t="shared" si="18"/>
        <v>260.60625000000005</v>
      </c>
      <c r="I64" s="61">
        <f t="shared" si="18"/>
        <v>260.60625000000005</v>
      </c>
      <c r="J64" s="61">
        <f t="shared" si="18"/>
        <v>269.29312500000003</v>
      </c>
      <c r="K64" s="61">
        <f t="shared" si="18"/>
        <v>269.29312500000003</v>
      </c>
      <c r="L64" s="61">
        <f t="shared" si="18"/>
        <v>260.60625000000005</v>
      </c>
      <c r="M64" s="61">
        <f t="shared" si="18"/>
        <v>260.60625000000005</v>
      </c>
      <c r="N64" s="61">
        <f t="shared" si="18"/>
        <v>269.29312500000003</v>
      </c>
      <c r="O64" s="61">
        <f t="shared" si="18"/>
        <v>269.29312500000003</v>
      </c>
      <c r="P64" s="61">
        <f t="shared" si="18"/>
        <v>269.29312500000003</v>
      </c>
      <c r="Q64" s="61">
        <f t="shared" si="18"/>
        <v>269.29312500000003</v>
      </c>
      <c r="R64" s="61">
        <f t="shared" si="18"/>
        <v>260.60625000000005</v>
      </c>
      <c r="S64" s="61">
        <f t="shared" si="18"/>
        <v>260.60625000000005</v>
      </c>
      <c r="T64" s="61">
        <f t="shared" si="18"/>
        <v>269.29312500000003</v>
      </c>
      <c r="U64" s="61">
        <f t="shared" si="18"/>
        <v>269.29312500000003</v>
      </c>
      <c r="V64" s="61">
        <f t="shared" si="18"/>
        <v>260.60625000000005</v>
      </c>
      <c r="W64" s="61">
        <f t="shared" si="18"/>
        <v>260.60625000000005</v>
      </c>
      <c r="X64" s="61">
        <f t="shared" si="18"/>
        <v>269.29312500000003</v>
      </c>
      <c r="Y64" s="61">
        <f t="shared" si="18"/>
        <v>269.29312500000003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873</v>
      </c>
      <c r="C73" s="64">
        <f t="shared" ref="C73:Y73" si="27">ROUND(SUM(C63:C72),0)</f>
        <v>873</v>
      </c>
      <c r="D73" s="64">
        <f t="shared" si="27"/>
        <v>789</v>
      </c>
      <c r="E73" s="64">
        <f t="shared" si="27"/>
        <v>789</v>
      </c>
      <c r="F73" s="64">
        <f t="shared" si="27"/>
        <v>873</v>
      </c>
      <c r="G73" s="64">
        <f t="shared" si="27"/>
        <v>873</v>
      </c>
      <c r="H73" s="64">
        <f t="shared" si="27"/>
        <v>829</v>
      </c>
      <c r="I73" s="64">
        <f t="shared" si="27"/>
        <v>814</v>
      </c>
      <c r="J73" s="64">
        <f t="shared" si="27"/>
        <v>825</v>
      </c>
      <c r="K73" s="64">
        <f t="shared" si="27"/>
        <v>794</v>
      </c>
      <c r="L73" s="64">
        <f t="shared" si="27"/>
        <v>737</v>
      </c>
      <c r="M73" s="64">
        <f t="shared" si="27"/>
        <v>722</v>
      </c>
      <c r="N73" s="64">
        <f t="shared" si="27"/>
        <v>746</v>
      </c>
      <c r="O73" s="64">
        <f t="shared" si="27"/>
        <v>746</v>
      </c>
      <c r="P73" s="64">
        <f t="shared" si="27"/>
        <v>794</v>
      </c>
      <c r="Q73" s="64">
        <f t="shared" si="27"/>
        <v>794</v>
      </c>
      <c r="R73" s="64">
        <f t="shared" si="27"/>
        <v>845</v>
      </c>
      <c r="S73" s="64">
        <f t="shared" si="27"/>
        <v>876</v>
      </c>
      <c r="T73" s="64">
        <f t="shared" si="27"/>
        <v>905</v>
      </c>
      <c r="U73" s="64">
        <f t="shared" si="27"/>
        <v>905</v>
      </c>
      <c r="V73" s="64">
        <f t="shared" si="27"/>
        <v>876</v>
      </c>
      <c r="W73" s="64">
        <f t="shared" si="27"/>
        <v>860</v>
      </c>
      <c r="X73" s="64">
        <f t="shared" si="27"/>
        <v>873</v>
      </c>
      <c r="Y73" s="64">
        <f t="shared" si="27"/>
        <v>873</v>
      </c>
      <c r="Z73" s="52"/>
      <c r="AA73" s="56">
        <f>ROUND(SUM(B73:Y73),0)</f>
        <v>19884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laitiéres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D78" s="156" t="e">
        <f>AC78/$AC$77</f>
        <v>#DIV/0!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 t="e">
        <f t="shared" ref="AD79:AD81" si="29">AC79/$AC$77</f>
        <v>#DIV/0!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 t="e">
        <f t="shared" si="29"/>
        <v>#DIV/0!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 t="e">
        <f t="shared" si="29"/>
        <v>#DIV/0!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laitiéres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laitiéres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lot3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10.23313875</v>
      </c>
      <c r="C110" s="61">
        <f t="shared" si="40"/>
        <v>10.23313875</v>
      </c>
      <c r="D110" s="61">
        <f t="shared" si="40"/>
        <v>9.2428350000000012</v>
      </c>
      <c r="E110" s="61">
        <f t="shared" si="40"/>
        <v>9.2428350000000012</v>
      </c>
      <c r="F110" s="61">
        <f t="shared" si="40"/>
        <v>10.23313875</v>
      </c>
      <c r="G110" s="61">
        <f t="shared" si="40"/>
        <v>10.23313875</v>
      </c>
      <c r="H110" s="61">
        <f t="shared" si="40"/>
        <v>9.6424312499999996</v>
      </c>
      <c r="I110" s="61">
        <f t="shared" si="40"/>
        <v>9.3818249999999992</v>
      </c>
      <c r="J110" s="61">
        <f t="shared" si="40"/>
        <v>9.4252593749999996</v>
      </c>
      <c r="K110" s="61">
        <f t="shared" si="40"/>
        <v>8.8866731249999997</v>
      </c>
      <c r="L110" s="61">
        <f t="shared" si="40"/>
        <v>8.0787937499999991</v>
      </c>
      <c r="M110" s="61">
        <f t="shared" si="40"/>
        <v>7.8181874999999996</v>
      </c>
      <c r="N110" s="61">
        <f t="shared" si="40"/>
        <v>8.0787937499999991</v>
      </c>
      <c r="O110" s="61">
        <f t="shared" si="40"/>
        <v>8.0787937499999991</v>
      </c>
      <c r="P110" s="61">
        <f t="shared" si="40"/>
        <v>8.8866731249999997</v>
      </c>
      <c r="Q110" s="61">
        <f t="shared" si="40"/>
        <v>8.8866731249999997</v>
      </c>
      <c r="R110" s="61">
        <f t="shared" si="40"/>
        <v>9.9030374999999999</v>
      </c>
      <c r="S110" s="61">
        <f t="shared" si="40"/>
        <v>10.424250000000001</v>
      </c>
      <c r="T110" s="61">
        <f t="shared" si="40"/>
        <v>10.771725</v>
      </c>
      <c r="U110" s="61">
        <f t="shared" si="40"/>
        <v>10.771725</v>
      </c>
      <c r="V110" s="61">
        <f t="shared" si="40"/>
        <v>10.424250000000001</v>
      </c>
      <c r="W110" s="61">
        <f t="shared" si="40"/>
        <v>10.163643749999999</v>
      </c>
      <c r="X110" s="61">
        <f t="shared" si="40"/>
        <v>10.23313875</v>
      </c>
      <c r="Y110" s="61">
        <f t="shared" si="40"/>
        <v>10.23313875</v>
      </c>
    </row>
    <row r="111" spans="1:33" x14ac:dyDescent="0.25">
      <c r="A111" s="128" t="str">
        <f>A$16</f>
        <v>Génisses laitiéres</v>
      </c>
      <c r="B111" s="61">
        <f t="shared" ref="B111:Y111" si="41">(B40*B$3*B100)/1000</f>
        <v>4.5645184687500002</v>
      </c>
      <c r="C111" s="61">
        <f t="shared" si="41"/>
        <v>4.5645184687500002</v>
      </c>
      <c r="D111" s="61">
        <f t="shared" si="41"/>
        <v>4.1227908749999997</v>
      </c>
      <c r="E111" s="61">
        <f t="shared" si="41"/>
        <v>4.1227908749999997</v>
      </c>
      <c r="F111" s="61">
        <f t="shared" si="41"/>
        <v>4.5645184687500002</v>
      </c>
      <c r="G111" s="61">
        <f t="shared" si="41"/>
        <v>4.5645184687500002</v>
      </c>
      <c r="H111" s="61">
        <f t="shared" si="41"/>
        <v>4.4172759375000004</v>
      </c>
      <c r="I111" s="61">
        <f t="shared" si="41"/>
        <v>4.4172759375000004</v>
      </c>
      <c r="J111" s="61">
        <f t="shared" si="41"/>
        <v>4.5645184687500002</v>
      </c>
      <c r="K111" s="61">
        <f t="shared" si="41"/>
        <v>4.5645184687500002</v>
      </c>
      <c r="L111" s="61">
        <f t="shared" si="41"/>
        <v>4.4172759375000004</v>
      </c>
      <c r="M111" s="61">
        <f t="shared" si="41"/>
        <v>4.4172759375000004</v>
      </c>
      <c r="N111" s="61">
        <f t="shared" si="41"/>
        <v>4.5645184687500002</v>
      </c>
      <c r="O111" s="61">
        <f t="shared" si="41"/>
        <v>4.5645184687500002</v>
      </c>
      <c r="P111" s="61">
        <f t="shared" si="41"/>
        <v>4.5645184687500002</v>
      </c>
      <c r="Q111" s="61">
        <f t="shared" si="41"/>
        <v>4.5645184687500002</v>
      </c>
      <c r="R111" s="61">
        <f t="shared" si="41"/>
        <v>4.4172759375000004</v>
      </c>
      <c r="S111" s="61">
        <f t="shared" si="41"/>
        <v>4.4172759375000004</v>
      </c>
      <c r="T111" s="61">
        <f t="shared" si="41"/>
        <v>4.5645184687500002</v>
      </c>
      <c r="U111" s="61">
        <f t="shared" si="41"/>
        <v>4.5645184687500002</v>
      </c>
      <c r="V111" s="61">
        <f t="shared" si="41"/>
        <v>4.4172759375000004</v>
      </c>
      <c r="W111" s="61">
        <f t="shared" si="41"/>
        <v>4.4172759375000004</v>
      </c>
      <c r="X111" s="61">
        <f t="shared" si="41"/>
        <v>4.5645184687500002</v>
      </c>
      <c r="Y111" s="61">
        <f t="shared" si="41"/>
        <v>4.5645184687500002</v>
      </c>
    </row>
    <row r="112" spans="1:33" x14ac:dyDescent="0.25">
      <c r="A112" s="128" t="str">
        <f>A$17</f>
        <v>lot3</v>
      </c>
      <c r="B112" s="61">
        <f t="shared" ref="B112:Y112" si="42">(B41*B$3*B101)/1000</f>
        <v>0</v>
      </c>
      <c r="C112" s="61">
        <f t="shared" si="42"/>
        <v>0</v>
      </c>
      <c r="D112" s="61">
        <f t="shared" si="42"/>
        <v>0</v>
      </c>
      <c r="E112" s="61">
        <f t="shared" si="42"/>
        <v>0</v>
      </c>
      <c r="F112" s="61">
        <f t="shared" si="42"/>
        <v>0</v>
      </c>
      <c r="G112" s="61">
        <f t="shared" si="42"/>
        <v>0</v>
      </c>
      <c r="H112" s="61">
        <f t="shared" si="42"/>
        <v>0</v>
      </c>
      <c r="I112" s="61">
        <f t="shared" si="42"/>
        <v>0</v>
      </c>
      <c r="J112" s="61">
        <f t="shared" si="42"/>
        <v>0</v>
      </c>
      <c r="K112" s="61">
        <f t="shared" si="42"/>
        <v>0</v>
      </c>
      <c r="L112" s="61">
        <f t="shared" si="42"/>
        <v>0</v>
      </c>
      <c r="M112" s="61">
        <f t="shared" si="42"/>
        <v>0</v>
      </c>
      <c r="N112" s="61">
        <f t="shared" si="42"/>
        <v>0</v>
      </c>
      <c r="O112" s="61">
        <f t="shared" si="42"/>
        <v>0</v>
      </c>
      <c r="P112" s="61">
        <f t="shared" si="42"/>
        <v>0</v>
      </c>
      <c r="Q112" s="61">
        <f t="shared" si="42"/>
        <v>0</v>
      </c>
      <c r="R112" s="61">
        <f t="shared" si="42"/>
        <v>0</v>
      </c>
      <c r="S112" s="61">
        <f t="shared" si="42"/>
        <v>0</v>
      </c>
      <c r="T112" s="61">
        <f t="shared" si="42"/>
        <v>0</v>
      </c>
      <c r="U112" s="61">
        <f t="shared" si="42"/>
        <v>0</v>
      </c>
      <c r="V112" s="61">
        <f t="shared" si="42"/>
        <v>0</v>
      </c>
      <c r="W112" s="61">
        <f t="shared" si="42"/>
        <v>0</v>
      </c>
      <c r="X112" s="61">
        <f t="shared" si="42"/>
        <v>0</v>
      </c>
      <c r="Y112" s="61">
        <f t="shared" si="42"/>
        <v>0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14.799999999999999</v>
      </c>
      <c r="C120" s="61">
        <f t="shared" ref="C120:Y120" si="50">SUM(C110:C119)</f>
        <v>14.79765721875</v>
      </c>
      <c r="D120" s="61">
        <f t="shared" si="50"/>
        <v>13.365625875000001</v>
      </c>
      <c r="E120" s="61">
        <f t="shared" si="50"/>
        <v>13.365625875000001</v>
      </c>
      <c r="F120" s="61">
        <f t="shared" si="50"/>
        <v>14.79765721875</v>
      </c>
      <c r="G120" s="61">
        <f t="shared" si="50"/>
        <v>14.79765721875</v>
      </c>
      <c r="H120" s="61">
        <f t="shared" si="50"/>
        <v>14.059707187499999</v>
      </c>
      <c r="I120" s="61">
        <f t="shared" si="50"/>
        <v>13.7991009375</v>
      </c>
      <c r="J120" s="61">
        <f t="shared" si="50"/>
        <v>13.98977784375</v>
      </c>
      <c r="K120" s="61">
        <f t="shared" si="50"/>
        <v>13.45119159375</v>
      </c>
      <c r="L120" s="61">
        <f t="shared" si="50"/>
        <v>12.4960696875</v>
      </c>
      <c r="M120" s="61">
        <f t="shared" si="50"/>
        <v>12.2354634375</v>
      </c>
      <c r="N120" s="61">
        <f t="shared" si="50"/>
        <v>12.643312218749999</v>
      </c>
      <c r="O120" s="61">
        <f t="shared" si="50"/>
        <v>12.643312218749999</v>
      </c>
      <c r="P120" s="61">
        <f t="shared" si="50"/>
        <v>13.45119159375</v>
      </c>
      <c r="Q120" s="61">
        <f t="shared" si="50"/>
        <v>13.45119159375</v>
      </c>
      <c r="R120" s="61">
        <f t="shared" si="50"/>
        <v>14.320313437500001</v>
      </c>
      <c r="S120" s="61">
        <f t="shared" si="50"/>
        <v>14.841525937500002</v>
      </c>
      <c r="T120" s="61">
        <f t="shared" si="50"/>
        <v>15.33624346875</v>
      </c>
      <c r="U120" s="61">
        <f t="shared" si="50"/>
        <v>15.33624346875</v>
      </c>
      <c r="V120" s="61">
        <f t="shared" si="50"/>
        <v>14.841525937500002</v>
      </c>
      <c r="W120" s="61">
        <f t="shared" si="50"/>
        <v>14.5809196875</v>
      </c>
      <c r="X120" s="61">
        <f t="shared" si="50"/>
        <v>14.79765721875</v>
      </c>
      <c r="Y120" s="61">
        <f t="shared" si="50"/>
        <v>14.79765721875</v>
      </c>
      <c r="AA120" s="57">
        <f>SUM(B120:Y120)</f>
        <v>336.99662809374996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/>
      <c r="C123" s="60"/>
      <c r="D123" s="60"/>
      <c r="E123" s="60"/>
      <c r="F123" s="159"/>
      <c r="G123" s="159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laitiéres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10.23313875</v>
      </c>
      <c r="C136" s="61">
        <f t="shared" ref="C136:Y136" si="51">C110*(1-C123)</f>
        <v>10.23313875</v>
      </c>
      <c r="D136" s="61">
        <f t="shared" si="51"/>
        <v>9.2428350000000012</v>
      </c>
      <c r="E136" s="61">
        <f t="shared" si="51"/>
        <v>9.2428350000000012</v>
      </c>
      <c r="F136" s="61">
        <f t="shared" si="51"/>
        <v>10.23313875</v>
      </c>
      <c r="G136" s="61">
        <f t="shared" si="51"/>
        <v>10.23313875</v>
      </c>
      <c r="H136" s="61">
        <f t="shared" si="51"/>
        <v>9.6424312499999996</v>
      </c>
      <c r="I136" s="61">
        <f t="shared" si="51"/>
        <v>9.3818249999999992</v>
      </c>
      <c r="J136" s="61">
        <f t="shared" si="51"/>
        <v>9.4252593749999996</v>
      </c>
      <c r="K136" s="61">
        <f t="shared" si="51"/>
        <v>8.8866731249999997</v>
      </c>
      <c r="L136" s="61">
        <f t="shared" si="51"/>
        <v>8.0787937499999991</v>
      </c>
      <c r="M136" s="61">
        <f t="shared" si="51"/>
        <v>7.8181874999999996</v>
      </c>
      <c r="N136" s="61">
        <f t="shared" si="51"/>
        <v>8.0787937499999991</v>
      </c>
      <c r="O136" s="61">
        <f t="shared" si="51"/>
        <v>8.0787937499999991</v>
      </c>
      <c r="P136" s="61">
        <f t="shared" si="51"/>
        <v>8.8866731249999997</v>
      </c>
      <c r="Q136" s="61">
        <f t="shared" si="51"/>
        <v>8.8866731249999997</v>
      </c>
      <c r="R136" s="61">
        <f t="shared" si="51"/>
        <v>9.9030374999999999</v>
      </c>
      <c r="S136" s="61">
        <f t="shared" si="51"/>
        <v>10.424250000000001</v>
      </c>
      <c r="T136" s="61">
        <f t="shared" si="51"/>
        <v>10.771725</v>
      </c>
      <c r="U136" s="61">
        <f t="shared" si="51"/>
        <v>10.771725</v>
      </c>
      <c r="V136" s="61">
        <f t="shared" si="51"/>
        <v>10.424250000000001</v>
      </c>
      <c r="W136" s="61">
        <f t="shared" si="51"/>
        <v>10.163643749999999</v>
      </c>
      <c r="X136" s="61">
        <f t="shared" si="51"/>
        <v>10.23313875</v>
      </c>
      <c r="Y136" s="61">
        <f t="shared" si="51"/>
        <v>10.23313875</v>
      </c>
      <c r="AA136" s="61">
        <f>SUM(B136:Y136)</f>
        <v>229.5072375</v>
      </c>
    </row>
    <row r="137" spans="1:31" x14ac:dyDescent="0.25">
      <c r="A137" s="128" t="str">
        <f>A$16</f>
        <v>Génisses laitiéres</v>
      </c>
      <c r="B137" s="61">
        <f t="shared" ref="B137:Y144" si="52">B111*(1-B124)</f>
        <v>4.5645184687500002</v>
      </c>
      <c r="C137" s="61">
        <f t="shared" si="52"/>
        <v>4.5645184687500002</v>
      </c>
      <c r="D137" s="61">
        <f t="shared" si="52"/>
        <v>4.1227908749999997</v>
      </c>
      <c r="E137" s="61">
        <f t="shared" si="52"/>
        <v>4.1227908749999997</v>
      </c>
      <c r="F137" s="61">
        <f t="shared" si="52"/>
        <v>4.5645184687500002</v>
      </c>
      <c r="G137" s="61">
        <f t="shared" si="52"/>
        <v>4.5645184687500002</v>
      </c>
      <c r="H137" s="61">
        <f t="shared" si="52"/>
        <v>4.4172759375000004</v>
      </c>
      <c r="I137" s="61">
        <f t="shared" si="52"/>
        <v>4.4172759375000004</v>
      </c>
      <c r="J137" s="61">
        <f t="shared" si="52"/>
        <v>4.5645184687500002</v>
      </c>
      <c r="K137" s="61">
        <f t="shared" si="52"/>
        <v>4.5645184687500002</v>
      </c>
      <c r="L137" s="61">
        <f t="shared" si="52"/>
        <v>4.4172759375000004</v>
      </c>
      <c r="M137" s="61">
        <f t="shared" si="52"/>
        <v>4.4172759375000004</v>
      </c>
      <c r="N137" s="61">
        <f t="shared" si="52"/>
        <v>4.5645184687500002</v>
      </c>
      <c r="O137" s="61">
        <f t="shared" si="52"/>
        <v>4.5645184687500002</v>
      </c>
      <c r="P137" s="61">
        <f t="shared" si="52"/>
        <v>4.5645184687500002</v>
      </c>
      <c r="Q137" s="61">
        <f t="shared" si="52"/>
        <v>4.5645184687500002</v>
      </c>
      <c r="R137" s="61">
        <f t="shared" si="52"/>
        <v>4.4172759375000004</v>
      </c>
      <c r="S137" s="61">
        <f t="shared" si="52"/>
        <v>4.4172759375000004</v>
      </c>
      <c r="T137" s="61">
        <f t="shared" si="52"/>
        <v>4.5645184687500002</v>
      </c>
      <c r="U137" s="61">
        <f t="shared" si="52"/>
        <v>4.5645184687500002</v>
      </c>
      <c r="V137" s="61">
        <f t="shared" si="52"/>
        <v>4.4172759375000004</v>
      </c>
      <c r="W137" s="61">
        <f t="shared" si="52"/>
        <v>4.4172759375000004</v>
      </c>
      <c r="X137" s="61">
        <f t="shared" si="52"/>
        <v>4.5645184687500002</v>
      </c>
      <c r="Y137" s="61">
        <f t="shared" si="52"/>
        <v>4.5645184687500002</v>
      </c>
      <c r="AA137" s="61">
        <f>SUM(B137:Y137)</f>
        <v>107.48704781249997</v>
      </c>
    </row>
    <row r="138" spans="1:31" x14ac:dyDescent="0.25">
      <c r="A138" s="128" t="str">
        <f>A$17</f>
        <v>lot3</v>
      </c>
      <c r="B138" s="61">
        <f t="shared" si="52"/>
        <v>0</v>
      </c>
      <c r="C138" s="61">
        <f t="shared" si="52"/>
        <v>0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</v>
      </c>
      <c r="X138" s="61">
        <f t="shared" si="52"/>
        <v>0</v>
      </c>
      <c r="Y138" s="61">
        <f t="shared" si="52"/>
        <v>0</v>
      </c>
      <c r="AA138" s="61">
        <f t="shared" ref="AA138:AA144" si="53">SUM(B138:Y138)</f>
        <v>0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336.99428531249998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370.69371384375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laitiéres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lot3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laitiéres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lot3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laitiéres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lot3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laitiéres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lot3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laitiéres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lot3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1" t="s">
        <v>2</v>
      </c>
      <c r="C1" s="281"/>
      <c r="D1" s="281" t="s">
        <v>0</v>
      </c>
      <c r="E1" s="281"/>
      <c r="F1" s="281" t="s">
        <v>1</v>
      </c>
      <c r="G1" s="281"/>
      <c r="H1" s="281" t="s">
        <v>3</v>
      </c>
      <c r="I1" s="281"/>
      <c r="J1" s="281" t="s">
        <v>4</v>
      </c>
      <c r="K1" s="281"/>
      <c r="L1" s="281" t="s">
        <v>5</v>
      </c>
      <c r="M1" s="281"/>
      <c r="N1" s="281" t="s">
        <v>6</v>
      </c>
      <c r="O1" s="281"/>
      <c r="P1" s="281" t="s">
        <v>7</v>
      </c>
      <c r="Q1" s="281"/>
      <c r="R1" s="281" t="s">
        <v>8</v>
      </c>
      <c r="S1" s="281"/>
      <c r="T1" s="281" t="s">
        <v>9</v>
      </c>
      <c r="U1" s="281"/>
      <c r="V1" s="281" t="s">
        <v>10</v>
      </c>
      <c r="W1" s="281"/>
      <c r="X1" s="281" t="s">
        <v>11</v>
      </c>
      <c r="Y1" s="281"/>
      <c r="Z1" s="83"/>
      <c r="AA1" t="s">
        <v>177</v>
      </c>
      <c r="AK1" t="s">
        <v>1373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1375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2023-01-09T10:17:48Z</dcterms:modified>
</cp:coreProperties>
</file>