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185" r:id="rId18"/>
  </pivotCaches>
</workbook>
</file>

<file path=xl/calcChain.xml><?xml version="1.0" encoding="utf-8"?>
<calcChain xmlns="http://schemas.openxmlformats.org/spreadsheetml/2006/main">
  <c r="T38" i="31" l="1"/>
  <c r="O7" i="23" l="1"/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BI7" i="29" s="1"/>
  <c r="AV8" i="29"/>
  <c r="AW8" i="29"/>
  <c r="BH8" i="29" s="1"/>
  <c r="AX8" i="29"/>
  <c r="AY8" i="29"/>
  <c r="AZ8" i="29"/>
  <c r="BA8" i="29"/>
  <c r="BB8" i="29"/>
  <c r="BC8" i="29"/>
  <c r="BG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BD13" i="29" s="1"/>
  <c r="BE13" i="29" s="1"/>
  <c r="BF13" i="29" s="1"/>
  <c r="AX13" i="29"/>
  <c r="AY13" i="29"/>
  <c r="AZ13" i="29"/>
  <c r="BA13" i="29"/>
  <c r="BB13" i="29"/>
  <c r="BC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H20" i="29" s="1"/>
  <c r="AX20" i="29"/>
  <c r="AY20" i="29"/>
  <c r="AZ20" i="29"/>
  <c r="BA20" i="29"/>
  <c r="BB20" i="29"/>
  <c r="BC20" i="29"/>
  <c r="BD20" i="29"/>
  <c r="BE20" i="29" s="1"/>
  <c r="BF20" i="29" s="1"/>
  <c r="BG20" i="29"/>
  <c r="BI20" i="29"/>
  <c r="BJ20" i="29"/>
  <c r="BK20" i="29"/>
  <c r="BL20" i="29"/>
  <c r="AV21" i="29"/>
  <c r="AW21" i="29"/>
  <c r="BD21" i="29" s="1"/>
  <c r="BE21" i="29" s="1"/>
  <c r="BF21" i="29" s="1"/>
  <c r="AX21" i="29"/>
  <c r="AY21" i="29"/>
  <c r="AZ21" i="29"/>
  <c r="BA21" i="29"/>
  <c r="BB21" i="29"/>
  <c r="BC21" i="29"/>
  <c r="AV22" i="29"/>
  <c r="AW22" i="29"/>
  <c r="BK22" i="29" s="1"/>
  <c r="AX22" i="29"/>
  <c r="AY22" i="29"/>
  <c r="BD22" i="29" s="1"/>
  <c r="BE22" i="29" s="1"/>
  <c r="BF22" i="29" s="1"/>
  <c r="AZ22" i="29"/>
  <c r="BA22" i="29"/>
  <c r="BB22" i="29"/>
  <c r="BC22" i="29"/>
  <c r="BG22" i="29"/>
  <c r="BH22" i="29"/>
  <c r="BI22" i="29"/>
  <c r="BJ22" i="29"/>
  <c r="BL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AV25" i="29"/>
  <c r="AW25" i="29"/>
  <c r="BH25" i="29" s="1"/>
  <c r="AX25" i="29"/>
  <c r="AY25" i="29"/>
  <c r="AZ25" i="29"/>
  <c r="BA25" i="29"/>
  <c r="BB25" i="29"/>
  <c r="BC25" i="29"/>
  <c r="BD25" i="29"/>
  <c r="BE25" i="29" s="1"/>
  <c r="BF25" i="29" s="1"/>
  <c r="BG25" i="29"/>
  <c r="BI25" i="29"/>
  <c r="BJ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BD29" i="29" s="1"/>
  <c r="BE29" i="29" s="1"/>
  <c r="BF29" i="29" s="1"/>
  <c r="AX29" i="29"/>
  <c r="AY29" i="29"/>
  <c r="AZ29" i="29"/>
  <c r="BA29" i="29"/>
  <c r="BB29" i="29"/>
  <c r="BC29" i="29"/>
  <c r="BH29" i="29"/>
  <c r="BI29" i="29"/>
  <c r="BJ29" i="29"/>
  <c r="BK29" i="29"/>
  <c r="AV30" i="29"/>
  <c r="AW30" i="29"/>
  <c r="BK30" i="29" s="1"/>
  <c r="AX30" i="29"/>
  <c r="AY30" i="29"/>
  <c r="AZ30" i="29"/>
  <c r="BA30" i="29"/>
  <c r="BB30" i="29"/>
  <c r="BC30" i="29"/>
  <c r="BG30" i="29"/>
  <c r="BI30" i="29"/>
  <c r="BJ30" i="29"/>
  <c r="BL30" i="29"/>
  <c r="BG19" i="29" l="1"/>
  <c r="BH7" i="29"/>
  <c r="BK21" i="29"/>
  <c r="BJ21" i="29"/>
  <c r="BH21" i="29"/>
  <c r="BL19" i="29"/>
  <c r="BJ19" i="29"/>
  <c r="BG17" i="29"/>
  <c r="BH17" i="29"/>
  <c r="BI17" i="29"/>
  <c r="BJ17" i="29"/>
  <c r="BK17" i="29"/>
  <c r="BL17" i="29"/>
  <c r="BK13" i="29"/>
  <c r="BJ13" i="29"/>
  <c r="BH13" i="29"/>
  <c r="BJ14" i="29"/>
  <c r="BI14" i="29"/>
  <c r="BK14" i="29"/>
  <c r="BL14" i="29"/>
  <c r="BG14" i="29"/>
  <c r="BH14" i="29"/>
  <c r="BI15" i="29"/>
  <c r="BH15" i="29"/>
  <c r="BJ15" i="29"/>
  <c r="BK15" i="29"/>
  <c r="BL15" i="29"/>
  <c r="BG15" i="29"/>
  <c r="BG12" i="29"/>
  <c r="BL12" i="29"/>
  <c r="BK12" i="29"/>
  <c r="BI12" i="29"/>
  <c r="BG11" i="29"/>
  <c r="BL11" i="29"/>
  <c r="BJ11" i="29"/>
  <c r="BH11" i="29"/>
  <c r="BJ6" i="29"/>
  <c r="BK6" i="29"/>
  <c r="BL6" i="29"/>
  <c r="BG6" i="29"/>
  <c r="BI6" i="29"/>
  <c r="BH6" i="29"/>
  <c r="BG5" i="29"/>
  <c r="BK5" i="29"/>
  <c r="BJ5" i="29"/>
  <c r="BL5" i="29"/>
  <c r="BH5" i="29"/>
  <c r="BI5" i="29"/>
  <c r="BG9" i="29"/>
  <c r="BH9" i="29"/>
  <c r="BI9" i="29"/>
  <c r="BJ9" i="29"/>
  <c r="BK9" i="29"/>
  <c r="BL9" i="29"/>
  <c r="BL4" i="29"/>
  <c r="BG4" i="29"/>
  <c r="BH4" i="29"/>
  <c r="BK4" i="29"/>
  <c r="BI4" i="29"/>
  <c r="BJ4" i="29"/>
  <c r="BH30" i="29"/>
  <c r="BK27" i="29"/>
  <c r="BL26" i="29"/>
  <c r="BD26" i="29"/>
  <c r="BE26" i="29" s="1"/>
  <c r="BF26" i="29" s="1"/>
  <c r="BI21" i="29"/>
  <c r="BK19" i="29"/>
  <c r="BD18" i="29"/>
  <c r="BE18" i="29" s="1"/>
  <c r="BF18" i="29" s="1"/>
  <c r="BI13" i="29"/>
  <c r="BJ12" i="29"/>
  <c r="BK11" i="29"/>
  <c r="BD10" i="29"/>
  <c r="BG7" i="29"/>
  <c r="BE10" i="29"/>
  <c r="BF10" i="29" s="1"/>
  <c r="BL10" i="29" s="1"/>
  <c r="BK26" i="29"/>
  <c r="BG29" i="29"/>
  <c r="BI27" i="29"/>
  <c r="BJ26" i="29"/>
  <c r="BK25" i="29"/>
  <c r="BL24" i="29"/>
  <c r="BD24" i="29"/>
  <c r="BE24" i="29" s="1"/>
  <c r="BF24" i="29" s="1"/>
  <c r="BG21" i="29"/>
  <c r="BI19" i="29"/>
  <c r="BD16" i="29"/>
  <c r="BE16" i="29" s="1"/>
  <c r="BF16" i="29" s="1"/>
  <c r="BG16" i="29" s="1"/>
  <c r="BG13" i="29"/>
  <c r="BH12" i="29"/>
  <c r="BI11" i="29"/>
  <c r="BL8" i="29"/>
  <c r="BD8" i="29"/>
  <c r="BE8" i="29" s="1"/>
  <c r="BF8" i="29" s="1"/>
  <c r="BH27" i="29"/>
  <c r="BI26" i="29"/>
  <c r="BK24" i="29"/>
  <c r="BH19" i="29"/>
  <c r="BK8" i="29"/>
  <c r="BL7" i="29"/>
  <c r="BD30" i="29"/>
  <c r="BE30" i="29" s="1"/>
  <c r="BF30" i="29" s="1"/>
  <c r="BH26" i="29"/>
  <c r="BJ24" i="29"/>
  <c r="BJ8" i="29"/>
  <c r="BK7" i="29"/>
  <c r="BL29" i="29"/>
  <c r="BI24" i="29"/>
  <c r="BL21" i="29"/>
  <c r="BL13" i="29"/>
  <c r="BI8" i="29"/>
  <c r="BJ7" i="29"/>
  <c r="BJ16" i="29" l="1"/>
  <c r="BJ18" i="29"/>
  <c r="BH18" i="29"/>
  <c r="BI18" i="29"/>
  <c r="BK18" i="29"/>
  <c r="BH10" i="29"/>
  <c r="BK16" i="29"/>
  <c r="BJ10" i="29"/>
  <c r="BI16" i="29"/>
  <c r="BG18" i="29"/>
  <c r="BH16" i="29"/>
  <c r="BG10" i="29"/>
  <c r="BL18" i="29"/>
  <c r="BL16" i="29"/>
  <c r="BI10" i="29"/>
  <c r="BK10" i="29"/>
  <c r="K16" i="7" l="1"/>
  <c r="L16" i="7" s="1"/>
  <c r="M16" i="7" s="1"/>
  <c r="N16" i="7"/>
  <c r="AF4" i="18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2" i="7"/>
  <c r="L22" i="7" s="1"/>
  <c r="M22" i="7" s="1"/>
  <c r="N22" i="7"/>
  <c r="K23" i="7"/>
  <c r="L23" i="7"/>
  <c r="M23" i="7" s="1"/>
  <c r="N23" i="7"/>
  <c r="K9" i="7"/>
  <c r="L9" i="7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H12" i="31"/>
  <c r="G12" i="31"/>
  <c r="F12" i="31"/>
  <c r="H11" i="31"/>
  <c r="G11" i="31"/>
  <c r="F11" i="31"/>
  <c r="H10" i="31"/>
  <c r="G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V112" i="30"/>
  <c r="AV111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2" i="29"/>
  <c r="C10" i="29"/>
  <c r="C9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K180" i="29"/>
  <c r="J180" i="29"/>
  <c r="I180" i="29"/>
  <c r="H180" i="29"/>
  <c r="G180" i="29"/>
  <c r="F180" i="29"/>
  <c r="F195" i="29" s="1"/>
  <c r="J75" i="30" s="1"/>
  <c r="E180" i="29"/>
  <c r="E195" i="29" s="1"/>
  <c r="I75" i="30" s="1"/>
  <c r="D180" i="29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S71" i="31" s="1"/>
  <c r="BR60" i="31"/>
  <c r="BQ60" i="31"/>
  <c r="BP60" i="31"/>
  <c r="BO60" i="31"/>
  <c r="BN60" i="31"/>
  <c r="BM60" i="31"/>
  <c r="BL60" i="31"/>
  <c r="BK60" i="31"/>
  <c r="BK71" i="31" s="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C73" i="31" s="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C72" i="31" s="1"/>
  <c r="BB61" i="31"/>
  <c r="BB72" i="31" s="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C71" i="31" s="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Q76" i="31" s="1"/>
  <c r="BP54" i="31"/>
  <c r="BP76" i="31" s="1"/>
  <c r="BO54" i="31"/>
  <c r="BO76" i="31" s="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I75" i="31" s="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Q74" i="31" s="1"/>
  <c r="BP52" i="31"/>
  <c r="BP74" i="31" s="1"/>
  <c r="BO52" i="31"/>
  <c r="BO74" i="31" s="1"/>
  <c r="BN52" i="31"/>
  <c r="BM52" i="31"/>
  <c r="BL52" i="31"/>
  <c r="BK52" i="31"/>
  <c r="BJ52" i="31"/>
  <c r="BI52" i="31"/>
  <c r="BI74" i="31" s="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P73" i="31" s="1"/>
  <c r="BO51" i="31"/>
  <c r="BO73" i="31" s="1"/>
  <c r="BN51" i="31"/>
  <c r="BM51" i="31"/>
  <c r="BL51" i="31"/>
  <c r="BK51" i="31"/>
  <c r="BJ51" i="31"/>
  <c r="BI51" i="31"/>
  <c r="BI73" i="31" s="1"/>
  <c r="BH51" i="31"/>
  <c r="BH62" i="31" s="1"/>
  <c r="BH73" i="31" s="1"/>
  <c r="BG51" i="31"/>
  <c r="BF51" i="31"/>
  <c r="BE51" i="31"/>
  <c r="BD51" i="31"/>
  <c r="BC51" i="31"/>
  <c r="BB51" i="31"/>
  <c r="BA51" i="31"/>
  <c r="AZ51" i="31"/>
  <c r="AZ73" i="31" s="1"/>
  <c r="AY51" i="31"/>
  <c r="AY73" i="31" s="1"/>
  <c r="AX51" i="31"/>
  <c r="AW51" i="31"/>
  <c r="AV51" i="31"/>
  <c r="BS50" i="31"/>
  <c r="BR50" i="31"/>
  <c r="BQ50" i="31"/>
  <c r="BQ72" i="31" s="1"/>
  <c r="BP50" i="31"/>
  <c r="BP72" i="31" s="1"/>
  <c r="BO50" i="31"/>
  <c r="BO72" i="31" s="1"/>
  <c r="BN50" i="31"/>
  <c r="BM50" i="31"/>
  <c r="BL50" i="31"/>
  <c r="BK50" i="31"/>
  <c r="BJ50" i="31"/>
  <c r="BI50" i="31"/>
  <c r="BI72" i="31" s="1"/>
  <c r="BH50" i="31"/>
  <c r="BH61" i="31" s="1"/>
  <c r="BH72" i="31" s="1"/>
  <c r="BG50" i="31"/>
  <c r="BF50" i="31"/>
  <c r="BE50" i="31"/>
  <c r="BD50" i="31"/>
  <c r="BC50" i="31"/>
  <c r="BB50" i="31"/>
  <c r="BA50" i="31"/>
  <c r="AZ50" i="31"/>
  <c r="AZ72" i="31" s="1"/>
  <c r="AY50" i="31"/>
  <c r="AY72" i="31" s="1"/>
  <c r="AX50" i="31"/>
  <c r="AW50" i="31"/>
  <c r="AV50" i="31"/>
  <c r="BS49" i="31"/>
  <c r="BR49" i="31"/>
  <c r="BQ49" i="31"/>
  <c r="BQ71" i="31" s="1"/>
  <c r="BP49" i="31"/>
  <c r="BP71" i="31" s="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A49" i="31"/>
  <c r="AZ49" i="31"/>
  <c r="AZ71" i="31" s="1"/>
  <c r="AY49" i="31"/>
  <c r="AY71" i="31" s="1"/>
  <c r="AX49" i="31"/>
  <c r="AW49" i="31"/>
  <c r="AV49" i="31"/>
  <c r="BS48" i="31"/>
  <c r="BR48" i="31"/>
  <c r="BQ48" i="31"/>
  <c r="BQ70" i="31" s="1"/>
  <c r="BP48" i="31"/>
  <c r="BO48" i="31"/>
  <c r="BO70" i="31" s="1"/>
  <c r="BN48" i="31"/>
  <c r="BN70" i="31" s="1"/>
  <c r="BM48" i="31"/>
  <c r="BL48" i="31"/>
  <c r="BK48" i="31"/>
  <c r="BJ48" i="31"/>
  <c r="BI48" i="31"/>
  <c r="BI70" i="31" s="1"/>
  <c r="BH48" i="31"/>
  <c r="BH59" i="31" s="1"/>
  <c r="BH70" i="31" s="1"/>
  <c r="BG48" i="31"/>
  <c r="BF48" i="31"/>
  <c r="BE48" i="31"/>
  <c r="BD48" i="31"/>
  <c r="BC48" i="31"/>
  <c r="BB48" i="31"/>
  <c r="BA48" i="31"/>
  <c r="AZ48" i="31"/>
  <c r="AZ70" i="31" s="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P93" i="30" s="1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Z93" i="30" s="1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L92" i="30" s="1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H91" i="30" s="1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I90" i="30" s="1"/>
  <c r="BH37" i="30"/>
  <c r="BH90" i="30" s="1"/>
  <c r="BG37" i="30"/>
  <c r="BG90" i="30" s="1"/>
  <c r="BF37" i="30"/>
  <c r="BE37" i="30"/>
  <c r="BD37" i="30"/>
  <c r="BD90" i="30" s="1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Q111" i="30" s="1"/>
  <c r="BP9" i="30"/>
  <c r="BO9" i="30"/>
  <c r="BN9" i="30"/>
  <c r="BM9" i="30"/>
  <c r="BL9" i="30"/>
  <c r="BK9" i="30"/>
  <c r="BJ9" i="30"/>
  <c r="BI9" i="30"/>
  <c r="BI20" i="30" s="1"/>
  <c r="BI65" i="30" s="1"/>
  <c r="BI111" i="30" s="1"/>
  <c r="BH9" i="30"/>
  <c r="BG9" i="30"/>
  <c r="BF9" i="30"/>
  <c r="BE9" i="30"/>
  <c r="BD9" i="30"/>
  <c r="BC9" i="30"/>
  <c r="BB9" i="30"/>
  <c r="BA9" i="30"/>
  <c r="BA20" i="30" s="1"/>
  <c r="BA65" i="30" s="1"/>
  <c r="BA111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Z5" i="29" s="1"/>
  <c r="Z9" i="29" s="1"/>
  <c r="Y81" i="29"/>
  <c r="Y4" i="29" s="1"/>
  <c r="X81" i="29"/>
  <c r="W81" i="29"/>
  <c r="V81" i="29"/>
  <c r="U81" i="29"/>
  <c r="T81" i="29"/>
  <c r="S81" i="29"/>
  <c r="S20" i="29" s="1"/>
  <c r="S21" i="29" s="1"/>
  <c r="S7" i="29" s="1"/>
  <c r="S12" i="29" s="1"/>
  <c r="R81" i="29"/>
  <c r="R3" i="29" s="1"/>
  <c r="Q81" i="29"/>
  <c r="Q5" i="29" s="1"/>
  <c r="Q9" i="29" s="1"/>
  <c r="P81" i="29"/>
  <c r="O81" i="29"/>
  <c r="N81" i="29"/>
  <c r="M81" i="29"/>
  <c r="L81" i="29"/>
  <c r="K81" i="29"/>
  <c r="K5" i="29" s="1"/>
  <c r="K9" i="29" s="1"/>
  <c r="J81" i="29"/>
  <c r="J3" i="29" s="1"/>
  <c r="I81" i="29"/>
  <c r="I5" i="29" s="1"/>
  <c r="I9" i="29" s="1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D224" i="32" s="1"/>
  <c r="J150" i="31"/>
  <c r="C223" i="32" s="1"/>
  <c r="D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J124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N76" i="31"/>
  <c r="BM76" i="31"/>
  <c r="BL76" i="31"/>
  <c r="BJ76" i="31"/>
  <c r="BI76" i="31"/>
  <c r="BE76" i="31"/>
  <c r="BD76" i="31"/>
  <c r="BC76" i="31"/>
  <c r="BB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E75" i="31"/>
  <c r="BD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N74" i="31"/>
  <c r="BM74" i="31"/>
  <c r="BL74" i="31"/>
  <c r="BJ74" i="31"/>
  <c r="BE74" i="31"/>
  <c r="BD74" i="31"/>
  <c r="BC74" i="31"/>
  <c r="BB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N73" i="31"/>
  <c r="BM73" i="31"/>
  <c r="BL73" i="31"/>
  <c r="BJ73" i="31"/>
  <c r="BE73" i="31"/>
  <c r="BD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N72" i="31"/>
  <c r="BM72" i="31"/>
  <c r="BL72" i="31"/>
  <c r="BK72" i="31"/>
  <c r="BJ72" i="31"/>
  <c r="BE72" i="31"/>
  <c r="BD72" i="31"/>
  <c r="BA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M71" i="31"/>
  <c r="BL71" i="31"/>
  <c r="BJ71" i="31"/>
  <c r="BE71" i="31"/>
  <c r="BD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P70" i="31"/>
  <c r="BM70" i="31"/>
  <c r="BL70" i="31"/>
  <c r="BJ70" i="31"/>
  <c r="BE70" i="31"/>
  <c r="BD70" i="31"/>
  <c r="BC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7" i="30"/>
  <c r="F87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N91" i="30"/>
  <c r="BM91" i="30"/>
  <c r="BL91" i="30"/>
  <c r="BK91" i="30"/>
  <c r="BF91" i="30"/>
  <c r="BE91" i="30"/>
  <c r="BD91" i="30"/>
  <c r="BC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F90" i="30"/>
  <c r="BE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P111" i="30" s="1"/>
  <c r="BM20" i="30"/>
  <c r="BM65" i="30" s="1"/>
  <c r="BM111" i="30" s="1"/>
  <c r="BL20" i="30"/>
  <c r="BL65" i="30" s="1"/>
  <c r="BL111" i="30" s="1"/>
  <c r="BH20" i="30"/>
  <c r="BH65" i="30" s="1"/>
  <c r="BH111" i="30" s="1"/>
  <c r="BE20" i="30"/>
  <c r="BE65" i="30" s="1"/>
  <c r="BE111" i="30" s="1"/>
  <c r="BD20" i="30"/>
  <c r="BD65" i="30" s="1"/>
  <c r="BD111" i="30" s="1"/>
  <c r="AZ20" i="30"/>
  <c r="AZ65" i="30" s="1"/>
  <c r="AZ111" i="30" s="1"/>
  <c r="AW20" i="30"/>
  <c r="AW65" i="30" s="1"/>
  <c r="AW111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L195" i="29"/>
  <c r="P75" i="30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C196" i="29" s="1"/>
  <c r="Z185" i="29"/>
  <c r="Z195" i="29" s="1"/>
  <c r="AD75" i="30" s="1"/>
  <c r="Y185" i="29"/>
  <c r="X185" i="29"/>
  <c r="W185" i="29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Y196" i="29"/>
  <c r="AC76" i="30" s="1"/>
  <c r="Q196" i="29"/>
  <c r="U76" i="30" s="1"/>
  <c r="Y195" i="29"/>
  <c r="AC75" i="30" s="1"/>
  <c r="X195" i="29"/>
  <c r="AB75" i="30" s="1"/>
  <c r="Q195" i="29"/>
  <c r="U75" i="30" s="1"/>
  <c r="D195" i="29"/>
  <c r="H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X20" i="29"/>
  <c r="X21" i="29" s="1"/>
  <c r="X7" i="29" s="1"/>
  <c r="X12" i="29" s="1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U20" i="29"/>
  <c r="U21" i="29" s="1"/>
  <c r="U7" i="29" s="1"/>
  <c r="U12" i="29" s="1"/>
  <c r="M20" i="29"/>
  <c r="M21" i="29" s="1"/>
  <c r="M7" i="29" s="1"/>
  <c r="M12" i="29" s="1"/>
  <c r="E20" i="29"/>
  <c r="E21" i="29" s="1"/>
  <c r="E7" i="29" s="1"/>
  <c r="E12" i="29" s="1"/>
  <c r="C19" i="29"/>
  <c r="C6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AD14" i="29"/>
  <c r="T233" i="31" s="1"/>
  <c r="T271" i="31" s="1"/>
  <c r="AJ8" i="29"/>
  <c r="W5" i="29"/>
  <c r="W9" i="29" s="1"/>
  <c r="V5" i="29"/>
  <c r="V9" i="29" s="1"/>
  <c r="U5" i="29"/>
  <c r="U9" i="29" s="1"/>
  <c r="T5" i="29"/>
  <c r="T9" i="29" s="1"/>
  <c r="O5" i="29"/>
  <c r="O9" i="29" s="1"/>
  <c r="N5" i="29"/>
  <c r="N9" i="29" s="1"/>
  <c r="M5" i="29"/>
  <c r="M9" i="29" s="1"/>
  <c r="L5" i="29"/>
  <c r="L9" i="29" s="1"/>
  <c r="J5" i="29"/>
  <c r="J9" i="29" s="1"/>
  <c r="H5" i="29"/>
  <c r="H9" i="29" s="1"/>
  <c r="G5" i="29"/>
  <c r="G9" i="29" s="1"/>
  <c r="F5" i="29"/>
  <c r="F9" i="29" s="1"/>
  <c r="E5" i="29"/>
  <c r="E9" i="29" s="1"/>
  <c r="D5" i="29"/>
  <c r="D9" i="29" s="1"/>
  <c r="C5" i="29"/>
  <c r="Z4" i="29"/>
  <c r="X4" i="29"/>
  <c r="W4" i="29"/>
  <c r="V4" i="29"/>
  <c r="U4" i="29"/>
  <c r="T4" i="29"/>
  <c r="R4" i="29"/>
  <c r="Q4" i="29"/>
  <c r="P4" i="29"/>
  <c r="O4" i="29"/>
  <c r="N4" i="29"/>
  <c r="M4" i="29"/>
  <c r="L4" i="29"/>
  <c r="G4" i="29"/>
  <c r="F4" i="29"/>
  <c r="E4" i="29"/>
  <c r="D4" i="29"/>
  <c r="C4" i="29"/>
  <c r="W3" i="29"/>
  <c r="V3" i="29"/>
  <c r="U3" i="29"/>
  <c r="Y72" i="30" s="1"/>
  <c r="T3" i="29"/>
  <c r="O3" i="29"/>
  <c r="N3" i="29"/>
  <c r="M3" i="29"/>
  <c r="L3" i="29"/>
  <c r="K3" i="29"/>
  <c r="G3" i="29"/>
  <c r="F3" i="29"/>
  <c r="E3" i="29"/>
  <c r="D3" i="29"/>
  <c r="C3" i="29"/>
  <c r="E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7" i="28"/>
  <c r="AB25" i="28"/>
  <c r="K11" i="28"/>
  <c r="K10" i="28"/>
  <c r="V72" i="30" l="1"/>
  <c r="R8" i="29"/>
  <c r="AA72" i="30"/>
  <c r="W8" i="29"/>
  <c r="I20" i="29"/>
  <c r="I21" i="29" s="1"/>
  <c r="I7" i="29" s="1"/>
  <c r="I12" i="29" s="1"/>
  <c r="E8" i="29"/>
  <c r="I72" i="30"/>
  <c r="N8" i="29"/>
  <c r="R72" i="30"/>
  <c r="Y3" i="29"/>
  <c r="J4" i="29"/>
  <c r="N72" i="30" s="1"/>
  <c r="N77" i="30" s="1"/>
  <c r="Y5" i="29"/>
  <c r="Y9" i="29" s="1"/>
  <c r="J20" i="29"/>
  <c r="J21" i="29" s="1"/>
  <c r="J7" i="29" s="1"/>
  <c r="J12" i="29" s="1"/>
  <c r="BB71" i="31"/>
  <c r="BB73" i="31"/>
  <c r="M8" i="29"/>
  <c r="Q72" i="30"/>
  <c r="F8" i="29"/>
  <c r="J72" i="30"/>
  <c r="O8" i="29"/>
  <c r="S72" i="30"/>
  <c r="Z3" i="29"/>
  <c r="Q20" i="29"/>
  <c r="Q21" i="29" s="1"/>
  <c r="Q7" i="29" s="1"/>
  <c r="Q12" i="29" s="1"/>
  <c r="H72" i="30"/>
  <c r="H77" i="30" s="1"/>
  <c r="D8" i="29"/>
  <c r="G8" i="29"/>
  <c r="K72" i="30"/>
  <c r="Q3" i="29"/>
  <c r="P72" i="30"/>
  <c r="L8" i="29"/>
  <c r="I4" i="29"/>
  <c r="I3" i="29"/>
  <c r="Y20" i="29"/>
  <c r="Y21" i="29" s="1"/>
  <c r="Y7" i="29" s="1"/>
  <c r="Y12" i="29" s="1"/>
  <c r="X72" i="30"/>
  <c r="T8" i="29"/>
  <c r="V8" i="29"/>
  <c r="Z72" i="30"/>
  <c r="O72" i="30"/>
  <c r="BA70" i="31"/>
  <c r="BA71" i="31"/>
  <c r="BA73" i="31"/>
  <c r="BA74" i="31"/>
  <c r="BA75" i="31"/>
  <c r="BA76" i="31"/>
  <c r="BH92" i="30"/>
  <c r="W195" i="29"/>
  <c r="AA75" i="30" s="1"/>
  <c r="W196" i="29"/>
  <c r="AA76" i="30" s="1"/>
  <c r="AA77" i="30" s="1"/>
  <c r="BP90" i="30"/>
  <c r="B81" i="30"/>
  <c r="F81" i="30" s="1"/>
  <c r="B114" i="30" s="1"/>
  <c r="T245" i="31"/>
  <c r="X245" i="31" s="1"/>
  <c r="F212" i="29"/>
  <c r="D19" i="32"/>
  <c r="D20" i="32"/>
  <c r="D18" i="32"/>
  <c r="U135" i="31"/>
  <c r="U133" i="31"/>
  <c r="U134" i="31"/>
  <c r="U137" i="31"/>
  <c r="U132" i="31"/>
  <c r="U136" i="31"/>
  <c r="L114" i="31" s="1"/>
  <c r="AF145" i="31"/>
  <c r="AF139" i="31"/>
  <c r="AF133" i="31"/>
  <c r="AF127" i="31"/>
  <c r="AF142" i="31"/>
  <c r="AF136" i="31"/>
  <c r="AF130" i="31"/>
  <c r="Z180" i="28"/>
  <c r="AC180" i="28" s="1"/>
  <c r="T180" i="28"/>
  <c r="Y180" i="28"/>
  <c r="X180" i="28"/>
  <c r="AA180" i="28" s="1"/>
  <c r="Z180" i="31"/>
  <c r="AC180" i="31" s="1"/>
  <c r="Y180" i="31"/>
  <c r="AB180" i="31" s="1"/>
  <c r="X180" i="31"/>
  <c r="T180" i="31"/>
  <c r="V180" i="31" s="1"/>
  <c r="Z170" i="31"/>
  <c r="AC170" i="31" s="1"/>
  <c r="Y170" i="31"/>
  <c r="T170" i="31"/>
  <c r="AG170" i="31" s="1"/>
  <c r="X170" i="31"/>
  <c r="AA170" i="31" s="1"/>
  <c r="X170" i="28"/>
  <c r="AA170" i="28" s="1"/>
  <c r="T170" i="28"/>
  <c r="Y170" i="28"/>
  <c r="AB170" i="28" s="1"/>
  <c r="Z170" i="28"/>
  <c r="AC170" i="28" s="1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W168" i="31" s="1"/>
  <c r="Z168" i="31"/>
  <c r="AC168" i="31" s="1"/>
  <c r="Y168" i="31"/>
  <c r="AB168" i="31" s="1"/>
  <c r="X165" i="31"/>
  <c r="T165" i="31"/>
  <c r="Y165" i="31"/>
  <c r="Z165" i="31"/>
  <c r="AC165" i="31" s="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Y178" i="31"/>
  <c r="AB178" i="31" s="1"/>
  <c r="T178" i="31"/>
  <c r="X178" i="31"/>
  <c r="AA178" i="31" s="1"/>
  <c r="Z178" i="31"/>
  <c r="AC178" i="31" s="1"/>
  <c r="Z177" i="3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V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W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BA15" i="30"/>
  <c r="L196" i="29"/>
  <c r="P76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U196" i="29"/>
  <c r="Y76" i="30" s="1"/>
  <c r="Y77" i="30" s="1"/>
  <c r="BJ17" i="30"/>
  <c r="BH17" i="30"/>
  <c r="AY91" i="30"/>
  <c r="BO91" i="30"/>
  <c r="BO99" i="30" s="1"/>
  <c r="BO100" i="30" s="1"/>
  <c r="BO101" i="30" s="1"/>
  <c r="AY92" i="30"/>
  <c r="AY99" i="30" s="1"/>
  <c r="AY100" i="30" s="1"/>
  <c r="AY101" i="30" s="1"/>
  <c r="BG92" i="30"/>
  <c r="BO92" i="30"/>
  <c r="AZ17" i="30"/>
  <c r="BP92" i="30"/>
  <c r="BB17" i="30"/>
  <c r="AZ91" i="30"/>
  <c r="BB91" i="30"/>
  <c r="BR91" i="30"/>
  <c r="BR99" i="30" s="1"/>
  <c r="BR100" i="30" s="1"/>
  <c r="BR101" i="30" s="1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H2" i="29" s="1"/>
  <c r="P5" i="29"/>
  <c r="P9" i="29" s="1"/>
  <c r="P20" i="29"/>
  <c r="P21" i="29" s="1"/>
  <c r="P7" i="29" s="1"/>
  <c r="P12" i="29" s="1"/>
  <c r="P3" i="29"/>
  <c r="X5" i="29"/>
  <c r="X9" i="29" s="1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A180" i="31"/>
  <c r="AC184" i="31"/>
  <c r="AE184" i="31" s="1"/>
  <c r="AC188" i="31"/>
  <c r="AE188" i="31" s="1"/>
  <c r="AA188" i="31"/>
  <c r="AJ188" i="3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BA107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AB180" i="28"/>
  <c r="K156" i="29"/>
  <c r="L161" i="29"/>
  <c r="C195" i="29"/>
  <c r="G75" i="30" s="1"/>
  <c r="G77" i="30" s="1"/>
  <c r="AI131" i="31"/>
  <c r="AI146" i="31"/>
  <c r="AI140" i="31"/>
  <c r="DZ87" i="32"/>
  <c r="DY90" i="32"/>
  <c r="AI171" i="31"/>
  <c r="AA171" i="31"/>
  <c r="AC187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78" i="28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87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C173" i="31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R5" i="29"/>
  <c r="R9" i="29" s="1"/>
  <c r="O212" i="29"/>
  <c r="O195" i="29"/>
  <c r="S75" i="30" s="1"/>
  <c r="O196" i="29"/>
  <c r="S76" i="30" s="1"/>
  <c r="N212" i="29"/>
  <c r="K4" i="29"/>
  <c r="K8" i="29" s="1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BK90" i="31"/>
  <c r="AE90" i="31"/>
  <c r="AL98" i="31"/>
  <c r="AM99" i="31"/>
  <c r="AI137" i="31"/>
  <c r="F213" i="29"/>
  <c r="F214" i="29" s="1"/>
  <c r="N213" i="29"/>
  <c r="R213" i="29"/>
  <c r="V213" i="29"/>
  <c r="Z213" i="29"/>
  <c r="J152" i="31"/>
  <c r="C225" i="32" s="1"/>
  <c r="D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I109" i="30" s="1"/>
  <c r="BQ29" i="30"/>
  <c r="BQ63" i="30" s="1"/>
  <c r="BQ109" i="30" s="1"/>
  <c r="AW90" i="32"/>
  <c r="BB90" i="32"/>
  <c r="BH90" i="32"/>
  <c r="BM90" i="32"/>
  <c r="BR90" i="32"/>
  <c r="BA63" i="30"/>
  <c r="BA109" i="30" s="1"/>
  <c r="AV29" i="30"/>
  <c r="BD29" i="30"/>
  <c r="BD63" i="30" s="1"/>
  <c r="BD109" i="30" s="1"/>
  <c r="BL29" i="30"/>
  <c r="BL74" i="30" s="1"/>
  <c r="AX90" i="32"/>
  <c r="BD90" i="32"/>
  <c r="BI90" i="32"/>
  <c r="BN90" i="32"/>
  <c r="AW29" i="30"/>
  <c r="BE29" i="30"/>
  <c r="BE63" i="30" s="1"/>
  <c r="BE109" i="30" s="1"/>
  <c r="BM29" i="30"/>
  <c r="BM63" i="30" s="1"/>
  <c r="BM109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E99" i="30"/>
  <c r="BM99" i="30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187" i="28"/>
  <c r="AA203" i="28"/>
  <c r="C182" i="32"/>
  <c r="D182" i="32" s="1"/>
  <c r="AJ215" i="32" s="1"/>
  <c r="X233" i="31"/>
  <c r="C306" i="32" s="1"/>
  <c r="X271" i="31"/>
  <c r="Z28" i="28"/>
  <c r="Z31" i="28"/>
  <c r="AC165" i="28"/>
  <c r="AC171" i="28"/>
  <c r="AA181" i="28"/>
  <c r="AF182" i="28"/>
  <c r="AJ182" i="28"/>
  <c r="AC184" i="28"/>
  <c r="AA185" i="28"/>
  <c r="AC188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59" i="30"/>
  <c r="AY60" i="30"/>
  <c r="AY106" i="30" s="1"/>
  <c r="BG60" i="30"/>
  <c r="BG106" i="30" s="1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110" i="30" s="1"/>
  <c r="AZ75" i="30"/>
  <c r="BD64" i="30"/>
  <c r="BD110" i="30" s="1"/>
  <c r="BD75" i="30"/>
  <c r="BH64" i="30"/>
  <c r="BH110" i="30" s="1"/>
  <c r="BH75" i="30"/>
  <c r="BL64" i="30"/>
  <c r="BL110" i="30" s="1"/>
  <c r="BL75" i="30"/>
  <c r="BP64" i="30"/>
  <c r="BP110" i="30" s="1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AU120" i="32"/>
  <c r="AU59" i="30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AX107" i="30" s="1"/>
  <c r="BB61" i="30"/>
  <c r="BB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109" i="30" s="1"/>
  <c r="AZ74" i="30"/>
  <c r="BH63" i="30"/>
  <c r="BH109" i="30" s="1"/>
  <c r="BH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110" i="30" s="1"/>
  <c r="AW75" i="30"/>
  <c r="BA64" i="30"/>
  <c r="BA110" i="30" s="1"/>
  <c r="BA75" i="30"/>
  <c r="BE64" i="30"/>
  <c r="BE110" i="30" s="1"/>
  <c r="BE75" i="30"/>
  <c r="BI64" i="30"/>
  <c r="BI110" i="30" s="1"/>
  <c r="BI75" i="30"/>
  <c r="BM64" i="30"/>
  <c r="BM110" i="30" s="1"/>
  <c r="BM75" i="30"/>
  <c r="BQ64" i="30"/>
  <c r="BQ110" i="30" s="1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AX111" i="30" s="1"/>
  <c r="BB76" i="30"/>
  <c r="BB65" i="30"/>
  <c r="BB111" i="30" s="1"/>
  <c r="BF76" i="30"/>
  <c r="BF65" i="30"/>
  <c r="BF111" i="30" s="1"/>
  <c r="BJ76" i="30"/>
  <c r="BJ65" i="30"/>
  <c r="BJ111" i="30" s="1"/>
  <c r="BN76" i="30"/>
  <c r="BN65" i="30"/>
  <c r="BN111" i="30" s="1"/>
  <c r="BR76" i="30"/>
  <c r="BR65" i="30"/>
  <c r="BR111" i="30" s="1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AY112" i="30" s="1"/>
  <c r="BC77" i="30"/>
  <c r="BC66" i="30"/>
  <c r="BC112" i="30" s="1"/>
  <c r="BG77" i="30"/>
  <c r="BG66" i="30"/>
  <c r="BG112" i="30" s="1"/>
  <c r="BK77" i="30"/>
  <c r="BK66" i="30"/>
  <c r="BK112" i="30" s="1"/>
  <c r="BO77" i="30"/>
  <c r="BO66" i="30"/>
  <c r="BO112" i="30" s="1"/>
  <c r="BS77" i="30"/>
  <c r="BS66" i="30"/>
  <c r="BS112" i="30" s="1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C187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66" i="28"/>
  <c r="AA171" i="28"/>
  <c r="AB171" i="28"/>
  <c r="AB176" i="28"/>
  <c r="U181" i="28"/>
  <c r="AG181" i="28"/>
  <c r="V182" i="28"/>
  <c r="AA184" i="28"/>
  <c r="U185" i="28"/>
  <c r="AB185" i="28"/>
  <c r="AG185" i="28"/>
  <c r="AA188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59" i="30"/>
  <c r="DC106" i="30"/>
  <c r="DC71" i="30"/>
  <c r="AY61" i="30"/>
  <c r="AY107" i="30" s="1"/>
  <c r="BO61" i="30"/>
  <c r="BO107" i="30" s="1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111" i="30" s="1"/>
  <c r="AY76" i="30"/>
  <c r="BC65" i="30"/>
  <c r="BC111" i="30" s="1"/>
  <c r="BC76" i="30"/>
  <c r="BG65" i="30"/>
  <c r="BG111" i="30" s="1"/>
  <c r="BG76" i="30"/>
  <c r="BK65" i="30"/>
  <c r="BK111" i="30" s="1"/>
  <c r="BK76" i="30"/>
  <c r="BO65" i="30"/>
  <c r="BO111" i="30" s="1"/>
  <c r="BO76" i="30"/>
  <c r="BS65" i="30"/>
  <c r="BS111" i="30" s="1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AZ112" i="30" s="1"/>
  <c r="BD77" i="30"/>
  <c r="BD66" i="30"/>
  <c r="BD112" i="30" s="1"/>
  <c r="BH77" i="30"/>
  <c r="BH66" i="30"/>
  <c r="BH112" i="30" s="1"/>
  <c r="BL77" i="30"/>
  <c r="BL66" i="30"/>
  <c r="BL112" i="30" s="1"/>
  <c r="BP77" i="30"/>
  <c r="BP66" i="30"/>
  <c r="BP112" i="30" s="1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V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B106" i="30" s="1"/>
  <c r="BJ71" i="30"/>
  <c r="BJ60" i="30"/>
  <c r="BJ106" i="30" s="1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110" i="30" s="1"/>
  <c r="AY75" i="30"/>
  <c r="BC64" i="30"/>
  <c r="BC110" i="30" s="1"/>
  <c r="BC75" i="30"/>
  <c r="BG64" i="30"/>
  <c r="BG110" i="30" s="1"/>
  <c r="BG75" i="30"/>
  <c r="BK64" i="30"/>
  <c r="BK110" i="30" s="1"/>
  <c r="BK75" i="30"/>
  <c r="BO64" i="30"/>
  <c r="BO110" i="30" s="1"/>
  <c r="BO75" i="30"/>
  <c r="BS64" i="30"/>
  <c r="BS110" i="30" s="1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AW112" i="30" s="1"/>
  <c r="BA77" i="30"/>
  <c r="BA66" i="30"/>
  <c r="BA112" i="30" s="1"/>
  <c r="BE77" i="30"/>
  <c r="BE66" i="30"/>
  <c r="BE112" i="30" s="1"/>
  <c r="BI77" i="30"/>
  <c r="BI66" i="30"/>
  <c r="BI112" i="30" s="1"/>
  <c r="BM77" i="30"/>
  <c r="BM66" i="30"/>
  <c r="BM112" i="30" s="1"/>
  <c r="BQ77" i="30"/>
  <c r="BQ66" i="30"/>
  <c r="BQ112" i="30" s="1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BM100" i="30"/>
  <c r="BM101" i="30" s="1"/>
  <c r="CK100" i="30"/>
  <c r="CK101" i="30" s="1"/>
  <c r="DV100" i="30"/>
  <c r="DV101" i="30" s="1"/>
  <c r="AB27" i="31"/>
  <c r="AC27" i="31" s="1"/>
  <c r="AB28" i="31"/>
  <c r="AC28" i="31" s="1"/>
  <c r="AB29" i="31"/>
  <c r="AC29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B109" i="30" s="1"/>
  <c r="BF29" i="30"/>
  <c r="BF74" i="30" s="1"/>
  <c r="BJ29" i="30"/>
  <c r="BJ63" i="30" s="1"/>
  <c r="BJ109" i="30" s="1"/>
  <c r="BN29" i="30"/>
  <c r="BN74" i="30" s="1"/>
  <c r="BR29" i="30"/>
  <c r="BR63" i="30" s="1"/>
  <c r="BR109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BA100" i="30"/>
  <c r="BA101" i="30" s="1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E106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G109" i="30" s="1"/>
  <c r="BK29" i="30"/>
  <c r="BK74" i="30" s="1"/>
  <c r="BO29" i="30"/>
  <c r="BO63" i="30" s="1"/>
  <c r="BO109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I106" i="30" s="1"/>
  <c r="BM60" i="30"/>
  <c r="BM106" i="30" s="1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AW107" i="30" s="1"/>
  <c r="BI61" i="30"/>
  <c r="BI107" i="30" s="1"/>
  <c r="BM61" i="30"/>
  <c r="BM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AX112" i="30" s="1"/>
  <c r="BB66" i="30"/>
  <c r="BB112" i="30" s="1"/>
  <c r="BF66" i="30"/>
  <c r="BF112" i="30" s="1"/>
  <c r="BJ66" i="30"/>
  <c r="BJ112" i="30" s="1"/>
  <c r="BN66" i="30"/>
  <c r="BN112" i="30" s="1"/>
  <c r="BR66" i="30"/>
  <c r="BR112" i="30" s="1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I175" i="31"/>
  <c r="AB89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J174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J125" i="31"/>
  <c r="Z136" i="31"/>
  <c r="AA136" i="31" s="1"/>
  <c r="Z132" i="31"/>
  <c r="AA132" i="31" s="1"/>
  <c r="L113" i="31"/>
  <c r="AB165" i="31"/>
  <c r="AA165" i="31"/>
  <c r="V170" i="31"/>
  <c r="W171" i="31"/>
  <c r="AC177" i="31"/>
  <c r="AB184" i="31"/>
  <c r="AA184" i="31"/>
  <c r="AG188" i="31"/>
  <c r="U188" i="31"/>
  <c r="AI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C186" i="31"/>
  <c r="AF188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A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0" i="31"/>
  <c r="AB171" i="31"/>
  <c r="AB188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I77" i="30" l="1"/>
  <c r="AE186" i="28"/>
  <c r="L72" i="30"/>
  <c r="H8" i="29"/>
  <c r="U72" i="30"/>
  <c r="U77" i="30" s="1"/>
  <c r="Q8" i="29"/>
  <c r="X8" i="29"/>
  <c r="AB72" i="30"/>
  <c r="AB77" i="30" s="1"/>
  <c r="Y8" i="29"/>
  <c r="AC72" i="30"/>
  <c r="AC77" i="30" s="1"/>
  <c r="Z17" i="29"/>
  <c r="P8" i="29"/>
  <c r="T72" i="30"/>
  <c r="T77" i="30" s="1"/>
  <c r="M72" i="30"/>
  <c r="M77" i="30" s="1"/>
  <c r="I8" i="29"/>
  <c r="J8" i="29"/>
  <c r="W72" i="30"/>
  <c r="W77" i="30" s="1"/>
  <c r="S8" i="29"/>
  <c r="AD72" i="30"/>
  <c r="AD77" i="30" s="1"/>
  <c r="Z8" i="29"/>
  <c r="F75" i="30"/>
  <c r="C277" i="32" s="1"/>
  <c r="D277" i="32" s="1"/>
  <c r="C189" i="32"/>
  <c r="D189" i="32" s="1"/>
  <c r="AK189" i="32" s="1"/>
  <c r="AO189" i="32" s="1"/>
  <c r="P77" i="30"/>
  <c r="AI168" i="31"/>
  <c r="V168" i="31"/>
  <c r="AF168" i="31"/>
  <c r="Z214" i="29"/>
  <c r="AJ209" i="31"/>
  <c r="AG174" i="31"/>
  <c r="W209" i="31"/>
  <c r="V209" i="31"/>
  <c r="V174" i="31"/>
  <c r="C185" i="32"/>
  <c r="AI180" i="31"/>
  <c r="AI209" i="31"/>
  <c r="AE172" i="31"/>
  <c r="AD170" i="31"/>
  <c r="W175" i="31"/>
  <c r="V169" i="31"/>
  <c r="W169" i="31"/>
  <c r="U174" i="31"/>
  <c r="AF209" i="31"/>
  <c r="J214" i="29"/>
  <c r="AF174" i="31"/>
  <c r="AF169" i="31"/>
  <c r="AI169" i="31"/>
  <c r="AJ178" i="28"/>
  <c r="AE170" i="31"/>
  <c r="AF170" i="31"/>
  <c r="AG175" i="31"/>
  <c r="U186" i="28"/>
  <c r="AF186" i="28"/>
  <c r="AF178" i="28"/>
  <c r="AD226" i="31"/>
  <c r="AH226" i="31" s="1"/>
  <c r="U175" i="31"/>
  <c r="W178" i="28"/>
  <c r="AG178" i="28"/>
  <c r="AH186" i="28"/>
  <c r="W186" i="28"/>
  <c r="U170" i="31"/>
  <c r="AF175" i="31"/>
  <c r="U178" i="28"/>
  <c r="V186" i="28"/>
  <c r="AJ170" i="31"/>
  <c r="W170" i="31"/>
  <c r="V167" i="31"/>
  <c r="V178" i="28"/>
  <c r="S214" i="29"/>
  <c r="W167" i="31"/>
  <c r="AF167" i="31"/>
  <c r="AJ180" i="31"/>
  <c r="U180" i="31"/>
  <c r="AF180" i="31"/>
  <c r="W180" i="31"/>
  <c r="AE180" i="31"/>
  <c r="AG180" i="31"/>
  <c r="AI170" i="31"/>
  <c r="AD202" i="31"/>
  <c r="AH202" i="31" s="1"/>
  <c r="V179" i="31"/>
  <c r="Y214" i="29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J186" i="28" s="1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AP29" i="31" s="1"/>
  <c r="J35" i="31" s="1"/>
  <c r="C202" i="32" s="1"/>
  <c r="P16" i="29"/>
  <c r="BP71" i="30"/>
  <c r="BA72" i="30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H169" i="31" s="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J17" i="29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11" i="29" s="1"/>
  <c r="W13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AH170" i="31"/>
  <c r="V214" i="29"/>
  <c r="AD167" i="31"/>
  <c r="AJ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C30" i="31"/>
  <c r="J34" i="31" s="1"/>
  <c r="C201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I117" i="30" s="1"/>
  <c r="T5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D117" i="30" s="1"/>
  <c r="O5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BA81" i="30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8" i="29" s="1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BA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AI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BZ112" i="30"/>
  <c r="BZ77" i="30"/>
  <c r="C251" i="32"/>
  <c r="D251" i="32" s="1"/>
  <c r="AK191" i="32"/>
  <c r="AO191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I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I165" i="28"/>
  <c r="AE165" i="28"/>
  <c r="AJ165" i="28"/>
  <c r="AF165" i="28"/>
  <c r="W165" i="28"/>
  <c r="V165" i="28"/>
  <c r="R16" i="29"/>
  <c r="DX83" i="30"/>
  <c r="DH83" i="30"/>
  <c r="CN84" i="30"/>
  <c r="BQ84" i="30"/>
  <c r="BA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Q117" i="30"/>
  <c r="AB5" i="30" s="1"/>
  <c r="BA117" i="30"/>
  <c r="L5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H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J175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I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BA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AB94" i="31"/>
  <c r="BY89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BM117" i="30"/>
  <c r="X5" i="30" s="1"/>
  <c r="AW117" i="30"/>
  <c r="H5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BB117" i="30"/>
  <c r="M5" i="30" s="1"/>
  <c r="G55" i="29"/>
  <c r="G53" i="29"/>
  <c r="T15" i="29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I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O192" i="32" l="1"/>
  <c r="AJ168" i="28"/>
  <c r="Z18" i="29"/>
  <c r="F72" i="30"/>
  <c r="L77" i="30"/>
  <c r="F77" i="30" s="1"/>
  <c r="BJ81" i="30"/>
  <c r="BR81" i="30"/>
  <c r="BR85" i="30" s="1"/>
  <c r="BR84" i="30"/>
  <c r="BR83" i="30"/>
  <c r="T18" i="29"/>
  <c r="T22" i="29" s="1"/>
  <c r="J18" i="29"/>
  <c r="F76" i="30"/>
  <c r="B113" i="30" s="1"/>
  <c r="D185" i="32"/>
  <c r="AI166" i="28"/>
  <c r="AI166" i="31"/>
  <c r="AI164" i="31"/>
  <c r="AH173" i="28"/>
  <c r="AH168" i="31"/>
  <c r="AJ168" i="31"/>
  <c r="AJ166" i="28"/>
  <c r="AH167" i="31"/>
  <c r="AI167" i="31"/>
  <c r="AI164" i="28"/>
  <c r="AI170" i="28"/>
  <c r="AJ166" i="31"/>
  <c r="AI167" i="28"/>
  <c r="AI176" i="28"/>
  <c r="BN117" i="30"/>
  <c r="Y5" i="30" s="1"/>
  <c r="AH164" i="3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BD85" i="30" s="1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I31" i="29"/>
  <c r="AP5" i="29" s="1"/>
  <c r="BG84" i="30"/>
  <c r="BE85" i="30"/>
  <c r="BG83" i="30"/>
  <c r="J142" i="31"/>
  <c r="C220" i="32" s="1"/>
  <c r="U64" i="29"/>
  <c r="Y64" i="29"/>
  <c r="H55" i="29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Z22" i="29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AO165" i="28"/>
  <c r="BO85" i="30"/>
  <c r="L39" i="29"/>
  <c r="L43" i="29" s="1"/>
  <c r="CD85" i="30"/>
  <c r="CT85" i="30"/>
  <c r="DF85" i="30"/>
  <c r="DN85" i="30"/>
  <c r="DV85" i="30"/>
  <c r="AV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X22" i="29"/>
  <c r="AH164" i="28"/>
  <c r="AF228" i="28"/>
  <c r="AX85" i="30"/>
  <c r="BN85" i="30"/>
  <c r="U55" i="29"/>
  <c r="U53" i="29"/>
  <c r="C90" i="32"/>
  <c r="B51" i="30"/>
  <c r="C51" i="30" s="1"/>
  <c r="K33" i="28"/>
  <c r="C71" i="32" s="1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C278" i="32" l="1"/>
  <c r="C291" i="32" s="1"/>
  <c r="C191" i="32"/>
  <c r="B109" i="30"/>
  <c r="B112" i="30" s="1"/>
  <c r="B125" i="30" s="1"/>
  <c r="C193" i="32"/>
  <c r="D193" i="32" s="1"/>
  <c r="C276" i="32"/>
  <c r="D243" i="32"/>
  <c r="B54" i="30"/>
  <c r="C54" i="30" s="1"/>
  <c r="F54" i="30" s="1"/>
  <c r="C266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75" i="32" l="1"/>
  <c r="D191" i="32"/>
  <c r="C244" i="32"/>
  <c r="B149" i="31"/>
  <c r="J149" i="31" s="1"/>
  <c r="C222" i="32" s="1"/>
  <c r="B155" i="31"/>
  <c r="I155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O13" i="30" l="1"/>
  <c r="C290" i="32"/>
  <c r="D275" i="32"/>
  <c r="D244" i="32"/>
  <c r="AB13" i="30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M67" i="32"/>
  <c r="BI67" i="32"/>
  <c r="BE67" i="32"/>
  <c r="BA67" i="32"/>
  <c r="AW67" i="32"/>
  <c r="AW154" i="32" s="1"/>
  <c r="BQ66" i="32"/>
  <c r="BQ153" i="32" s="1"/>
  <c r="BM66" i="32"/>
  <c r="BM153" i="32" s="1"/>
  <c r="BI66" i="32"/>
  <c r="BI153" i="32" s="1"/>
  <c r="BE66" i="32"/>
  <c r="BE153" i="32" s="1"/>
  <c r="BA66" i="32"/>
  <c r="BA153" i="32" s="1"/>
  <c r="AW66" i="32"/>
  <c r="AW153" i="32" s="1"/>
  <c r="BQ65" i="32"/>
  <c r="BQ152" i="32" s="1"/>
  <c r="BM65" i="32"/>
  <c r="BM152" i="32" s="1"/>
  <c r="BI65" i="32"/>
  <c r="BE65" i="32"/>
  <c r="BA65" i="32"/>
  <c r="BA152" i="32" s="1"/>
  <c r="AW65" i="32"/>
  <c r="AW152" i="32" s="1"/>
  <c r="BQ64" i="32"/>
  <c r="BQ151" i="32" s="1"/>
  <c r="BM64" i="32"/>
  <c r="BI64" i="32"/>
  <c r="BE64" i="32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L67" i="32"/>
  <c r="BH67" i="32"/>
  <c r="BD67" i="32"/>
  <c r="AZ67" i="32"/>
  <c r="AV67" i="32"/>
  <c r="AV154" i="32" s="1"/>
  <c r="BP66" i="32"/>
  <c r="BP153" i="32" s="1"/>
  <c r="BL66" i="32"/>
  <c r="BL153" i="32" s="1"/>
  <c r="BH66" i="32"/>
  <c r="BH153" i="32" s="1"/>
  <c r="BD66" i="32"/>
  <c r="BD153" i="32" s="1"/>
  <c r="AZ66" i="32"/>
  <c r="AZ153" i="32" s="1"/>
  <c r="AV66" i="32"/>
  <c r="AV153" i="32" s="1"/>
  <c r="BP65" i="32"/>
  <c r="BP152" i="32" s="1"/>
  <c r="BL65" i="32"/>
  <c r="BL152" i="32" s="1"/>
  <c r="BH65" i="32"/>
  <c r="BD65" i="32"/>
  <c r="AZ65" i="32"/>
  <c r="AZ152" i="32" s="1"/>
  <c r="AV65" i="32"/>
  <c r="AV152" i="32" s="1"/>
  <c r="BP64" i="32"/>
  <c r="BP151" i="32" s="1"/>
  <c r="BL64" i="32"/>
  <c r="BH64" i="32"/>
  <c r="BD64" i="32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K67" i="32"/>
  <c r="BG67" i="32"/>
  <c r="BC67" i="32"/>
  <c r="AY67" i="32"/>
  <c r="AY154" i="32" s="1"/>
  <c r="BS66" i="32"/>
  <c r="BS153" i="32" s="1"/>
  <c r="BO66" i="32"/>
  <c r="BO153" i="32" s="1"/>
  <c r="BK66" i="32"/>
  <c r="BK153" i="32" s="1"/>
  <c r="BG66" i="32"/>
  <c r="BG153" i="32" s="1"/>
  <c r="BC66" i="32"/>
  <c r="BC153" i="32" s="1"/>
  <c r="AY66" i="32"/>
  <c r="AY153" i="32" s="1"/>
  <c r="BS65" i="32"/>
  <c r="BS152" i="32" s="1"/>
  <c r="BO65" i="32"/>
  <c r="BO152" i="32" s="1"/>
  <c r="BK65" i="32"/>
  <c r="BG65" i="32"/>
  <c r="BC65" i="32"/>
  <c r="AY65" i="32"/>
  <c r="AY152" i="32" s="1"/>
  <c r="BS64" i="32"/>
  <c r="BS151" i="32" s="1"/>
  <c r="BO64" i="32"/>
  <c r="BK64" i="32"/>
  <c r="BG64" i="32"/>
  <c r="BC64" i="32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N67" i="32"/>
  <c r="BJ67" i="32"/>
  <c r="BF67" i="32"/>
  <c r="BB67" i="32"/>
  <c r="AX67" i="32"/>
  <c r="AX154" i="32" s="1"/>
  <c r="BR66" i="32"/>
  <c r="BR153" i="32" s="1"/>
  <c r="BN66" i="32"/>
  <c r="BN153" i="32" s="1"/>
  <c r="BJ66" i="32"/>
  <c r="BJ153" i="32" s="1"/>
  <c r="BF66" i="32"/>
  <c r="BF153" i="32" s="1"/>
  <c r="BB66" i="32"/>
  <c r="BB153" i="32" s="1"/>
  <c r="AX66" i="32"/>
  <c r="AX153" i="32" s="1"/>
  <c r="BR65" i="32"/>
  <c r="BR152" i="32" s="1"/>
  <c r="BN65" i="32"/>
  <c r="BN152" i="32" s="1"/>
  <c r="BJ65" i="32"/>
  <c r="BF65" i="32"/>
  <c r="BB65" i="32"/>
  <c r="BB152" i="32" s="1"/>
  <c r="AX65" i="32"/>
  <c r="AX152" i="32" s="1"/>
  <c r="BR64" i="32"/>
  <c r="BR151" i="32" s="1"/>
  <c r="BN64" i="32"/>
  <c r="BJ64" i="32"/>
  <c r="BF64" i="32"/>
  <c r="BB64" i="32"/>
  <c r="AX64" i="32"/>
  <c r="AX151" i="32" s="1"/>
  <c r="L209" i="32"/>
  <c r="K256" i="32"/>
  <c r="L256" i="32" s="1"/>
  <c r="K257" i="32"/>
  <c r="L257" i="32" s="1"/>
  <c r="DR84" i="32"/>
  <c r="DL80" i="32"/>
  <c r="EA80" i="32"/>
  <c r="DY80" i="32"/>
  <c r="DR79" i="32"/>
  <c r="DK78" i="32"/>
  <c r="DT84" i="32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BB75" i="32" l="1"/>
  <c r="BB132" i="32" s="1"/>
  <c r="BB151" i="32"/>
  <c r="BG76" i="32"/>
  <c r="BG152" i="32"/>
  <c r="BI78" i="32"/>
  <c r="BI154" i="32"/>
  <c r="BF75" i="32"/>
  <c r="BF132" i="32" s="1"/>
  <c r="BF151" i="32"/>
  <c r="BF160" i="32" s="1"/>
  <c r="BF161" i="32" s="1"/>
  <c r="BF162" i="32" s="1"/>
  <c r="BC75" i="32"/>
  <c r="BC132" i="32" s="1"/>
  <c r="BC151" i="32"/>
  <c r="BK76" i="32"/>
  <c r="BK152" i="32"/>
  <c r="BD75" i="32"/>
  <c r="BD151" i="32"/>
  <c r="BM78" i="32"/>
  <c r="BM124" i="32" s="1"/>
  <c r="BM170" i="32" s="1"/>
  <c r="BM154" i="32"/>
  <c r="BJ76" i="32"/>
  <c r="BJ133" i="32" s="1"/>
  <c r="BJ152" i="32"/>
  <c r="BH76" i="32"/>
  <c r="BH152" i="32"/>
  <c r="BJ75" i="32"/>
  <c r="BJ151" i="32"/>
  <c r="BB78" i="32"/>
  <c r="BB135" i="32" s="1"/>
  <c r="BB154" i="32"/>
  <c r="BG75" i="32"/>
  <c r="BG132" i="32" s="1"/>
  <c r="BG151" i="32"/>
  <c r="BH75" i="32"/>
  <c r="BH151" i="32"/>
  <c r="AZ78" i="32"/>
  <c r="AZ154" i="32"/>
  <c r="AZ160" i="32" s="1"/>
  <c r="AZ161" i="32" s="1"/>
  <c r="AZ162" i="32" s="1"/>
  <c r="BQ78" i="32"/>
  <c r="BQ124" i="32" s="1"/>
  <c r="BQ170" i="32" s="1"/>
  <c r="BQ154" i="32"/>
  <c r="BQ160" i="32" s="1"/>
  <c r="BQ161" i="32" s="1"/>
  <c r="BQ162" i="32" s="1"/>
  <c r="BC78" i="32"/>
  <c r="BC135" i="32" s="1"/>
  <c r="BC154" i="32"/>
  <c r="BL75" i="32"/>
  <c r="BL121" i="32" s="1"/>
  <c r="BL167" i="32" s="1"/>
  <c r="BL151" i="32"/>
  <c r="BD78" i="32"/>
  <c r="BD124" i="32" s="1"/>
  <c r="BD170" i="32" s="1"/>
  <c r="BD154" i="32"/>
  <c r="BE76" i="32"/>
  <c r="BE133" i="32" s="1"/>
  <c r="BE152" i="32"/>
  <c r="BN75" i="32"/>
  <c r="BN121" i="32" s="1"/>
  <c r="BN167" i="32" s="1"/>
  <c r="BN151" i="32"/>
  <c r="BO75" i="32"/>
  <c r="BO151" i="32"/>
  <c r="BH78" i="32"/>
  <c r="BH135" i="32" s="1"/>
  <c r="BH154" i="32"/>
  <c r="BI76" i="32"/>
  <c r="BI133" i="32" s="1"/>
  <c r="BI152" i="32"/>
  <c r="BF76" i="32"/>
  <c r="BF133" i="32" s="1"/>
  <c r="BF152" i="32"/>
  <c r="BF78" i="32"/>
  <c r="BF154" i="32"/>
  <c r="BK75" i="32"/>
  <c r="BK132" i="32" s="1"/>
  <c r="BK151" i="32"/>
  <c r="BJ78" i="32"/>
  <c r="BJ124" i="32" s="1"/>
  <c r="BJ170" i="32" s="1"/>
  <c r="BJ154" i="32"/>
  <c r="BG78" i="32"/>
  <c r="BG135" i="32" s="1"/>
  <c r="BG154" i="32"/>
  <c r="BN78" i="32"/>
  <c r="BN154" i="32"/>
  <c r="BK78" i="32"/>
  <c r="BK154" i="32"/>
  <c r="BL78" i="32"/>
  <c r="BL135" i="32" s="1"/>
  <c r="BL154" i="32"/>
  <c r="BE75" i="32"/>
  <c r="BE121" i="32" s="1"/>
  <c r="BE167" i="32" s="1"/>
  <c r="BE151" i="32"/>
  <c r="BR78" i="32"/>
  <c r="BR124" i="32" s="1"/>
  <c r="BR170" i="32" s="1"/>
  <c r="BR154" i="32"/>
  <c r="BR160" i="32" s="1"/>
  <c r="BR161" i="32" s="1"/>
  <c r="BR162" i="32" s="1"/>
  <c r="BO78" i="32"/>
  <c r="BO135" i="32" s="1"/>
  <c r="BO154" i="32"/>
  <c r="BP78" i="32"/>
  <c r="BP135" i="32" s="1"/>
  <c r="BP154" i="32"/>
  <c r="BP160" i="32" s="1"/>
  <c r="BP161" i="32" s="1"/>
  <c r="BP162" i="32" s="1"/>
  <c r="BI75" i="32"/>
  <c r="BI121" i="32" s="1"/>
  <c r="BI167" i="32" s="1"/>
  <c r="BI151" i="32"/>
  <c r="BA78" i="32"/>
  <c r="BA124" i="32" s="1"/>
  <c r="BA170" i="32" s="1"/>
  <c r="BA154" i="32"/>
  <c r="BA160" i="32" s="1"/>
  <c r="BA161" i="32" s="1"/>
  <c r="BA162" i="32" s="1"/>
  <c r="BC76" i="32"/>
  <c r="BC122" i="32" s="1"/>
  <c r="BC168" i="32" s="1"/>
  <c r="BC152" i="32"/>
  <c r="BD76" i="32"/>
  <c r="BD133" i="32" s="1"/>
  <c r="BD152" i="32"/>
  <c r="BM75" i="32"/>
  <c r="BM121" i="32" s="1"/>
  <c r="BM167" i="32" s="1"/>
  <c r="BM151" i="32"/>
  <c r="BE78" i="32"/>
  <c r="BE135" i="32" s="1"/>
  <c r="BE154" i="32"/>
  <c r="AY76" i="32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21" i="32" s="1"/>
  <c r="BA167" i="32" s="1"/>
  <c r="BR77" i="32"/>
  <c r="BR123" i="32" s="1"/>
  <c r="BR169" i="32" s="1"/>
  <c r="BP75" i="32"/>
  <c r="BP132" i="32" s="1"/>
  <c r="BO77" i="32"/>
  <c r="BO123" i="32" s="1"/>
  <c r="BO169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S160" i="32"/>
  <c r="BS161" i="32" s="1"/>
  <c r="BS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22" i="32" s="1"/>
  <c r="AX168" i="32" s="1"/>
  <c r="AY160" i="32"/>
  <c r="AY161" i="32" s="1"/>
  <c r="AY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CN121" i="32"/>
  <c r="CN167" i="32" s="1"/>
  <c r="CN132" i="32"/>
  <c r="DN132" i="32"/>
  <c r="DN121" i="32"/>
  <c r="DN167" i="32" s="1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32" i="32"/>
  <c r="CQ132" i="32"/>
  <c r="CQ121" i="32"/>
  <c r="CQ167" i="32" s="1"/>
  <c r="DP121" i="32"/>
  <c r="DP167" i="32" s="1"/>
  <c r="DP132" i="32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CK132" i="32"/>
  <c r="CK121" i="32"/>
  <c r="CK167" i="32" s="1"/>
  <c r="DE132" i="32"/>
  <c r="DE121" i="32"/>
  <c r="DE167" i="32" s="1"/>
  <c r="DU132" i="32"/>
  <c r="DU121" i="32"/>
  <c r="DU167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CX136" i="32"/>
  <c r="CX125" i="32"/>
  <c r="CX171" i="32" s="1"/>
  <c r="DE126" i="32"/>
  <c r="DE172" i="32" s="1"/>
  <c r="DE137" i="32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CI132" i="32"/>
  <c r="CI121" i="32"/>
  <c r="CI167" i="32" s="1"/>
  <c r="DH121" i="32"/>
  <c r="DH167" i="32" s="1"/>
  <c r="DH132" i="32"/>
  <c r="AX133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CO132" i="32"/>
  <c r="CO121" i="32"/>
  <c r="CO167" i="32" s="1"/>
  <c r="DI132" i="32"/>
  <c r="DI121" i="32"/>
  <c r="DI167" i="32" s="1"/>
  <c r="DY132" i="32"/>
  <c r="DY121" i="32"/>
  <c r="DY167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F122" i="32" l="1"/>
  <c r="BF168" i="32" s="1"/>
  <c r="BM132" i="32"/>
  <c r="BM135" i="32"/>
  <c r="BO160" i="32"/>
  <c r="BO161" i="32" s="1"/>
  <c r="BO162" i="32" s="1"/>
  <c r="BN132" i="32"/>
  <c r="BC121" i="32"/>
  <c r="BC167" i="32" s="1"/>
  <c r="BE132" i="32"/>
  <c r="BE143" i="32" s="1"/>
  <c r="BJ122" i="32"/>
  <c r="BJ168" i="32" s="1"/>
  <c r="BG121" i="32"/>
  <c r="BG167" i="32" s="1"/>
  <c r="BB121" i="32"/>
  <c r="BB167" i="32" s="1"/>
  <c r="BG124" i="32"/>
  <c r="BG170" i="32" s="1"/>
  <c r="BE124" i="32"/>
  <c r="BE170" i="32" s="1"/>
  <c r="BA132" i="32"/>
  <c r="AZ123" i="32"/>
  <c r="AZ169" i="32" s="1"/>
  <c r="AZ178" i="32" s="1"/>
  <c r="BP124" i="32"/>
  <c r="BP170" i="32" s="1"/>
  <c r="AZ133" i="32"/>
  <c r="BF121" i="32"/>
  <c r="BF167" i="32" s="1"/>
  <c r="BJ135" i="32"/>
  <c r="BJ143" i="32" s="1"/>
  <c r="BC160" i="32"/>
  <c r="BC161" i="32" s="1"/>
  <c r="BC162" i="32" s="1"/>
  <c r="BJ160" i="32"/>
  <c r="BJ161" i="32" s="1"/>
  <c r="BJ162" i="32" s="1"/>
  <c r="BD160" i="32"/>
  <c r="BD161" i="32" s="1"/>
  <c r="BD162" i="32" s="1"/>
  <c r="BL124" i="32"/>
  <c r="BL170" i="32" s="1"/>
  <c r="BH160" i="32"/>
  <c r="BH161" i="32" s="1"/>
  <c r="BH162" i="32" s="1"/>
  <c r="BM160" i="32"/>
  <c r="BM161" i="32" s="1"/>
  <c r="BM162" i="32" s="1"/>
  <c r="BI160" i="32"/>
  <c r="BI161" i="32" s="1"/>
  <c r="BI162" i="32" s="1"/>
  <c r="BE160" i="32"/>
  <c r="BE161" i="32" s="1"/>
  <c r="BE162" i="32" s="1"/>
  <c r="BL160" i="32"/>
  <c r="BL161" i="32" s="1"/>
  <c r="BL162" i="32" s="1"/>
  <c r="BK160" i="32"/>
  <c r="BK161" i="32" s="1"/>
  <c r="BK162" i="32" s="1"/>
  <c r="BE122" i="32"/>
  <c r="BE168" i="32" s="1"/>
  <c r="BA135" i="32"/>
  <c r="BG160" i="32"/>
  <c r="BG161" i="32" s="1"/>
  <c r="BG162" i="32" s="1"/>
  <c r="BI122" i="32"/>
  <c r="BI168" i="32" s="1"/>
  <c r="BQ135" i="32"/>
  <c r="BC133" i="32"/>
  <c r="BC144" i="32" s="1"/>
  <c r="BH124" i="32"/>
  <c r="BH170" i="32" s="1"/>
  <c r="BN160" i="32"/>
  <c r="BN161" i="32" s="1"/>
  <c r="BN162" i="32" s="1"/>
  <c r="BR135" i="32"/>
  <c r="BB160" i="32"/>
  <c r="BB161" i="32" s="1"/>
  <c r="BB162" i="32" s="1"/>
  <c r="BO124" i="32"/>
  <c r="BO170" i="32" s="1"/>
  <c r="BB124" i="32"/>
  <c r="BB170" i="32" s="1"/>
  <c r="BD122" i="32"/>
  <c r="BD168" i="32" s="1"/>
  <c r="BJ123" i="32"/>
  <c r="BJ169" i="32" s="1"/>
  <c r="BR121" i="32"/>
  <c r="BR167" i="32" s="1"/>
  <c r="BG123" i="32"/>
  <c r="BG169" i="32" s="1"/>
  <c r="BG178" i="32" s="1"/>
  <c r="BI123" i="32"/>
  <c r="BI169" i="32" s="1"/>
  <c r="AY133" i="32"/>
  <c r="AY145" i="32" s="1"/>
  <c r="BB122" i="32"/>
  <c r="BB16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AX123" i="32"/>
  <c r="AX169" i="32" s="1"/>
  <c r="AV132" i="32"/>
  <c r="BR134" i="32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Q132" i="32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J178" i="32" l="1"/>
  <c r="BE145" i="32"/>
  <c r="BE142" i="32"/>
  <c r="BE144" i="32"/>
  <c r="AZ143" i="32"/>
  <c r="BJ142" i="32"/>
  <c r="BF178" i="32"/>
  <c r="BJ144" i="32"/>
  <c r="BJ146" i="32" s="1"/>
  <c r="BR142" i="32"/>
  <c r="BA145" i="32"/>
  <c r="BC145" i="32"/>
  <c r="BL178" i="32"/>
  <c r="BB178" i="32"/>
  <c r="BC142" i="32"/>
  <c r="BH178" i="32"/>
  <c r="BQ143" i="32"/>
  <c r="BC143" i="32"/>
  <c r="BI178" i="32"/>
  <c r="BR178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DG146" i="32"/>
  <c r="EA146" i="32"/>
  <c r="DK146" i="32"/>
  <c r="DS146" i="32"/>
  <c r="DN146" i="32"/>
  <c r="BF146" i="32"/>
  <c r="CS146" i="32"/>
  <c r="DO146" i="32"/>
  <c r="CC146" i="32"/>
  <c r="DW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BE146" i="32" l="1"/>
  <c r="BC146" i="32"/>
  <c r="BC148" i="32" s="1"/>
  <c r="AY146" i="32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147" i="32" l="1"/>
  <c r="BC163" i="32" s="1"/>
  <c r="AY147" i="32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AC8" i="31"/>
  <c r="E13" i="23"/>
  <c r="F50" i="23" s="1"/>
  <c r="A82" i="31"/>
  <c r="AC9" i="31"/>
  <c r="A125" i="3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B73" i="15"/>
  <c r="AI19" i="18" s="1"/>
  <c r="AP19" i="18" s="1"/>
  <c r="AL19" i="18" l="1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P176" i="18"/>
  <c r="N176" i="18"/>
  <c r="L176" i="18"/>
  <c r="J176" i="18"/>
  <c r="H176" i="18"/>
  <c r="G176" i="18"/>
  <c r="F176" i="18"/>
  <c r="E176" i="18"/>
  <c r="D176" i="18"/>
  <c r="C176" i="18"/>
  <c r="B176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M54" i="18" l="1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C91" i="31" l="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AF138" i="31"/>
  <c r="AF140" i="31" s="1"/>
  <c r="F39" i="30"/>
  <c r="C260" i="32"/>
  <c r="B99" i="30"/>
  <c r="G148" i="32"/>
  <c r="AF129" i="31"/>
  <c r="AF131" i="31" s="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AC89" i="31" s="1"/>
  <c r="AC94" i="31" s="1"/>
  <c r="BY90" i="31" s="1"/>
  <c r="D83" i="31" s="1"/>
  <c r="K83" i="31" s="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V24" i="7"/>
  <c r="M35" i="7"/>
  <c r="M30" i="7"/>
  <c r="M29" i="7"/>
  <c r="M31" i="7"/>
  <c r="M32" i="7"/>
  <c r="M25" i="7"/>
  <c r="V3" i="7"/>
  <c r="M27" i="7"/>
  <c r="M34" i="7"/>
  <c r="V22" i="7"/>
  <c r="M26" i="7"/>
  <c r="M37" i="7"/>
  <c r="V16" i="7" l="1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V28" i="7" l="1"/>
  <c r="T28" i="7"/>
  <c r="BG31" i="29"/>
  <c r="S64" i="7"/>
  <c r="AA18" i="7" s="1"/>
  <c r="R64" i="7"/>
  <c r="S28" i="7"/>
  <c r="R28" i="7"/>
  <c r="AP3" i="29" l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H185" i="18" s="1"/>
  <c r="H216" i="18" s="1"/>
  <c r="M6" i="22" s="1"/>
  <c r="AY16" i="23" s="1"/>
  <c r="AY27" i="23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F185" i="18" s="1"/>
  <c r="F216" i="18" s="1"/>
  <c r="K6" i="22" s="1"/>
  <c r="AW16" i="23" s="1"/>
  <c r="AW29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AX29" i="23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58" i="32" l="1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5" i="18" s="1"/>
  <c r="T216" i="18" s="1"/>
  <c r="Y6" i="22" s="1"/>
  <c r="BK16" i="23" s="1"/>
  <c r="BK29" i="23" s="1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R172" i="18" s="1"/>
  <c r="R215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O201" i="18" l="1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L9" i="31"/>
  <c r="AG126" i="31"/>
  <c r="AG128" i="31" s="1"/>
  <c r="J9" i="31"/>
  <c r="AG129" i="31"/>
  <c r="AG131" i="31" s="1"/>
  <c r="L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BR29" i="23"/>
  <c r="F83" i="23" s="1"/>
  <c r="F85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L64" i="7" l="1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AK26" i="29" s="1"/>
  <c r="C184" i="32" s="1"/>
  <c r="U64" i="7"/>
  <c r="BC3" i="29"/>
  <c r="D184" i="32" l="1"/>
  <c r="D183" i="32" s="1"/>
  <c r="D192" i="32" s="1"/>
  <c r="AK225" i="32" l="1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D221" i="32" s="1"/>
  <c r="D235" i="32"/>
  <c r="D236" i="32" s="1"/>
  <c r="D276" i="32"/>
  <c r="D290" i="32" s="1"/>
  <c r="D292" i="32" s="1"/>
  <c r="D294" i="32" s="1"/>
  <c r="F13" i="31" l="1"/>
  <c r="F10" i="31"/>
  <c r="K13" i="31" l="1"/>
  <c r="J13" i="31"/>
  <c r="K10" i="31"/>
  <c r="C199" i="32" s="1"/>
  <c r="J10" i="31"/>
  <c r="C194" i="32" l="1"/>
  <c r="J48" i="31"/>
  <c r="B174" i="31" s="1"/>
  <c r="D199" i="32"/>
  <c r="B175" i="31" l="1"/>
  <c r="B180" i="31"/>
  <c r="B181" i="31" s="1"/>
  <c r="C237" i="32"/>
  <c r="D194" i="32"/>
  <c r="D237" i="32" s="1"/>
  <c r="D238" i="32" l="1"/>
  <c r="D241" i="32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<sst xmlns="http://schemas.openxmlformats.org/spreadsheetml/2006/main" count="2940" uniqueCount="1449">
  <si>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</si>
  <si>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</si>
  <si>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</si>
  <si>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</si>
  <si>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</si>
  <si>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</si>
  <si>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</si>
  <si>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</si>
  <si>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</si>
  <si>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</si>
  <si>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</si>
  <si>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</si>
  <si>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</si>
  <si>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</si>
  <si>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</si>
  <si>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</si>
  <si>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</si>
  <si>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</si>
  <si>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</si>
  <si>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</si>
  <si>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</si>
  <si>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</si>
  <si>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</si>
  <si>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</si>
  <si>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</si>
  <si>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</si>
  <si>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</si>
  <si>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</si>
  <si>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</si>
  <si>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</si>
  <si>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</si>
  <si>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</si>
  <si>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</si>
  <si>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</si>
  <si>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</si>
  <si>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</si>
  <si>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</si>
  <si>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</si>
  <si>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</si>
  <si>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</si>
  <si>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</si>
  <si>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</si>
  <si>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</si>
  <si>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</si>
  <si>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</si>
  <si>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</si>
  <si>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</si>
  <si>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</si>
  <si>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</si>
  <si>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</si>
  <si>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</si>
  <si>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</si>
  <si>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</si>
  <si>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</si>
  <si>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</si>
  <si>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</si>
  <si>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</si>
  <si>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</si>
  <si>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</si>
  <si>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</si>
  <si>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</si>
  <si>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</si>
  <si>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</si>
  <si>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</si>
  <si>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</si>
  <si>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</si>
  <si>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</si>
  <si>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</si>
  <si>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</si>
  <si>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</si>
  <si>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</si>
  <si>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</si>
  <si>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</si>
  <si>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</si>
  <si>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</si>
  <si>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</si>
  <si>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</si>
  <si>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</si>
  <si>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</si>
  <si>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</si>
  <si>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</si>
  <si>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</si>
  <si>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</si>
  <si>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</si>
  <si>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</si>
  <si>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</si>
  <si>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</si>
  <si>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</si>
  <si>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</si>
  <si>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</si>
  <si>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</si>
  <si>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</si>
  <si>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</si>
  <si>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</si>
  <si>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</si>
  <si>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</si>
  <si>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</si>
  <si>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</si>
  <si>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</si>
  <si>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</si>
  <si>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</si>
  <si>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</si>
  <si>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</si>
  <si>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</si>
  <si>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</si>
  <si>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</si>
  <si>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</si>
  <si>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</si>
  <si>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</si>
  <si>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</si>
  <si>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</si>
  <si>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</si>
  <si>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</si>
  <si>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</si>
  <si>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</si>
  <si>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</si>
  <si>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</si>
  <si>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</si>
  <si>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</si>
  <si>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</si>
  <si>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</si>
  <si>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</si>
  <si>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</si>
  <si>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</si>
  <si>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</si>
  <si>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</si>
  <si>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</si>
  <si>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</si>
  <si>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</si>
  <si>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</si>
  <si>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</si>
  <si>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</si>
  <si>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</si>
  <si>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</si>
  <si>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</si>
  <si>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</si>
  <si>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</si>
  <si>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</si>
  <si>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</si>
  <si>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</si>
  <si>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</si>
  <si>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</si>
  <si>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</si>
  <si>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</si>
  <si>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</si>
  <si>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</si>
  <si>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</si>
  <si>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</si>
  <si>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</si>
  <si>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</si>
  <si>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</si>
  <si>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</si>
  <si>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</si>
  <si>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</si>
  <si>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</si>
  <si>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</si>
  <si>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</si>
  <si>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</si>
  <si>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</si>
  <si>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</si>
  <si>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</si>
  <si>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</si>
  <si>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</si>
  <si>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</si>
  <si>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</si>
  <si>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</si>
  <si>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</si>
  <si>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</si>
  <si>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</si>
  <si>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</si>
  <si>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</si>
  <si>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</si>
  <si>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</si>
  <si>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</si>
  <si>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</si>
  <si>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</si>
  <si>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</si>
  <si>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</si>
  <si>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</si>
  <si>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</si>
  <si>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</si>
  <si>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</si>
  <si>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</si>
  <si>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</si>
  <si>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</si>
  <si>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</si>
  <si>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</si>
  <si>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</si>
  <si>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</si>
  <si>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</si>
  <si>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</si>
  <si>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</si>
  <si>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</si>
  <si>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</si>
  <si>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</si>
  <si>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</si>
  <si>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</si>
  <si>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</si>
  <si>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</si>
  <si>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</si>
  <si>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</si>
  <si>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</si>
  <si>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</si>
  <si>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</si>
  <si>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</si>
  <si>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</si>
  <si>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</si>
  <si>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</si>
  <si>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</si>
  <si>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</si>
  <si>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</si>
  <si>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</si>
  <si>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</si>
  <si>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</si>
  <si>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</si>
  <si>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</si>
  <si>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</si>
  <si>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</si>
  <si>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</si>
  <si>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</si>
  <si>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</si>
  <si>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</si>
  <si>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</si>
  <si>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</si>
  <si>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</si>
  <si>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</si>
  <si>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</si>
  <si>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</si>
  <si>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</si>
  <si>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</si>
  <si>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</si>
  <si>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</si>
  <si>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</si>
  <si>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</si>
  <si>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</si>
  <si>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</si>
  <si>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</si>
  <si>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</si>
  <si>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</si>
  <si>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</si>
  <si>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</si>
  <si>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</si>
  <si>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</si>
  <si>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</si>
  <si>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</si>
  <si>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</si>
  <si>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</si>
  <si>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</si>
  <si>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</si>
  <si>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</si>
  <si>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</si>
  <si>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</si>
  <si>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</si>
  <si>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</si>
  <si>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</si>
  <si>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</si>
  <si>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</si>
  <si>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</si>
  <si>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</si>
  <si>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</si>
  <si>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</si>
  <si>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</si>
  <si>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</si>
  <si>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</si>
  <si>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</si>
  <si>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</si>
  <si>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</si>
  <si>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</si>
  <si>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</si>
  <si>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</si>
  <si>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</si>
  <si>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</si>
  <si>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</si>
  <si>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</si>
  <si>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</si>
  <si>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</si>
  <si>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</si>
  <si>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</si>
  <si>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</si>
  <si>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</si>
  <si>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</si>
  <si>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</si>
  <si>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</si>
  <si>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</si>
  <si>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</si>
  <si>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</si>
  <si>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</si>
  <si>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</si>
  <si>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</si>
  <si>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</si>
  <si>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</si>
  <si>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</si>
  <si>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</si>
  <si>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</si>
  <si>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</si>
  <si>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</si>
  <si>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</si>
  <si>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</si>
  <si>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</si>
  <si>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</si>
  <si>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</si>
  <si>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</si>
  <si>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</si>
  <si>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</si>
  <si>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</si>
  <si>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</si>
  <si>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</si>
  <si>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</si>
  <si>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</si>
  <si>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</si>
  <si>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</si>
  <si>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</si>
  <si>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</si>
  <si>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</si>
  <si>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</si>
  <si>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</si>
  <si>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</si>
  <si>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</si>
  <si>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</si>
  <si>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</si>
  <si>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</si>
  <si>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</si>
  <si>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</si>
  <si>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</si>
  <si>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</si>
  <si>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</si>
  <si>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</si>
  <si>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</si>
  <si>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</si>
  <si>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</si>
  <si>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</si>
  <si>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</si>
  <si>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</si>
  <si>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</si>
  <si>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</si>
  <si>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</si>
  <si>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</si>
  <si>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</si>
  <si>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</si>
  <si>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</si>
  <si>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</si>
  <si>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</si>
  <si>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</si>
  <si>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</si>
  <si>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</si>
  <si>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</si>
  <si>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</si>
  <si>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</si>
  <si>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</si>
  <si>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</si>
  <si>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</si>
  <si>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</si>
  <si>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</si>
  <si>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</si>
  <si>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</si>
  <si>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</si>
  <si>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</si>
  <si>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</si>
  <si>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</si>
  <si>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</si>
  <si>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</si>
  <si>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</si>
  <si>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</si>
  <si>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</si>
  <si>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</si>
  <si>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</si>
  <si>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</si>
  <si>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</si>
  <si>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</si>
  <si>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</si>
  <si>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</si>
  <si>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</si>
  <si>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</si>
  <si>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</si>
  <si>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</si>
  <si>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</si>
  <si>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</si>
  <si>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</si>
  <si>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</si>
  <si>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</si>
  <si>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</si>
  <si>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</si>
  <si>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</si>
  <si>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</si>
  <si>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</si>
  <si>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</si>
  <si>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</si>
  <si>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</si>
  <si>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</si>
  <si>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</si>
  <si>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</si>
  <si>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</si>
  <si>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</si>
  <si>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</si>
  <si>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</si>
  <si>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</si>
  <si>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</si>
  <si>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</si>
  <si>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</si>
  <si>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</si>
  <si>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</si>
  <si>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</si>
  <si>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</si>
  <si>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</si>
  <si>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</si>
  <si>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</si>
  <si>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</si>
  <si>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</si>
  <si>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</si>
  <si>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</si>
  <si>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</si>
  <si>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</si>
  <si>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</si>
  <si>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</si>
  <si>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</si>
  <si>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</si>
  <si>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</si>
  <si>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</si>
  <si>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</si>
  <si>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</si>
  <si>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</si>
  <si>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</si>
  <si>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</si>
  <si>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</si>
  <si>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</si>
  <si>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</si>
  <si>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</si>
  <si>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</si>
  <si>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</si>
  <si>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</si>
  <si>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</si>
  <si>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</si>
  <si>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</si>
  <si>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</si>
  <si>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</si>
  <si>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</si>
  <si>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</si>
  <si>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</si>
  <si>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</si>
  <si>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</si>
  <si>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</si>
  <si>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</si>
  <si>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</si>
  <si>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</si>
  <si>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</si>
  <si>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</si>
  <si>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</si>
  <si>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</si>
  <si>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</si>
  <si>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</si>
  <si>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</si>
  <si>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</si>
  <si>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</si>
  <si>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</si>
  <si>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</si>
  <si>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</si>
  <si>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</si>
  <si>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</si>
  <si>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</si>
  <si>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</si>
  <si>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</si>
  <si>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</si>
  <si>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</si>
  <si>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</si>
  <si>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</si>
  <si>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</si>
  <si>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</si>
  <si>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</si>
  <si>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</si>
  <si>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</si>
  <si>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</si>
  <si>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</si>
  <si>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</si>
  <si>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</si>
  <si>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</si>
  <si>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</si>
  <si>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</si>
  <si>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</si>
  <si>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</si>
  <si>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</si>
  <si>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</si>
  <si>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</si>
  <si>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</si>
  <si>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</si>
  <si>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</si>
  <si>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</si>
  <si>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</si>
  <si>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</si>
  <si>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</si>
  <si>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</si>
  <si>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</si>
  <si>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</si>
  <si>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</si>
  <si>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</si>
  <si>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</si>
  <si>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</si>
  <si>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</si>
  <si>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</si>
  <si>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</si>
  <si>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</si>
  <si>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</si>
  <si>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</si>
  <si>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</si>
  <si>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</si>
  <si>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</si>
  <si>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</si>
  <si>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</si>
  <si>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</si>
  <si>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</si>
  <si>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</si>
  <si>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</si>
  <si>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</si>
  <si>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</si>
  <si>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</si>
  <si>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</si>
  <si>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</si>
  <si>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</si>
  <si>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</si>
  <si>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</si>
  <si>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</si>
  <si>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</si>
  <si>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</si>
  <si>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</si>
  <si>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</si>
  <si>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</si>
  <si>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</si>
  <si>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</si>
  <si>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</si>
  <si>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</si>
  <si>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</si>
  <si>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</si>
  <si>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</si>
  <si>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</si>
  <si>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</si>
  <si>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</si>
  <si>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</si>
  <si>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</si>
  <si>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</si>
  <si>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</si>
  <si>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</si>
  <si>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</si>
  <si>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</si>
  <si>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</si>
  <si>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</si>
  <si>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</si>
  <si>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</si>
  <si>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</si>
  <si>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</si>
  <si>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</si>
  <si>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</si>
  <si>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</si>
  <si>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</si>
  <si>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</si>
  <si>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</si>
  <si>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</si>
  <si>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</si>
  <si>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</si>
  <si>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</si>
  <si>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</si>
  <si>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</si>
  <si>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</si>
  <si>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</si>
  <si>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</si>
  <si>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</si>
  <si>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</si>
  <si>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</si>
  <si>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</si>
  <si>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</si>
  <si>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</si>
  <si>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</si>
  <si>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</si>
  <si>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</si>
  <si>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</si>
  <si>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</si>
  <si>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</si>
  <si>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</si>
  <si>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</si>
  <si>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</si>
  <si>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</si>
  <si>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</si>
  <si>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</si>
  <si>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</si>
  <si>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</si>
  <si>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</si>
  <si>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</si>
  <si>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</si>
  <si>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</si>
  <si>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</si>
  <si>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</si>
  <si>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</si>
  <si>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</si>
  <si>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</si>
  <si>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</si>
  <si>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</si>
  <si>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</si>
  <si>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</si>
  <si>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</si>
  <si>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</si>
  <si>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</si>
  <si>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</si>
  <si>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</si>
  <si>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</si>
  <si>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</si>
  <si>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</si>
  <si>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</si>
  <si>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</si>
  <si>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</si>
  <si>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</si>
  <si>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</si>
  <si>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</si>
  <si>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</si>
  <si>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</si>
  <si>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</si>
  <si>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</si>
  <si>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</si>
  <si>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</si>
  <si>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</si>
  <si>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</si>
  <si>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</si>
  <si>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</si>
  <si>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</si>
  <si>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</si>
  <si>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</si>
  <si>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</si>
  <si>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</si>
  <si>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</si>
  <si>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</si>
  <si>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</si>
  <si>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</si>
  <si>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</si>
  <si>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</si>
  <si>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</si>
  <si>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</si>
  <si>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</si>
  <si>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</si>
  <si>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</si>
  <si>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</si>
  <si>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</si>
  <si>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</si>
  <si>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</si>
  <si>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</si>
  <si>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</si>
  <si>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</si>
  <si>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</si>
  <si>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</si>
  <si>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</si>
  <si>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</si>
  <si>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</si>
  <si>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</si>
  <si>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</si>
  <si>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</si>
  <si>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</si>
  <si>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</si>
  <si>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</si>
  <si>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</si>
  <si>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</si>
  <si>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</si>
  <si>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</si>
  <si>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</si>
  <si>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</si>
  <si>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</si>
  <si>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</si>
  <si>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</si>
  <si>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</si>
  <si>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</si>
  <si>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</si>
  <si>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</si>
  <si>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</si>
  <si>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</si>
  <si>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</si>
  <si>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</si>
  <si>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</si>
  <si>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</si>
  <si>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</si>
  <si>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</si>
  <si>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</si>
  <si>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</si>
  <si>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</si>
  <si>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</si>
  <si>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</si>
  <si>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</si>
  <si>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</si>
  <si>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</si>
  <si>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</si>
  <si>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</si>
  <si>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</si>
  <si>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</si>
  <si>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</si>
  <si>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</si>
  <si>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</si>
  <si>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</si>
  <si>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</si>
  <si>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</si>
  <si>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</si>
  <si>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</si>
  <si>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</si>
  <si>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</si>
  <si>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</si>
  <si>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</si>
  <si>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</si>
  <si>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</si>
  <si>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</si>
  <si>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</si>
  <si>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</si>
  <si>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</si>
  <si>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</si>
  <si>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</si>
  <si>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</si>
  <si>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</si>
  <si>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</si>
  <si>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</si>
  <si>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</si>
  <si>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</si>
  <si>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</si>
  <si>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</si>
  <si>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</si>
  <si>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</si>
  <si>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</si>
  <si>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</si>
  <si>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</si>
  <si>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</si>
  <si>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</si>
  <si>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</si>
  <si>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</si>
  <si>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</si>
  <si>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</si>
  <si>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</si>
  <si>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</si>
  <si>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</si>
  <si>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</si>
  <si>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</si>
  <si>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</si>
  <si>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</si>
  <si>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</si>
  <si>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</si>
  <si>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</si>
  <si>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</si>
  <si>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</si>
  <si>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</si>
  <si>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</si>
  <si>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</si>
  <si>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</si>
  <si>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</si>
  <si>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</si>
  <si>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</si>
  <si>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</si>
  <si>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</si>
  <si>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</si>
  <si>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</si>
  <si>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</si>
  <si>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</si>
  <si>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</si>
  <si>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</si>
  <si>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</si>
  <si>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</si>
  <si>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</si>
  <si>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</si>
  <si>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</si>
  <si>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</si>
  <si>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</si>
  <si>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</si>
  <si>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</si>
  <si>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</si>
  <si>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</si>
  <si>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</si>
  <si>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</si>
  <si>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</si>
  <si>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</si>
  <si>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</si>
  <si>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</si>
  <si>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</si>
  <si>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</si>
  <si>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</si>
  <si>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</si>
  <si>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</si>
  <si>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</si>
  <si>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</si>
  <si>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</si>
  <si>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</si>
  <si>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</si>
  <si>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</si>
  <si>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</si>
  <si>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</si>
  <si>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</si>
  <si>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</si>
  <si>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</si>
  <si>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</si>
  <si>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</si>
  <si>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</si>
  <si>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</si>
  <si>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</si>
  <si>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</si>
  <si>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</si>
  <si>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</si>
  <si>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</si>
  <si>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</si>
  <si>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</si>
  <si>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</si>
  <si>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</si>
  <si>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</si>
  <si>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</si>
  <si>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</si>
  <si>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</si>
  <si>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</si>
  <si>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</si>
  <si>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</si>
  <si>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</si>
  <si>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</si>
  <si>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</si>
  <si>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</si>
  <si>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</si>
  <si>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</si>
  <si>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</si>
  <si>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</si>
  <si>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</si>
  <si>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</si>
  <si>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</si>
  <si>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</si>
  <si>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</si>
  <si>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</si>
  <si>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</si>
  <si>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</si>
  <si>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</si>
  <si>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</si>
  <si>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</si>
  <si>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</si>
  <si>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</si>
  <si>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</si>
  <si>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</si>
  <si>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</si>
  <si>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</si>
  <si>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</si>
  <si>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</si>
  <si>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</si>
  <si>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</si>
  <si>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</si>
  <si>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</si>
  <si>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</si>
  <si>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</si>
  <si>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</si>
  <si>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</si>
  <si>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</si>
  <si>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</si>
  <si>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</si>
  <si>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</si>
  <si>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</si>
  <si>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</si>
  <si>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</si>
  <si>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</si>
  <si>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</si>
  <si>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</si>
  <si>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</si>
  <si>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</si>
  <si>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</si>
  <si>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</si>
  <si>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</si>
  <si>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</si>
  <si>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</si>
  <si>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</si>
  <si>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</si>
  <si>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</si>
  <si>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</si>
  <si>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</si>
  <si>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</si>
  <si>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</si>
  <si>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</si>
  <si>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</si>
  <si>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</si>
  <si>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</si>
  <si>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</si>
  <si>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</si>
  <si>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</si>
  <si>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</si>
  <si>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</si>
  <si>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</si>
  <si>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</si>
  <si>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</si>
  <si>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</si>
  <si>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</si>
  <si>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</si>
  <si>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</si>
  <si>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</si>
  <si>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</si>
  <si>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</si>
  <si>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</si>
  <si>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</si>
  <si>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</si>
  <si>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</si>
  <si>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</si>
  <si>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</si>
  <si>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</si>
  <si>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</si>
  <si>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</si>
  <si>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</si>
  <si>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</si>
  <si>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</si>
  <si>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</si>
  <si>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</si>
  <si>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</si>
  <si>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</si>
  <si>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</si>
  <si>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</si>
  <si>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</si>
  <si>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</si>
  <si>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</si>
  <si>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</si>
  <si>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</si>
  <si>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</si>
  <si>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</si>
  <si>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</si>
  <si>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</si>
  <si>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</si>
  <si>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</si>
  <si>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</si>
  <si>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</si>
  <si>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</si>
  <si>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</si>
  <si>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</si>
  <si>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</si>
  <si>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</si>
  <si>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</si>
  <si>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</si>
  <si>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</si>
  <si>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</si>
  <si>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</si>
  <si>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</si>
  <si>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</si>
  <si>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</si>
  <si>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</si>
  <si>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</si>
  <si>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</si>
  <si>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</si>
  <si>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</si>
  <si>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</si>
  <si>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</si>
  <si>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</si>
  <si>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</si>
  <si>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</si>
  <si>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</si>
  <si>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</si>
  <si>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</si>
  <si>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</si>
  <si>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</si>
  <si>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</si>
  <si>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</si>
  <si>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</si>
  <si>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</si>
  <si>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</si>
  <si>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</si>
  <si>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</si>
  <si>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</si>
  <si>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</si>
  <si>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</si>
  <si>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</si>
  <si>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</si>
  <si>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</si>
  <si>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</si>
  <si>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</si>
  <si>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</si>
  <si>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</si>
  <si>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</si>
  <si>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</si>
  <si>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</si>
  <si>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</si>
  <si>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</si>
  <si>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</si>
  <si>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</si>
  <si>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</si>
  <si>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</si>
  <si>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</si>
  <si>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</si>
  <si>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</si>
  <si>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</si>
  <si>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</si>
  <si>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</si>
  <si>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</si>
  <si>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</si>
  <si>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</si>
  <si>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</si>
  <si>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</si>
  <si>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</si>
  <si>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</si>
  <si>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</si>
  <si>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</si>
  <si>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</si>
  <si>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</si>
  <si>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</si>
  <si>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</si>
  <si>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</si>
  <si>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</si>
  <si>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</si>
  <si>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</si>
  <si>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</si>
  <si>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</si>
  <si>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</si>
  <si>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</si>
  <si>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</si>
  <si>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</si>
  <si>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</si>
  <si>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</si>
  <si>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</si>
  <si>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</si>
  <si>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</si>
  <si>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</si>
  <si>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</si>
  <si>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</si>
  <si>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</si>
  <si>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</si>
  <si>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</si>
  <si>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</si>
  <si>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</si>
  <si>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</si>
  <si>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</si>
  <si>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</si>
  <si>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</si>
  <si>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</si>
  <si>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</si>
  <si>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</si>
  <si>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</si>
  <si>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</si>
  <si>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</si>
  <si>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</si>
  <si>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</si>
  <si>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</si>
  <si>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</si>
  <si>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</si>
  <si>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</si>
  <si>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</si>
  <si>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</si>
  <si>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</si>
  <si>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</si>
  <si>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</si>
  <si>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</si>
  <si>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</si>
  <si>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</si>
  <si>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</si>
  <si>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</si>
  <si>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</si>
  <si>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</si>
  <si>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</si>
  <si>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</si>
  <si>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</si>
  <si>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</si>
  <si>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</si>
  <si>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</si>
  <si>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</si>
  <si>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</si>
  <si>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</si>
  <si>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</si>
  <si>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</si>
  <si>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</si>
  <si>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</si>
  <si>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</si>
  <si>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</si>
  <si>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</si>
  <si>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</si>
  <si>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</si>
  <si>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</si>
  <si>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</si>
  <si>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</si>
  <si>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</si>
  <si>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</si>
  <si>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</si>
  <si>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</si>
  <si>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</si>
  <si>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</si>
  <si>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</si>
  <si>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</si>
  <si>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</si>
  <si>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</si>
  <si>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</si>
  <si>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</si>
  <si>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</si>
  <si>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</si>
  <si>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</si>
  <si>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</si>
  <si>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</si>
  <si>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</si>
  <si>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</si>
  <si>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</si>
  <si>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</si>
  <si>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</si>
  <si>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</si>
  <si>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</si>
  <si>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</si>
  <si>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</si>
  <si>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</si>
  <si>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</si>
  <si>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</si>
  <si>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</si>
  <si>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</si>
  <si>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</si>
  <si>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</si>
  <si>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</si>
  <si>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</si>
  <si>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</si>
  <si>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</si>
  <si>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</si>
  <si>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</si>
  <si>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</si>
  <si>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</si>
  <si>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</si>
  <si>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</si>
  <si>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</si>
  <si>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</si>
  <si>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</si>
  <si>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</si>
  <si>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</si>
  <si>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</si>
  <si>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</si>
  <si>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</si>
  <si>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</si>
  <si>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</si>
  <si>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</si>
  <si>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</si>
  <si>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</si>
  <si>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</si>
  <si>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</si>
  <si>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</si>
  <si>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</si>
  <si>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</si>
  <si>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</si>
  <si>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</si>
  <si>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</si>
  <si>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</si>
  <si>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</si>
  <si>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</si>
  <si>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</si>
  <si>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</si>
  <si>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</si>
  <si>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</si>
  <si>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</si>
  <si>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</si>
  <si>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</si>
  <si>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</si>
  <si>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</si>
  <si>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</si>
  <si>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</si>
  <si>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</si>
  <si>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</si>
  <si>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</si>
  <si>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</si>
  <si>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</si>
  <si>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</si>
  <si>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</si>
  <si>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</si>
  <si>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</si>
  <si>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</si>
  <si>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</si>
  <si>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</si>
  <si>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</si>
  <si>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</si>
  <si>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</si>
  <si>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</si>
  <si>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</si>
  <si>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</si>
  <si>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</si>
  <si>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</si>
  <si>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</si>
  <si>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</si>
  <si>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</si>
  <si>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</si>
  <si>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</si>
  <si>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</si>
  <si>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</si>
  <si>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</si>
  <si>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</si>
  <si>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</si>
  <si>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</si>
  <si>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</si>
  <si>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</si>
  <si>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</si>
  <si>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</si>
  <si>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</si>
  <si>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</si>
  <si>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</si>
  <si>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</si>
  <si>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</si>
  <si>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</si>
  <si>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</si>
  <si>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</si>
  <si>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</si>
  <si>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</si>
  <si>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</si>
  <si>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</si>
  <si>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</si>
  <si>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</si>
  <si>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</si>
  <si>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</si>
  <si>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</si>
  <si>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</si>
  <si>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</si>
  <si>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</si>
  <si>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</si>
  <si>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</si>
  <si>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</si>
  <si>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</si>
  <si>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</si>
  <si>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</si>
  <si>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</si>
  <si>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</si>
  <si>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</si>
  <si>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</si>
  <si>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</si>
  <si>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</si>
  <si>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</si>
  <si>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</si>
  <si>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</si>
  <si>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</si>
  <si>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</si>
  <si>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</si>
  <si>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</si>
  <si>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</si>
  <si>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</si>
  <si>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</si>
  <si>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</si>
  <si>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</si>
  <si>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</si>
  <si>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</si>
  <si>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</si>
  <si>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</si>
  <si>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</si>
  <si>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</si>
  <si>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</si>
  <si>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</si>
  <si>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</si>
  <si>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</si>
  <si>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</si>
  <si>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</si>
  <si>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</si>
  <si>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</si>
  <si>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</si>
  <si>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</si>
  <si>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</si>
  <si>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</si>
  <si>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</si>
  <si>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</si>
  <si>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</si>
  <si>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</si>
  <si>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</si>
  <si>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</si>
  <si>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</si>
  <si>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</si>
  <si>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</si>
  <si>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</si>
  <si>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</si>
  <si>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</si>
  <si>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</si>
  <si>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</si>
  <si>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</si>
  <si>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</si>
  <si>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</si>
  <si>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</si>
  <si>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</si>
  <si>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</si>
  <si>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</si>
  <si>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</si>
  <si>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</si>
  <si>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</si>
  <si>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</si>
  <si>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</si>
  <si>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</si>
  <si>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</si>
  <si>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</si>
  <si>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</si>
  <si>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</si>
  <si>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</si>
  <si>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</si>
  <si>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</si>
  <si>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</si>
  <si>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</si>
  <si>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</si>
  <si>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</si>
  <si>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</si>
  <si>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</si>
  <si>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</si>
  <si>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</si>
  <si>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</si>
  <si>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</si>
  <si>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</si>
  <si>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</si>
  <si>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</si>
  <si>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</si>
  <si>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</si>
  <si>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</si>
  <si>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</si>
  <si>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</si>
  <si>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</si>
  <si>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</si>
  <si>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</si>
  <si>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</si>
  <si>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</si>
  <si>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</si>
  <si>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</si>
  <si>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</si>
  <si>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</si>
  <si>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</si>
  <si>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</si>
  <si>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</si>
  <si>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</si>
  <si>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</si>
  <si>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</si>
  <si>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</si>
  <si>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</si>
  <si>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</si>
  <si>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</si>
  <si>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</si>
  <si>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</si>
  <si>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</si>
  <si>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</si>
  <si>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</si>
  <si>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</si>
  <si>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</si>
  <si>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</si>
  <si>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</si>
  <si>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</si>
  <si>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</si>
  <si>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</si>
  <si>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</si>
  <si>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</si>
  <si>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</si>
  <si>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</si>
  <si>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</si>
  <si>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</si>
  <si>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</si>
  <si>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</si>
  <si>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</si>
  <si>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</si>
  <si>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</si>
  <si>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</si>
  <si>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</si>
  <si>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</si>
  <si>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</si>
  <si>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</si>
  <si>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</si>
  <si>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</si>
  <si>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</si>
  <si>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</si>
  <si>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</si>
  <si>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</si>
  <si>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</si>
  <si>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</si>
  <si>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</si>
  <si>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</si>
  <si>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</si>
  <si>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</si>
  <si>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</si>
  <si>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</si>
  <si>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</si>
  <si>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</si>
  <si>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</si>
  <si>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</si>
  <si>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</si>
  <si>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</si>
  <si>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</si>
  <si>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</si>
  <si>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</si>
  <si>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</si>
  <si>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</si>
  <si>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</si>
  <si>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</si>
  <si>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</si>
  <si>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</si>
  <si>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</si>
  <si>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</si>
  <si>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</si>
  <si>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</si>
  <si>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</si>
  <si>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</si>
  <si>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</si>
  <si>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</si>
  <si>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</si>
  <si>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</si>
  <si>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</si>
  <si>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</si>
  <si>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</si>
  <si>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</si>
  <si>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</si>
  <si>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</si>
  <si>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</si>
  <si>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</si>
  <si>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</si>
  <si>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</si>
  <si>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</si>
  <si>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</si>
  <si>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</si>
  <si>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</si>
  <si>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</si>
  <si>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</si>
  <si>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</si>
  <si>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</si>
  <si>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</si>
  <si>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</si>
  <si>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</si>
  <si>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</si>
  <si>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</si>
  <si>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</si>
  <si>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</si>
  <si>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</si>
  <si>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</si>
  <si>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</si>
  <si>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</si>
  <si>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</si>
  <si>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</si>
  <si>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</si>
  <si>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</si>
  <si>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</si>
  <si>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</si>
  <si>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</si>
  <si>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</si>
  <si>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</si>
  <si>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</si>
  <si>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</si>
  <si>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</si>
  <si>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</si>
  <si>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</si>
  <si>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</si>
  <si>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</si>
  <si>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</si>
  <si>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</si>
  <si>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</si>
  <si>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</si>
  <si>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</si>
  <si>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</si>
  <si>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</si>
  <si>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Maïs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</si>
  <si>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</si>
  <si>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</si>
  <si>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</si>
  <si>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</si>
  <si>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</si>
  <si>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</si>
  <si>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</si>
  <si>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</si>
  <si>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</si>
  <si>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</si>
  <si>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</si>
  <si>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</si>
  <si>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</si>
  <si>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</si>
  <si>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</si>
  <si>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</si>
  <si>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</si>
  <si>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</si>
  <si>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</si>
  <si>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</si>
  <si>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</si>
  <si>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</si>
  <si>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Z3_BV_T2_s5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</si>
</sst>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370472222225" createdVersion="6" refreshedVersion="6" minRefreshableVersion="3" recordCount="21">
  <cacheSource type="worksheet">
    <worksheetSource ref="A1:J22" sheet="Parcellaire"/>
  </cacheSource>
  <cacheFields count="10">
    <cacheField name="Numéro_x000a_Parcelle" numFmtId="0">
      <sharedItems containsMixedTypes="1" containsNumber="1" minValue="1.2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1" maxValue="310" count="10">
        <n v="225"/>
        <n v="129"/>
        <n v="132"/>
        <n v="310"/>
        <m/>
        <n v="30"/>
        <n v="5" u="1"/>
        <n v="48" u="1"/>
        <n v="309" u="1"/>
        <n v="1" u="1"/>
      </sharedItems>
    </cacheField>
    <cacheField name="surface" numFmtId="0">
      <sharedItems containsString="0" containsBlank="1" containsNumber="1" minValue="0.6" maxValue="4.7"/>
    </cacheField>
    <cacheField name="SURFACE2" numFmtId="0">
      <sharedItems containsString="0" containsBlank="1" containsNumber="1" minValue="1.73" maxValue="4.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1 (divisé en 4 identique )"/>
    <n v="1"/>
    <n v="2"/>
    <x v="0"/>
    <s v="PP"/>
    <x v="0"/>
    <n v="4.7"/>
    <n v="4.7"/>
    <n v="3"/>
    <n v="1"/>
  </r>
  <r>
    <n v="2"/>
    <n v="1"/>
    <n v="2"/>
    <x v="0"/>
    <s v="PP"/>
    <x v="1"/>
    <n v="2.2999999999999998"/>
    <n v="2.2999999999999998"/>
    <n v="3"/>
    <n v="0.5"/>
  </r>
  <r>
    <n v="2"/>
    <n v="1"/>
    <n v="2"/>
    <x v="0"/>
    <s v="LANDES"/>
    <x v="2"/>
    <n v="2"/>
    <n v="2"/>
    <n v="3"/>
    <n v="1"/>
  </r>
  <r>
    <n v="3.2"/>
    <n v="1"/>
    <n v="2"/>
    <x v="0"/>
    <s v="PP"/>
    <x v="3"/>
    <n v="1.4"/>
    <m/>
    <n v="2"/>
    <n v="1"/>
  </r>
  <r>
    <n v="4"/>
    <n v="2"/>
    <n v="2"/>
    <x v="0"/>
    <s v="Maïs"/>
    <x v="4"/>
    <n v="0.77"/>
    <m/>
    <n v="3"/>
    <n v="0"/>
  </r>
  <r>
    <n v="5"/>
    <m/>
    <m/>
    <x v="1"/>
    <m/>
    <x v="4"/>
    <m/>
    <m/>
    <m/>
    <m/>
  </r>
  <r>
    <n v="6"/>
    <n v="1"/>
    <n v="0"/>
    <x v="0"/>
    <s v="LANDES"/>
    <x v="2"/>
    <n v="1.6"/>
    <m/>
    <n v="2"/>
    <n v="1"/>
  </r>
  <r>
    <n v="7"/>
    <n v="2"/>
    <n v="2"/>
    <x v="2"/>
    <s v="PP"/>
    <x v="3"/>
    <n v="3"/>
    <n v="3"/>
    <n v="3"/>
    <n v="1"/>
  </r>
  <r>
    <n v="8"/>
    <n v="2"/>
    <n v="0"/>
    <x v="2"/>
    <s v="Maïs"/>
    <x v="4"/>
    <n v="1.73"/>
    <n v="1.73"/>
    <n v="3"/>
    <n v="0"/>
  </r>
  <r>
    <n v="9"/>
    <n v="1"/>
    <n v="2"/>
    <x v="0"/>
    <s v="PT"/>
    <x v="5"/>
    <n v="1.5"/>
    <m/>
    <n v="3"/>
    <n v="0"/>
  </r>
  <r>
    <n v="10"/>
    <n v="1"/>
    <n v="2"/>
    <x v="0"/>
    <s v="PT"/>
    <x v="5"/>
    <n v="1.3"/>
    <m/>
    <n v="3"/>
    <n v="0"/>
  </r>
  <r>
    <n v="11"/>
    <n v="1"/>
    <n v="2"/>
    <x v="0"/>
    <s v="PT"/>
    <x v="5"/>
    <n v="1.7"/>
    <m/>
    <n v="2"/>
    <n v="0"/>
  </r>
  <r>
    <n v="12"/>
    <n v="1"/>
    <n v="2"/>
    <x v="0"/>
    <s v="PP"/>
    <x v="3"/>
    <n v="0.6"/>
    <m/>
    <n v="2"/>
    <n v="0.5"/>
  </r>
  <r>
    <n v="13"/>
    <n v="1"/>
    <n v="2"/>
    <x v="0"/>
    <s v="PP"/>
    <x v="3"/>
    <n v="2"/>
    <m/>
    <n v="3"/>
    <n v="0.5"/>
  </r>
  <r>
    <n v="14"/>
    <n v="1"/>
    <n v="2"/>
    <x v="0"/>
    <s v="PP"/>
    <x v="3"/>
    <n v="1"/>
    <m/>
    <n v="3"/>
    <n v="0.5"/>
  </r>
  <r>
    <n v="15"/>
    <n v="1"/>
    <n v="2"/>
    <x v="0"/>
    <s v="PP"/>
    <x v="1"/>
    <n v="2.2000000000000002"/>
    <m/>
    <n v="2"/>
    <n v="1"/>
  </r>
  <r>
    <n v="16"/>
    <n v="1"/>
    <n v="2"/>
    <x v="0"/>
    <s v="PP"/>
    <x v="1"/>
    <n v="2.2000000000000002"/>
    <m/>
    <n v="3"/>
    <n v="0.5"/>
  </r>
  <r>
    <n v="17"/>
    <m/>
    <m/>
    <x v="1"/>
    <m/>
    <x v="4"/>
    <m/>
    <m/>
    <m/>
    <m/>
  </r>
  <r>
    <n v="18"/>
    <n v="1"/>
    <n v="0"/>
    <x v="0"/>
    <s v="PP"/>
    <x v="1"/>
    <n v="1"/>
    <m/>
    <n v="3"/>
    <n v="1"/>
  </r>
  <r>
    <n v="19"/>
    <m/>
    <m/>
    <x v="1"/>
    <m/>
    <x v="4"/>
    <m/>
    <m/>
    <m/>
    <m/>
  </r>
  <r>
    <n v="1.2"/>
    <m/>
    <m/>
    <x v="1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8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m="1" x="9"/>
        <item m="1" x="6"/>
        <item x="5"/>
        <item m="1" x="7"/>
        <item x="1"/>
        <item x="2"/>
        <item m="1" x="8"/>
        <item x="3"/>
        <item x="4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7">
    <i>
      <x v="2"/>
    </i>
    <i>
      <x v="4"/>
    </i>
    <i>
      <x v="5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102.99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265.68253283000007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221</v>
      </c>
    </row>
    <row r="6" spans="1:53" x14ac:dyDescent="0.25">
      <c r="B6" s="14" t="s">
        <v>291</v>
      </c>
      <c r="C6" s="143">
        <f>SUM(Troupeau!B68:E68)</f>
        <v>34.761999999999993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231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10.6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5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10.6</v>
      </c>
      <c r="H14" s="145">
        <f>CdTrp1!AL54+CdTrp2!AL54+CdTrp3!AL54+CdTrp4!AL54</f>
        <v>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4.5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4.5</v>
      </c>
      <c r="F16" s="156" t="s">
        <v>437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438</v>
      </c>
      <c r="G17" s="140">
        <f>CdTrp1!AC77+CdTrp2!AC77+CdTrp3!AC77+CdTrp4!AC77</f>
        <v>0</v>
      </c>
      <c r="H17" s="49" t="s">
        <v>443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439</v>
      </c>
      <c r="F18" s="156">
        <v>1</v>
      </c>
      <c r="G18" s="156">
        <f>CdTrp1!AC78+CdTrp2!AC78+CdTrp3!AC78+CdTrp4!AC78</f>
        <v>0</v>
      </c>
      <c r="H18" s="157" t="e">
        <f>G18/$G$17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440</v>
      </c>
      <c r="F19" s="156">
        <v>2</v>
      </c>
      <c r="G19" s="156">
        <f>CdTrp1!AC79+CdTrp2!AC79+CdTrp3!AC79+CdTrp4!AC79</f>
        <v>0</v>
      </c>
      <c r="H19" s="157" t="e">
        <f t="shared" ref="H19:H21" si="1">G19/$G$17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441</v>
      </c>
      <c r="F20" s="156">
        <v>3</v>
      </c>
      <c r="G20" s="156">
        <f>CdTrp1!AC80+CdTrp2!AC80+CdTrp3!AC80+CdTrp4!AC80</f>
        <v>0</v>
      </c>
      <c r="H20" s="157" t="e">
        <f t="shared" si="1"/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442</v>
      </c>
      <c r="F21" s="156">
        <v>4</v>
      </c>
      <c r="G21" s="156">
        <f>CdTrp1!AC81+CdTrp2!AC81+CdTrp3!AC81+CdTrp4!AC81</f>
        <v>0</v>
      </c>
      <c r="H21" s="157" t="e">
        <f t="shared" si="1"/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9" zoomScale="90" zoomScaleNormal="90" workbookViewId="0">
      <selection activeCell="R13" sqref="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8" t="s">
        <v>249</v>
      </c>
      <c r="AT2" s="278"/>
      <c r="AU2" s="277" t="s">
        <v>250</v>
      </c>
      <c r="AV2" s="277"/>
      <c r="AW2" s="277" t="s">
        <v>251</v>
      </c>
      <c r="AX2" s="277"/>
      <c r="AY2" s="277" t="s">
        <v>252</v>
      </c>
      <c r="AZ2" s="277"/>
      <c r="BA2" s="277" t="s">
        <v>253</v>
      </c>
      <c r="BB2" s="277"/>
      <c r="BC2" s="277" t="s">
        <v>254</v>
      </c>
      <c r="BD2" s="277"/>
      <c r="BE2" s="277" t="s">
        <v>255</v>
      </c>
      <c r="BF2" s="277"/>
      <c r="BG2" s="277" t="s">
        <v>256</v>
      </c>
      <c r="BH2" s="277"/>
      <c r="BI2" s="277" t="s">
        <v>257</v>
      </c>
      <c r="BJ2" s="277"/>
      <c r="BK2" s="277" t="s">
        <v>258</v>
      </c>
      <c r="BL2" s="277"/>
      <c r="BM2" s="277" t="s">
        <v>259</v>
      </c>
      <c r="BN2" s="277"/>
      <c r="BO2" s="277" t="s">
        <v>260</v>
      </c>
      <c r="BP2" s="277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20.4+4.5-O29</f>
        <v>21.9</v>
      </c>
      <c r="P7">
        <v>1</v>
      </c>
      <c r="Q7" s="39">
        <v>5</v>
      </c>
      <c r="R7" s="39">
        <v>7.8</v>
      </c>
      <c r="S7" s="273" t="str">
        <f>VLOOKUP($Q7,[1]MEP!$A$5:$D$300,3)</f>
        <v>PP bonne 2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5.8850000000000007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45.903000000000006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102.99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21.9</v>
      </c>
      <c r="P8">
        <v>2</v>
      </c>
      <c r="Q8" s="39">
        <v>0</v>
      </c>
      <c r="R8" s="39">
        <v>4.5999999999999996</v>
      </c>
      <c r="S8" s="273" t="e">
        <f>VLOOKUP($Q8,[1]MEP!$A$5:$D$300,3)</f>
        <v>#N/A</v>
      </c>
      <c r="T8" s="76" t="e">
        <f>VLOOKUP($Q8,[1]MEP!$A$5:$D$300,4)</f>
        <v>#N/A</v>
      </c>
      <c r="U8" s="76">
        <f>VLOOKUP($Q8,[1]MEP!$A$4:$K$300,2)</f>
        <v>0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102.99</v>
      </c>
      <c r="G9" s="81"/>
      <c r="H9" s="61">
        <f>SUM(L34:L43)</f>
        <v>10.8</v>
      </c>
      <c r="I9" s="81"/>
      <c r="J9" s="81"/>
      <c r="K9" s="93">
        <f>H9-F9</f>
        <v>-92.19</v>
      </c>
      <c r="L9" s="81"/>
      <c r="M9" s="100"/>
      <c r="P9">
        <v>3</v>
      </c>
      <c r="Q9" s="39">
        <v>232</v>
      </c>
      <c r="R9" s="39">
        <v>0</v>
      </c>
      <c r="S9" s="273" t="str">
        <f>VLOOKUP($Q9,[1]MEP!$A$5:$D$300,3)</f>
        <v>PP bonne P prtps et 1 C été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2.7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34.761999999999993</v>
      </c>
      <c r="G10" s="81"/>
      <c r="H10" s="61">
        <f>SUM(M34:M43)</f>
        <v>35</v>
      </c>
      <c r="I10" s="81"/>
      <c r="J10" s="81"/>
      <c r="K10" s="93">
        <f>H10-F10</f>
        <v>0.23800000000000665</v>
      </c>
      <c r="L10" s="81"/>
      <c r="M10" s="100"/>
      <c r="P10">
        <v>4</v>
      </c>
      <c r="Q10" s="39">
        <v>5</v>
      </c>
      <c r="R10" s="39">
        <v>5</v>
      </c>
      <c r="S10" s="273" t="str">
        <f>VLOOKUP($Q10,[1]MEP!$A$5:$D$300,3)</f>
        <v>PP bonne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5.8850000000000007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29.425000000000004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65</v>
      </c>
      <c r="R11" s="39">
        <v>4.5</v>
      </c>
      <c r="S11" s="273" t="str">
        <f>VLOOKUP($Q11,[1]MEP!$A$5:$D$300,3)</f>
        <v>PT 2 coupes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7.5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33.75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3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10.6</v>
      </c>
      <c r="G13" s="81"/>
      <c r="H13" s="61">
        <f>F61</f>
        <v>0</v>
      </c>
      <c r="I13" s="81"/>
      <c r="J13" s="81"/>
      <c r="K13" s="93">
        <f>H13-F13</f>
        <v>-10.6</v>
      </c>
      <c r="L13" s="81"/>
      <c r="M13" s="100"/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5</v>
      </c>
      <c r="G14" s="81"/>
      <c r="H14" s="61">
        <f>G61</f>
        <v>0</v>
      </c>
      <c r="I14" s="81"/>
      <c r="J14" s="81"/>
      <c r="K14" s="93">
        <f t="shared" ref="K14:K17" si="14">H14-F14</f>
        <v>-5</v>
      </c>
      <c r="L14" s="81"/>
      <c r="M14" s="100"/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465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126.733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231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-104.267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109.078</v>
      </c>
      <c r="AQ27" s="32" t="s">
        <v>466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3</v>
      </c>
      <c r="P29">
        <v>1</v>
      </c>
      <c r="Q29" s="39">
        <v>5</v>
      </c>
      <c r="R29" s="39">
        <v>3</v>
      </c>
      <c r="S29" s="273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17.655000000000001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7" t="s">
        <v>275</v>
      </c>
      <c r="G32" s="277"/>
      <c r="H32" s="82"/>
      <c r="I32" s="68" t="s">
        <v>279</v>
      </c>
      <c r="J32" s="82" t="s">
        <v>279</v>
      </c>
      <c r="K32" s="277" t="s">
        <v>277</v>
      </c>
      <c r="L32" s="277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2.5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landes litières fougère (F ou F/P) toutes zones</v>
      </c>
      <c r="D35" s="39">
        <v>28</v>
      </c>
      <c r="E35" s="39">
        <v>3.6</v>
      </c>
      <c r="F35" s="76">
        <f>VLOOKUP($D35,[1]Cult!$A$5:$F$61,3)</f>
        <v>0</v>
      </c>
      <c r="G35" s="76">
        <f>VLOOKUP($D35,[1]Cult!$A$5:$F$61,4)</f>
        <v>3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10.8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467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17.655000000000001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3.6</v>
      </c>
      <c r="P51">
        <v>1</v>
      </c>
      <c r="Q51" s="39">
        <v>47</v>
      </c>
      <c r="R51" s="39">
        <v>3.6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3.6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459</v>
      </c>
      <c r="C66" s="161"/>
      <c r="D66" s="161"/>
      <c r="E66" s="161"/>
      <c r="F66" s="161"/>
      <c r="G66" s="162" t="s">
        <v>460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126.733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231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-104.267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F15" sqref="F15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74" t="s">
        <v>1430</v>
      </c>
      <c r="B3" s="274" t="s">
        <v>1426</v>
      </c>
    </row>
    <row r="4" spans="1:5" x14ac:dyDescent="0.25">
      <c r="A4" s="274" t="s">
        <v>1428</v>
      </c>
      <c r="B4" t="s">
        <v>470</v>
      </c>
      <c r="C4" t="s">
        <v>446</v>
      </c>
      <c r="D4" t="s">
        <v>1429</v>
      </c>
      <c r="E4" t="s">
        <v>1427</v>
      </c>
    </row>
    <row r="5" spans="1:5" x14ac:dyDescent="0.25">
      <c r="A5" s="15">
        <v>30</v>
      </c>
      <c r="B5" s="275"/>
      <c r="C5" s="275">
        <v>4.5</v>
      </c>
      <c r="D5" s="275"/>
      <c r="E5" s="275">
        <v>4.5</v>
      </c>
    </row>
    <row r="6" spans="1:5" x14ac:dyDescent="0.25">
      <c r="A6" s="15">
        <v>129</v>
      </c>
      <c r="B6" s="275"/>
      <c r="C6" s="275">
        <v>7.7</v>
      </c>
      <c r="D6" s="275"/>
      <c r="E6" s="275">
        <v>7.7</v>
      </c>
    </row>
    <row r="7" spans="1:5" x14ac:dyDescent="0.25">
      <c r="A7" s="15">
        <v>132</v>
      </c>
      <c r="B7" s="275"/>
      <c r="C7" s="275">
        <v>3.6</v>
      </c>
      <c r="D7" s="275"/>
      <c r="E7" s="275">
        <v>3.6</v>
      </c>
    </row>
    <row r="8" spans="1:5" x14ac:dyDescent="0.25">
      <c r="A8" s="15">
        <v>310</v>
      </c>
      <c r="B8" s="275">
        <v>3</v>
      </c>
      <c r="C8" s="275">
        <v>5</v>
      </c>
      <c r="D8" s="275"/>
      <c r="E8" s="275">
        <v>8</v>
      </c>
    </row>
    <row r="9" spans="1:5" x14ac:dyDescent="0.25">
      <c r="A9" s="15" t="s">
        <v>1429</v>
      </c>
      <c r="B9" s="275">
        <v>1.73</v>
      </c>
      <c r="C9" s="275">
        <v>0.77</v>
      </c>
      <c r="D9" s="275"/>
      <c r="E9" s="275">
        <v>2.5</v>
      </c>
    </row>
    <row r="10" spans="1:5" x14ac:dyDescent="0.25">
      <c r="A10" s="15">
        <v>225</v>
      </c>
      <c r="B10" s="275"/>
      <c r="C10" s="275">
        <v>4.7</v>
      </c>
      <c r="D10" s="275"/>
      <c r="E10" s="275">
        <v>4.7</v>
      </c>
    </row>
    <row r="11" spans="1:5" x14ac:dyDescent="0.25">
      <c r="A11" s="15" t="s">
        <v>1427</v>
      </c>
      <c r="B11" s="275">
        <v>4.7300000000000004</v>
      </c>
      <c r="C11" s="275">
        <v>26.269999999999996</v>
      </c>
      <c r="D11" s="275"/>
      <c r="E11" s="275">
        <v>30.999999999999996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J2" sqref="J2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444</v>
      </c>
      <c r="E1" s="6" t="s">
        <v>445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469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446</v>
      </c>
      <c r="E2" s="9" t="s">
        <v>1424</v>
      </c>
      <c r="F2" s="9">
        <v>225</v>
      </c>
      <c r="G2" s="9">
        <v>9</v>
      </c>
      <c r="H2" s="9">
        <v>4.7</v>
      </c>
      <c r="I2" s="9">
        <v>3</v>
      </c>
      <c r="J2" s="9">
        <v>1</v>
      </c>
      <c r="K2" s="8">
        <f>IF(B2=2,0,IF(I2=$Y$10,G2*$AB$10,IF(I2=$Y$11,G2*$AB$11,IF(I2=$Y$12,G2*$AB$12,""))))</f>
        <v>9.9</v>
      </c>
      <c r="L2" s="8">
        <f>IF(J2=$Y$5,K2*$AA$5,IF(J2=$Y$6,K2*$AA$6,IF(J2=$Y$7,K2*$AA$7,"")))</f>
        <v>11.88</v>
      </c>
      <c r="M2" s="10">
        <f>IF(I2=$Y$10,SQRT(L2*10000),SQRT(Parcellaire!L2*10000)/$AC$11)</f>
        <v>243.72115213907878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974.88460855631524</v>
      </c>
      <c r="U2" s="10">
        <f>IF(C2=2,Q2*M2,0)</f>
        <v>974.88460855631513</v>
      </c>
      <c r="V2" s="27">
        <f>O2*M2</f>
        <v>1462.3269128344728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446</v>
      </c>
      <c r="E3" s="9" t="s">
        <v>1424</v>
      </c>
      <c r="F3" s="9">
        <v>129</v>
      </c>
      <c r="G3" s="9"/>
      <c r="H3" s="9">
        <v>2.2999999999999998</v>
      </c>
      <c r="I3" s="9">
        <v>3</v>
      </c>
      <c r="J3" s="9">
        <v>0.5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>
        <v>2</v>
      </c>
      <c r="B4" s="9">
        <v>1</v>
      </c>
      <c r="C4" s="9">
        <v>2</v>
      </c>
      <c r="D4" s="9" t="s">
        <v>446</v>
      </c>
      <c r="E4" s="9" t="s">
        <v>1423</v>
      </c>
      <c r="F4" s="9">
        <v>132</v>
      </c>
      <c r="G4" s="9"/>
      <c r="H4" s="9">
        <v>2</v>
      </c>
      <c r="I4" s="9">
        <v>3</v>
      </c>
      <c r="J4" s="9">
        <v>1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>
        <f t="shared" si="7"/>
        <v>0</v>
      </c>
      <c r="U4" s="10">
        <f t="shared" ref="U4:U21" si="10">IF(C4=2,Q4*M4,0)</f>
        <v>0</v>
      </c>
      <c r="V4" s="27">
        <f t="shared" si="9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446</v>
      </c>
      <c r="E5" s="9" t="s">
        <v>1424</v>
      </c>
      <c r="F5" s="9">
        <v>310</v>
      </c>
      <c r="G5" s="9">
        <v>1.4</v>
      </c>
      <c r="H5" s="9"/>
      <c r="I5" s="9">
        <v>2</v>
      </c>
      <c r="J5" s="9">
        <v>1</v>
      </c>
      <c r="K5" s="8">
        <f>IF(B5=2,0,IF(I5=$Y$10,G5*$AB$10,IF(I5=$Y$11,G5*$AB$11,IF(I5=$Y$12,G5*$AB$12,""))))</f>
        <v>1.4</v>
      </c>
      <c r="L5" s="8">
        <f t="shared" si="2"/>
        <v>1.68</v>
      </c>
      <c r="M5" s="10">
        <f>IF(I5=$Y$10,SQRT(L5*10000),SQRT(Parcellaire!L5*10000)/$AC$11)</f>
        <v>91.651513899116779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446</v>
      </c>
      <c r="E6" s="9" t="s">
        <v>1425</v>
      </c>
      <c r="F6" s="9"/>
      <c r="G6" s="9">
        <v>0.77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446</v>
      </c>
      <c r="E8" s="9" t="s">
        <v>1423</v>
      </c>
      <c r="F8" s="9">
        <v>132</v>
      </c>
      <c r="G8" s="9">
        <v>1.6</v>
      </c>
      <c r="H8" s="9"/>
      <c r="I8" s="166">
        <v>2</v>
      </c>
      <c r="J8" s="9">
        <v>1</v>
      </c>
      <c r="K8" s="8">
        <f>IF(B8=2,0,IF(I8=$Y$10,G8*$AB$10,IF(I8=$Y$11,G8*$AB$11,IF(I8=$Y$12,G8*$AB$12,""))))</f>
        <v>1.6</v>
      </c>
      <c r="L8" s="8">
        <f t="shared" si="15"/>
        <v>1.92</v>
      </c>
      <c r="M8" s="10">
        <f>IF(I8=$Y$10,SQRT(L8*10000),SQRT(Parcellaire!L8*10000)/$AC$11)</f>
        <v>97.979589711327122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440.90815370097209</v>
      </c>
      <c r="U8" s="10">
        <f t="shared" si="10"/>
        <v>0</v>
      </c>
      <c r="V8" s="27">
        <f t="shared" si="14"/>
        <v>587.87753826796279</v>
      </c>
      <c r="W8" s="3"/>
      <c r="X8" s="3"/>
    </row>
    <row r="9" spans="1:29" ht="15" customHeight="1" x14ac:dyDescent="0.25">
      <c r="A9" s="8">
        <v>7</v>
      </c>
      <c r="B9" s="9">
        <v>2</v>
      </c>
      <c r="C9" s="9">
        <v>2</v>
      </c>
      <c r="D9" s="9" t="s">
        <v>470</v>
      </c>
      <c r="E9" s="9" t="s">
        <v>1424</v>
      </c>
      <c r="F9" s="9">
        <v>310</v>
      </c>
      <c r="G9" s="9">
        <v>4.7300000000000004</v>
      </c>
      <c r="H9" s="9">
        <v>3</v>
      </c>
      <c r="I9" s="9">
        <v>3</v>
      </c>
      <c r="J9" s="9">
        <v>1</v>
      </c>
      <c r="K9" s="8">
        <f t="shared" ref="K9:K11" si="17">IF(B9=2,0,IF(I9=$Y$10,G9*$AB$10,IF(I9=$Y$11,G9*$AB$11,IF(I9=$Y$12,G9*$AB$12,""))))</f>
        <v>0</v>
      </c>
      <c r="L9" s="8">
        <f t="shared" ref="L9:L11" si="18">IF(J9=$Y$5,K9*$AA$5,IF(J9=$Y$6,K9*$AA$6,IF(J9=$Y$7,K9*$AA$7,"")))</f>
        <v>0</v>
      </c>
      <c r="M9" s="10">
        <f>IF(I9=$Y$10,SQRT(L9*10000),SQRT(Parcellaire!L9*10000)/$AC$11)</f>
        <v>0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0</v>
      </c>
      <c r="U9" s="10">
        <f t="shared" si="10"/>
        <v>0</v>
      </c>
      <c r="V9" s="27">
        <f t="shared" si="14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470</v>
      </c>
      <c r="E10" s="9" t="s">
        <v>1425</v>
      </c>
      <c r="F10" s="9"/>
      <c r="G10" s="9"/>
      <c r="H10" s="9">
        <v>1.73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446</v>
      </c>
      <c r="E11" s="9" t="s">
        <v>517</v>
      </c>
      <c r="F11" s="9">
        <v>30</v>
      </c>
      <c r="G11" s="9">
        <v>1.5</v>
      </c>
      <c r="H11" s="9"/>
      <c r="I11" s="9">
        <v>3</v>
      </c>
      <c r="J11" s="9">
        <v>0</v>
      </c>
      <c r="K11" s="8">
        <f t="shared" si="17"/>
        <v>1.6500000000000001</v>
      </c>
      <c r="L11" s="8">
        <f t="shared" si="18"/>
        <v>1.6500000000000001</v>
      </c>
      <c r="M11" s="10">
        <f>IF(I11=$Y$10,SQRT(L11*10000),SQRT(Parcellaire!L11*10000)/$AC$11)</f>
        <v>90.829510622924758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446</v>
      </c>
      <c r="E12" s="9" t="s">
        <v>517</v>
      </c>
      <c r="F12" s="9">
        <v>30</v>
      </c>
      <c r="G12" s="9">
        <v>1.3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1.4300000000000002</v>
      </c>
      <c r="L12" s="8">
        <f t="shared" ref="L12:L23" si="21">IF(J12=$Y$5,K12*$AA$5,IF(J12=$Y$6,K12*$AA$6,IF(J12=$Y$7,K12*$AA$7,"")))</f>
        <v>1.4300000000000002</v>
      </c>
      <c r="M12" s="10">
        <f>IF(I12=$Y$10,SQRT(L12*10000),SQRT(Parcellaire!L12*10000)/$AC$11)</f>
        <v>84.557672626438816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295.95185419253585</v>
      </c>
      <c r="U12" s="10">
        <f t="shared" si="10"/>
        <v>422.78836313219409</v>
      </c>
      <c r="V12" s="27">
        <f t="shared" si="14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446</v>
      </c>
      <c r="E13" s="9" t="s">
        <v>517</v>
      </c>
      <c r="F13" s="9">
        <v>30</v>
      </c>
      <c r="G13" s="9">
        <v>1.7</v>
      </c>
      <c r="H13" s="9"/>
      <c r="I13" s="9">
        <v>2</v>
      </c>
      <c r="J13" s="9">
        <v>0</v>
      </c>
      <c r="K13" s="8">
        <f t="shared" si="20"/>
        <v>1.7</v>
      </c>
      <c r="L13" s="8">
        <f t="shared" si="21"/>
        <v>1.7</v>
      </c>
      <c r="M13" s="10">
        <f>IF(I13=$Y$10,SQRT(L13*10000),SQRT(Parcellaire!L13*10000)/$AC$11)</f>
        <v>92.195444572928864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414.87950057817989</v>
      </c>
      <c r="U13" s="10">
        <f t="shared" si="10"/>
        <v>276.58633371878659</v>
      </c>
      <c r="V13" s="27">
        <f t="shared" si="14"/>
        <v>553.17266743757318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446</v>
      </c>
      <c r="E14" s="9" t="s">
        <v>1424</v>
      </c>
      <c r="F14" s="9">
        <v>310</v>
      </c>
      <c r="G14" s="9">
        <v>0.6</v>
      </c>
      <c r="H14" s="9"/>
      <c r="I14" s="9">
        <v>2</v>
      </c>
      <c r="J14" s="9">
        <v>0.5</v>
      </c>
      <c r="K14" s="8">
        <f t="shared" si="20"/>
        <v>0.6</v>
      </c>
      <c r="L14" s="8">
        <f t="shared" si="21"/>
        <v>0.66</v>
      </c>
      <c r="M14" s="10">
        <f>IF(I14=$Y$10,SQRT(L14*10000),SQRT(Parcellaire!L14*10000)/$AC$11)</f>
        <v>57.445626465380286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172.33687939614086</v>
      </c>
      <c r="U14" s="10">
        <f t="shared" si="10"/>
        <v>344.67375879228172</v>
      </c>
      <c r="V14" s="27">
        <f t="shared" si="14"/>
        <v>344.67375879228172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446</v>
      </c>
      <c r="E15" s="9" t="s">
        <v>1424</v>
      </c>
      <c r="F15" s="9">
        <v>310</v>
      </c>
      <c r="G15" s="9">
        <v>2</v>
      </c>
      <c r="H15" s="9"/>
      <c r="I15" s="9">
        <v>3</v>
      </c>
      <c r="J15" s="9">
        <v>0.5</v>
      </c>
      <c r="K15" s="8">
        <f t="shared" si="20"/>
        <v>2.2000000000000002</v>
      </c>
      <c r="L15" s="8">
        <f t="shared" si="21"/>
        <v>2.4200000000000004</v>
      </c>
      <c r="M15" s="10">
        <f>IF(I15=$Y$10,SQRT(L15*10000),SQRT(Parcellaire!L15*10000)/$AC$11)</f>
        <v>110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446</v>
      </c>
      <c r="E16" s="9" t="s">
        <v>1424</v>
      </c>
      <c r="F16" s="9">
        <v>310</v>
      </c>
      <c r="G16" s="9">
        <v>1</v>
      </c>
      <c r="H16" s="9"/>
      <c r="I16" s="9">
        <v>3</v>
      </c>
      <c r="J16" s="9">
        <v>0.5</v>
      </c>
      <c r="K16" s="8">
        <f t="shared" si="20"/>
        <v>1.1000000000000001</v>
      </c>
      <c r="L16" s="8">
        <f t="shared" si="21"/>
        <v>1.2100000000000002</v>
      </c>
      <c r="M16" s="10">
        <f>IF(I16=$Y$10,SQRT(L16*10000),SQRT(Parcellaire!L16*10000)/$AC$11)</f>
        <v>77.781745930520231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427.7996026178613</v>
      </c>
      <c r="U16" s="10">
        <f t="shared" si="10"/>
        <v>77.781745930520231</v>
      </c>
      <c r="V16" s="27">
        <f t="shared" si="14"/>
        <v>466.69047558312138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446</v>
      </c>
      <c r="E17" s="9" t="s">
        <v>1424</v>
      </c>
      <c r="F17" s="9">
        <v>129</v>
      </c>
      <c r="G17" s="9">
        <v>2.2000000000000002</v>
      </c>
      <c r="H17" s="9"/>
      <c r="I17" s="9">
        <v>2</v>
      </c>
      <c r="J17" s="9">
        <v>1</v>
      </c>
      <c r="K17" s="8">
        <f t="shared" si="20"/>
        <v>2.2000000000000002</v>
      </c>
      <c r="L17" s="8">
        <f t="shared" si="21"/>
        <v>2.64</v>
      </c>
      <c r="M17" s="10">
        <f>IF(I17=$Y$10,SQRT(L17*10000),SQRT(Parcellaire!L17*10000)/$AC$11)</f>
        <v>114.89125293076057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574.45626465380292</v>
      </c>
      <c r="U17" s="10">
        <f t="shared" si="10"/>
        <v>229.78250586152114</v>
      </c>
      <c r="V17" s="27">
        <f t="shared" si="14"/>
        <v>689.34751758456343</v>
      </c>
      <c r="W17" s="3"/>
      <c r="X17" s="3"/>
      <c r="Y17" s="8">
        <v>2</v>
      </c>
      <c r="Z17" s="138" t="s">
        <v>334</v>
      </c>
      <c r="AA17" s="136">
        <f>T64</f>
        <v>4006.4139090297535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446</v>
      </c>
      <c r="E18" s="9" t="s">
        <v>1424</v>
      </c>
      <c r="F18" s="9">
        <v>129</v>
      </c>
      <c r="G18" s="9">
        <v>2.2000000000000002</v>
      </c>
      <c r="H18" s="9"/>
      <c r="I18" s="9">
        <v>3</v>
      </c>
      <c r="J18" s="9">
        <v>0.5</v>
      </c>
      <c r="K18" s="8">
        <f t="shared" si="20"/>
        <v>2.4200000000000004</v>
      </c>
      <c r="L18" s="8">
        <f t="shared" si="21"/>
        <v>2.6620000000000008</v>
      </c>
      <c r="M18" s="10">
        <f>IF(I18=$Y$10,SQRT(L18*10000),SQRT(Parcellaire!L18*10000)/$AC$11)</f>
        <v>115.36897329871667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461.47589319486661</v>
      </c>
      <c r="U18" s="10">
        <f t="shared" si="10"/>
        <v>461.47589319486667</v>
      </c>
      <c r="V18" s="27">
        <f t="shared" si="14"/>
        <v>692.21383979229995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si="20"/>
        <v/>
      </c>
      <c r="L19" s="8" t="e">
        <f t="shared" si="21"/>
        <v>#VALUE!</v>
      </c>
      <c r="M19" s="10" t="e">
        <f>IF(I19=$Y$10,SQRT(L19*10000),SQRT(Parcellaire!L19*10000)/$AC$11)</f>
        <v>#VALUE!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 t="e">
        <f t="shared" si="7"/>
        <v>#VALUE!</v>
      </c>
      <c r="U19" s="10">
        <f t="shared" si="10"/>
        <v>0</v>
      </c>
      <c r="V19" s="27" t="e">
        <f t="shared" si="14"/>
        <v>#VALUE!</v>
      </c>
      <c r="W19" s="3"/>
      <c r="X19" s="3"/>
      <c r="Z19" s="20"/>
      <c r="AA19" s="136">
        <f>AA17+AA18</f>
        <v>4006.4139090297535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446</v>
      </c>
      <c r="E20" s="9" t="s">
        <v>1424</v>
      </c>
      <c r="F20" s="9">
        <v>129</v>
      </c>
      <c r="G20" s="9">
        <v>1</v>
      </c>
      <c r="H20" s="9"/>
      <c r="I20" s="9">
        <v>3</v>
      </c>
      <c r="J20" s="9">
        <v>1</v>
      </c>
      <c r="K20" s="8">
        <f t="shared" si="20"/>
        <v>1.1000000000000001</v>
      </c>
      <c r="L20" s="8">
        <f t="shared" si="21"/>
        <v>1.32</v>
      </c>
      <c r="M20" s="10">
        <f>IF(I20=$Y$10,SQRT(L20*10000),SQRT(Parcellaire!L20*10000)/$AC$11)</f>
        <v>81.240384046359594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243.72115213907878</v>
      </c>
      <c r="U20" s="10">
        <f t="shared" si="10"/>
        <v>0</v>
      </c>
      <c r="V20" s="27">
        <f t="shared" si="14"/>
        <v>487.44230427815756</v>
      </c>
      <c r="W20" s="3"/>
      <c r="X20" s="3"/>
      <c r="Z20" s="20"/>
    </row>
    <row r="21" spans="1:28" ht="15" customHeight="1" x14ac:dyDescent="0.2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20"/>
        <v/>
      </c>
      <c r="L21" s="8" t="e">
        <f t="shared" si="21"/>
        <v>#VALUE!</v>
      </c>
      <c r="M21" s="10" t="e">
        <f>IF(I21=$Y$10,SQRT(L21*10000),SQRT(Parcellaire!L21*10000)/$AC$11)</f>
        <v>#VALUE!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 t="e">
        <f t="shared" si="7"/>
        <v>#VALUE!</v>
      </c>
      <c r="U21" s="10">
        <f t="shared" si="10"/>
        <v>0</v>
      </c>
      <c r="V21" s="27" t="e">
        <f t="shared" si="14"/>
        <v>#VALUE!</v>
      </c>
      <c r="W21" s="3"/>
      <c r="X21" s="3"/>
    </row>
    <row r="22" spans="1:28" ht="15" customHeight="1" x14ac:dyDescent="0.25">
      <c r="A22" s="8">
        <v>1.2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20"/>
        <v/>
      </c>
      <c r="L22" s="8" t="e">
        <f t="shared" si="21"/>
        <v>#VALUE!</v>
      </c>
      <c r="M22" s="10" t="e">
        <f>IF(I22=$Y$10,SQRT(L22*10000),SQRT(Parcellaire!L22*10000)/$AC$11)</f>
        <v>#VALUE!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 t="e">
        <f t="shared" si="7"/>
        <v>#VALUE!</v>
      </c>
      <c r="U22" s="10">
        <f t="shared" si="8"/>
        <v>0</v>
      </c>
      <c r="V22" s="27" t="e">
        <f t="shared" si="9"/>
        <v>#VALUE!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20"/>
        <v/>
      </c>
      <c r="L23" s="8" t="e">
        <f t="shared" si="21"/>
        <v>#VALUE!</v>
      </c>
      <c r="M23" s="10" t="e">
        <f>IF(I23=$Y$10,SQRT(L23*10000),SQRT(Parcellaire!L23*10000)/$AC$11)</f>
        <v>#VALUE!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 t="e">
        <f t="shared" si="7"/>
        <v>#VALUE!</v>
      </c>
      <c r="U23" s="10">
        <f t="shared" si="8"/>
        <v>0</v>
      </c>
      <c r="V23" s="27" t="e">
        <f t="shared" si="9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" si="23">IF(I24=$Y$10,G24*$AB$10,IF(I24=$Y$11,G24*$AB$11,IF(I24=$Y$12,G24*$AB$12,"")))</f>
        <v/>
      </c>
      <c r="L24" s="8" t="e">
        <f t="shared" ref="L24" si="24">IF(J24=$Y$5,K24*$AA$5,IF(J24=$Y$6,K24*$AA$6,IF(J24=$Y$7,K24*$AA$7,"")))</f>
        <v>#VALUE!</v>
      </c>
      <c r="M24" s="10" t="e">
        <f>IF(I24=$Y$10,SQRT(L24*10000),SQRT(Parcellaire!L24*10000)/$AC$11)</f>
        <v>#VALUE!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 t="e">
        <f t="shared" si="7"/>
        <v>#VALUE!</v>
      </c>
      <c r="U24" s="10">
        <f t="shared" si="8"/>
        <v>0</v>
      </c>
      <c r="V24" s="27" t="e">
        <f t="shared" si="9"/>
        <v>#VALUE!</v>
      </c>
      <c r="W24" s="3"/>
      <c r="X24" s="3"/>
      <c r="Y24" s="133">
        <v>1</v>
      </c>
      <c r="Z24" t="s">
        <v>471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26">IF(I25=$Y$10,G25*$AB$10,IF(I25=$Y$11,G25*$AB$11,IF(I25=$Y$12,G25*$AB$12,"")))</f>
        <v/>
      </c>
      <c r="L25" s="8" t="e">
        <f t="shared" ref="L25:L37" si="27">IF(J25=$Y$5,K25*$AA$5,IF(J25=$Y$6,K25*$AA$6,IF(J25=$Y$7,K25*$AA$7,"")))</f>
        <v>#VALUE!</v>
      </c>
      <c r="M25" s="10" t="e">
        <f>IF(I25=$Y$10,SQRT(L25*10000),SQRT(Parcellaire!L25*10000)/$AC$11)</f>
        <v>#VALUE!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 t="e">
        <f t="shared" si="7"/>
        <v>#VALUE!</v>
      </c>
      <c r="U25" s="10">
        <f t="shared" si="8"/>
        <v>0</v>
      </c>
      <c r="V25" s="27" t="e">
        <f t="shared" si="9"/>
        <v>#VALUE!</v>
      </c>
      <c r="W25" s="3"/>
      <c r="X25" s="3"/>
      <c r="Y25">
        <v>2</v>
      </c>
      <c r="Z25" t="s">
        <v>472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6"/>
        <v/>
      </c>
      <c r="L26" s="8" t="e">
        <f t="shared" si="27"/>
        <v>#VALUE!</v>
      </c>
      <c r="M26" s="10" t="e">
        <f>IF(I26=$Y$10,SQRT(L26*10000),SQRT(Parcellaire!L26*10000)/$AC$11)</f>
        <v>#VALUE!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 t="e">
        <f t="shared" si="7"/>
        <v>#VALUE!</v>
      </c>
      <c r="U26" s="10">
        <f t="shared" si="8"/>
        <v>0</v>
      </c>
      <c r="V26" s="27" t="e">
        <f t="shared" si="9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6"/>
        <v/>
      </c>
      <c r="L27" s="8" t="e">
        <f t="shared" si="27"/>
        <v>#VALUE!</v>
      </c>
      <c r="M27" s="10" t="e">
        <f>IF(I27=$Y$10,SQRT(L27*10000),SQRT(Parcellaire!L27*10000)/$AC$11)</f>
        <v>#VALUE!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 t="e">
        <f t="shared" si="7"/>
        <v>#VALUE!</v>
      </c>
      <c r="U27" s="10">
        <f t="shared" si="8"/>
        <v>0</v>
      </c>
      <c r="V27" s="27" t="e">
        <f t="shared" si="9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6"/>
        <v/>
      </c>
      <c r="L28" s="8" t="e">
        <f t="shared" si="27"/>
        <v>#VALUE!</v>
      </c>
      <c r="M28" s="10" t="e">
        <f>IF(I28=$Y$10,SQRT(L28*10000),SQRT(Parcellaire!L28*10000)/$AC$11)</f>
        <v>#VALUE!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 t="e">
        <f t="shared" si="7"/>
        <v>#VALUE!</v>
      </c>
      <c r="U28" s="10">
        <f t="shared" si="8"/>
        <v>0</v>
      </c>
      <c r="V28" s="27" t="e">
        <f t="shared" si="9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6"/>
        <v/>
      </c>
      <c r="L29" s="8" t="e">
        <f t="shared" si="27"/>
        <v>#VALUE!</v>
      </c>
      <c r="M29" s="10" t="e">
        <f>IF(I29=$Y$10,SQRT(L29*10000),SQRT(Parcellaire!L29*10000)/$AC$11)</f>
        <v>#VALUE!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 t="e">
        <f t="shared" si="7"/>
        <v>#VALUE!</v>
      </c>
      <c r="U29" s="10">
        <f t="shared" si="8"/>
        <v>0</v>
      </c>
      <c r="V29" s="27" t="e">
        <f t="shared" si="9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6"/>
        <v/>
      </c>
      <c r="L30" s="8" t="e">
        <f t="shared" si="27"/>
        <v>#VALUE!</v>
      </c>
      <c r="M30" s="10" t="e">
        <f>IF(I30=$Y$10,SQRT(L30*10000),SQRT(Parcellaire!L30*10000)/$AC$11)</f>
        <v>#VALUE!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 t="e">
        <f t="shared" si="7"/>
        <v>#VALUE!</v>
      </c>
      <c r="U30" s="10">
        <f t="shared" si="8"/>
        <v>0</v>
      </c>
      <c r="V30" s="27" t="e">
        <f t="shared" si="9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6"/>
        <v/>
      </c>
      <c r="L31" s="8" t="e">
        <f t="shared" si="27"/>
        <v>#VALUE!</v>
      </c>
      <c r="M31" s="10" t="e">
        <f>IF(I31=$Y$10,SQRT(L31*10000),SQRT(Parcellaire!L31*10000)/$AC$11)</f>
        <v>#VALUE!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 t="e">
        <f t="shared" si="7"/>
        <v>#VALUE!</v>
      </c>
      <c r="U31" s="10">
        <f t="shared" si="8"/>
        <v>0</v>
      </c>
      <c r="V31" s="27" t="e">
        <f t="shared" si="9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6"/>
        <v/>
      </c>
      <c r="L32" s="8" t="e">
        <f t="shared" si="27"/>
        <v>#VALUE!</v>
      </c>
      <c r="M32" s="10" t="e">
        <f>IF(I32=$Y$10,SQRT(L32*10000),SQRT(Parcellaire!L32*10000)/$AC$11)</f>
        <v>#VALUE!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 t="e">
        <f t="shared" si="7"/>
        <v>#VALUE!</v>
      </c>
      <c r="U32" s="10">
        <f t="shared" si="8"/>
        <v>0</v>
      </c>
      <c r="V32" s="27" t="e">
        <f t="shared" si="9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25.5</v>
      </c>
      <c r="H64" s="135"/>
      <c r="I64" s="135">
        <f>SUMIF(Parcellaire!$B$2:$B$63,1,Parcellaire!I2:I63)</f>
        <v>37</v>
      </c>
      <c r="J64" s="135">
        <f>SUMIF(Parcellaire!$B$2:$B$63,1,Parcellaire!J2:J63)</f>
        <v>8.5</v>
      </c>
      <c r="K64" s="135">
        <f>SUMIF(Parcellaire!$B$2:$B$63,1,Parcellaire!K2:K63)</f>
        <v>27.300000000000004</v>
      </c>
      <c r="L64" s="135">
        <f>SUMIF(Parcellaire!$B$2:$B$63,1,Parcellaire!L2:L63)</f>
        <v>31.172000000000004</v>
      </c>
      <c r="M64" s="135">
        <f>SUMIF(Parcellaire!$B$2:$B$63,1,Parcellaire!M2:M63)</f>
        <v>1257.6628662435526</v>
      </c>
      <c r="N64" s="135">
        <f>SUMIF(Parcellaire!$B$2:$B$63,1,Parcellaire!N2:N63)</f>
        <v>84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34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4006.4139090297535</v>
      </c>
      <c r="U64" s="135">
        <f>SUMIF(Parcellaire!$B$2:$B$63,1,Parcellaire!U2:U63)</f>
        <v>2787.9732091864857</v>
      </c>
      <c r="V64" s="135">
        <f>SUMIF(Parcellaire!$B$2:$B$63,1,Parcellaire!V2:V63)</f>
        <v>5791.0910503290652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449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454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455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456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458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1" zoomScale="80" zoomScaleNormal="80" workbookViewId="0">
      <selection activeCell="L7" sqref="L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473</v>
      </c>
      <c r="K1" s="80" t="s">
        <v>1448</v>
      </c>
    </row>
    <row r="2" spans="10:22" x14ac:dyDescent="0.25">
      <c r="J2" s="14" t="s">
        <v>474</v>
      </c>
      <c r="K2" s="80" t="s">
        <v>475</v>
      </c>
      <c r="P2" s="14" t="s">
        <v>475</v>
      </c>
      <c r="R2">
        <v>0</v>
      </c>
      <c r="S2" t="s">
        <v>476</v>
      </c>
    </row>
    <row r="3" spans="10:22" x14ac:dyDescent="0.25">
      <c r="J3" s="14" t="s">
        <v>477</v>
      </c>
      <c r="K3" s="80"/>
      <c r="P3" s="14" t="s">
        <v>478</v>
      </c>
      <c r="R3">
        <v>1</v>
      </c>
      <c r="S3" t="s">
        <v>479</v>
      </c>
    </row>
    <row r="4" spans="10:22" x14ac:dyDescent="0.25">
      <c r="J4" s="14" t="s">
        <v>480</v>
      </c>
      <c r="K4" s="80">
        <v>1</v>
      </c>
      <c r="P4" s="14" t="s">
        <v>481</v>
      </c>
    </row>
    <row r="5" spans="10:22" x14ac:dyDescent="0.25">
      <c r="J5" s="14" t="s">
        <v>482</v>
      </c>
      <c r="K5" s="80">
        <v>0</v>
      </c>
      <c r="T5" t="s">
        <v>483</v>
      </c>
      <c r="V5" t="s">
        <v>484</v>
      </c>
    </row>
    <row r="6" spans="10:22" x14ac:dyDescent="0.25">
      <c r="J6" s="14" t="s">
        <v>485</v>
      </c>
      <c r="K6" s="80">
        <v>0</v>
      </c>
      <c r="P6" s="14">
        <v>1</v>
      </c>
      <c r="Q6" t="s">
        <v>486</v>
      </c>
      <c r="T6" s="14" t="s">
        <v>447</v>
      </c>
      <c r="V6" s="14" t="s">
        <v>487</v>
      </c>
    </row>
    <row r="7" spans="10:22" x14ac:dyDescent="0.25">
      <c r="P7" s="14">
        <v>2</v>
      </c>
      <c r="Q7" t="s">
        <v>488</v>
      </c>
      <c r="T7" s="14" t="s">
        <v>489</v>
      </c>
      <c r="V7" s="14" t="s">
        <v>490</v>
      </c>
    </row>
    <row r="8" spans="10:22" x14ac:dyDescent="0.25">
      <c r="J8" s="14" t="s">
        <v>491</v>
      </c>
      <c r="K8" s="80">
        <v>3</v>
      </c>
      <c r="P8" s="14">
        <v>3</v>
      </c>
      <c r="Q8" t="s">
        <v>492</v>
      </c>
      <c r="T8" s="14" t="s">
        <v>493</v>
      </c>
      <c r="V8" s="14" t="s">
        <v>494</v>
      </c>
    </row>
    <row r="9" spans="10:22" x14ac:dyDescent="0.25">
      <c r="J9" s="14" t="s">
        <v>495</v>
      </c>
      <c r="K9" s="80" t="s">
        <v>514</v>
      </c>
      <c r="P9" s="14">
        <v>4</v>
      </c>
      <c r="Q9" t="s">
        <v>496</v>
      </c>
      <c r="T9" s="14" t="s">
        <v>497</v>
      </c>
      <c r="V9" s="14" t="s">
        <v>498</v>
      </c>
    </row>
    <row r="10" spans="10:22" x14ac:dyDescent="0.25">
      <c r="J10" s="14" t="s">
        <v>499</v>
      </c>
      <c r="K10" s="171">
        <f>IF(K9="HM",1,IF(K9="M1",1,IF(K9="M2",1,0)))</f>
        <v>1</v>
      </c>
      <c r="P10" s="14">
        <v>5</v>
      </c>
      <c r="Q10" t="s">
        <v>500</v>
      </c>
      <c r="T10" s="14" t="s">
        <v>501</v>
      </c>
      <c r="V10" s="14" t="s">
        <v>502</v>
      </c>
    </row>
    <row r="11" spans="10:22" x14ac:dyDescent="0.25">
      <c r="J11" s="14" t="s">
        <v>503</v>
      </c>
      <c r="K11" s="171">
        <f>IF(K9=0,0,1)</f>
        <v>1</v>
      </c>
      <c r="P11" s="14"/>
      <c r="T11" s="14" t="s">
        <v>504</v>
      </c>
      <c r="V11" s="14" t="s">
        <v>505</v>
      </c>
    </row>
    <row r="12" spans="10:22" x14ac:dyDescent="0.25">
      <c r="J12" s="14" t="s">
        <v>506</v>
      </c>
      <c r="K12" s="80" t="s">
        <v>447</v>
      </c>
      <c r="P12" s="14"/>
      <c r="V12" s="14" t="s">
        <v>507</v>
      </c>
    </row>
    <row r="13" spans="10:22" x14ac:dyDescent="0.25">
      <c r="J13" s="14" t="s">
        <v>484</v>
      </c>
      <c r="K13" s="80" t="s">
        <v>505</v>
      </c>
      <c r="P13" s="14" t="s">
        <v>508</v>
      </c>
      <c r="Q13" t="s">
        <v>509</v>
      </c>
    </row>
    <row r="14" spans="10:22" x14ac:dyDescent="0.25">
      <c r="P14" s="14" t="s">
        <v>510</v>
      </c>
      <c r="Q14" t="s">
        <v>511</v>
      </c>
    </row>
    <row r="15" spans="10:22" x14ac:dyDescent="0.25">
      <c r="J15" s="14" t="s">
        <v>512</v>
      </c>
      <c r="K15" s="80">
        <v>0</v>
      </c>
      <c r="L15" t="s">
        <v>513</v>
      </c>
      <c r="P15" s="14" t="s">
        <v>514</v>
      </c>
      <c r="Q15" t="s">
        <v>515</v>
      </c>
    </row>
    <row r="16" spans="10:22" x14ac:dyDescent="0.25">
      <c r="J16" s="32" t="s">
        <v>516</v>
      </c>
      <c r="K16" s="80">
        <v>0</v>
      </c>
      <c r="P16" s="14" t="s">
        <v>517</v>
      </c>
      <c r="Q16" t="s">
        <v>518</v>
      </c>
    </row>
    <row r="17" spans="10:29" x14ac:dyDescent="0.25">
      <c r="J17" s="14" t="s">
        <v>519</v>
      </c>
      <c r="K17" s="80">
        <v>0</v>
      </c>
      <c r="P17" s="14" t="s">
        <v>520</v>
      </c>
      <c r="Q17" t="s">
        <v>521</v>
      </c>
    </row>
    <row r="18" spans="10:29" x14ac:dyDescent="0.25">
      <c r="J18" s="14" t="s">
        <v>522</v>
      </c>
      <c r="K18" s="80">
        <v>20</v>
      </c>
      <c r="P18" s="14">
        <v>0</v>
      </c>
      <c r="Q18" t="s">
        <v>523</v>
      </c>
    </row>
    <row r="19" spans="10:29" x14ac:dyDescent="0.25">
      <c r="J19" s="14" t="s">
        <v>524</v>
      </c>
      <c r="K19" s="80"/>
    </row>
    <row r="20" spans="10:29" x14ac:dyDescent="0.25">
      <c r="J20" s="14" t="s">
        <v>525</v>
      </c>
      <c r="K20" s="80"/>
    </row>
    <row r="21" spans="10:29" x14ac:dyDescent="0.25">
      <c r="J21" s="14" t="s">
        <v>526</v>
      </c>
      <c r="K21" s="80"/>
    </row>
    <row r="22" spans="10:29" x14ac:dyDescent="0.25">
      <c r="S22" s="2" t="s">
        <v>527</v>
      </c>
      <c r="T22" s="2"/>
      <c r="U22" s="2"/>
    </row>
    <row r="23" spans="10:29" x14ac:dyDescent="0.25">
      <c r="T23" s="169" t="s">
        <v>528</v>
      </c>
      <c r="U23" s="169" t="s">
        <v>51</v>
      </c>
      <c r="V23" s="169" t="s">
        <v>529</v>
      </c>
      <c r="W23" s="169" t="s">
        <v>530</v>
      </c>
      <c r="X23" s="169" t="s">
        <v>531</v>
      </c>
      <c r="Y23" s="169" t="s">
        <v>532</v>
      </c>
      <c r="Z23" s="169" t="s">
        <v>533</v>
      </c>
      <c r="AA23" s="169" t="s">
        <v>534</v>
      </c>
      <c r="AB23" s="169" t="s">
        <v>535</v>
      </c>
      <c r="AC23" s="169" t="s">
        <v>536</v>
      </c>
    </row>
    <row r="24" spans="10:29" x14ac:dyDescent="0.25">
      <c r="S24" s="171">
        <v>1</v>
      </c>
      <c r="T24" s="171">
        <f>'Alim -Surf'!D34</f>
        <v>4</v>
      </c>
      <c r="U24" s="171">
        <f>'Alim -Surf'!E34</f>
        <v>2.5</v>
      </c>
      <c r="V24" s="171" t="str">
        <f>IF(T24=0,0,VLOOKUP(T24,[1]Cult!$A$7:$H$76,8))</f>
        <v>ME</v>
      </c>
      <c r="W24" s="171">
        <f>IF(V24="ME",U24,0)</f>
        <v>2.5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28</v>
      </c>
      <c r="U25" s="171">
        <f>'Alim -Surf'!E35</f>
        <v>3.6</v>
      </c>
      <c r="V25" s="171" t="str">
        <f>IF(T25=0,0,VLOOKUP(T25,[1]Cult!$A$7:$H$76,8))</f>
        <v>FL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0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3.6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0</v>
      </c>
      <c r="U26" s="171">
        <f>'Alim -Surf'!E36</f>
        <v>0</v>
      </c>
      <c r="V26" s="171">
        <f>IF(T26=0,0,VLOOKUP(T26,[1]Cult!$A$7:$H$76,8))</f>
        <v>0</v>
      </c>
      <c r="W26" s="171">
        <f t="shared" si="0"/>
        <v>0</v>
      </c>
      <c r="X26" s="171">
        <f t="shared" si="1"/>
        <v>0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537</v>
      </c>
      <c r="S27" s="171">
        <v>4</v>
      </c>
      <c r="T27" s="171">
        <f>'Alim -Surf'!D37</f>
        <v>0</v>
      </c>
      <c r="U27" s="171">
        <f>'Alim -Surf'!E37</f>
        <v>0</v>
      </c>
      <c r="V27" s="171">
        <f>IF(T27=0,0,VLOOKUP(T27,[1]Cult!$A$7:$H$76,8))</f>
        <v>0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0</v>
      </c>
      <c r="AC27" s="171">
        <f t="shared" si="6"/>
        <v>0</v>
      </c>
    </row>
    <row r="28" spans="10:29" x14ac:dyDescent="0.25">
      <c r="J28" s="14" t="s">
        <v>538</v>
      </c>
      <c r="K28" s="80">
        <v>20.2</v>
      </c>
      <c r="L28" t="s">
        <v>51</v>
      </c>
      <c r="M28" s="30">
        <f>U228</f>
        <v>20.3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539</v>
      </c>
      <c r="K29" s="80">
        <v>7.5</v>
      </c>
      <c r="L29" t="s">
        <v>51</v>
      </c>
      <c r="M29" s="30">
        <f>V228</f>
        <v>20.3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540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541</v>
      </c>
      <c r="K31" s="80">
        <v>0</v>
      </c>
      <c r="L31" t="s">
        <v>443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542</v>
      </c>
      <c r="K32" s="171">
        <f>$AB$34</f>
        <v>3.6</v>
      </c>
      <c r="M32" t="s">
        <v>543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544</v>
      </c>
      <c r="K33" s="171">
        <f>SUM($K$34:$K$39)</f>
        <v>2.5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2.5</v>
      </c>
      <c r="S34" s="62" t="s">
        <v>13</v>
      </c>
      <c r="T34" s="46"/>
      <c r="U34" s="62">
        <f>SUM(U24:U33)</f>
        <v>6.1</v>
      </c>
      <c r="V34" s="62"/>
      <c r="W34" s="62">
        <f t="shared" ref="W34:AA34" si="7">SUM(W24:W33)</f>
        <v>2.5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3.6</v>
      </c>
      <c r="AC34" s="62">
        <f>SUM(AC24:AC33)</f>
        <v>0</v>
      </c>
    </row>
    <row r="35" spans="10:132" x14ac:dyDescent="0.25">
      <c r="J35" s="14" t="s">
        <v>545</v>
      </c>
      <c r="K35" s="171">
        <f>$X$34</f>
        <v>0</v>
      </c>
    </row>
    <row r="36" spans="10:132" x14ac:dyDescent="0.25">
      <c r="J36" s="14" t="s">
        <v>546</v>
      </c>
      <c r="K36" s="171">
        <f>$Y$34</f>
        <v>0</v>
      </c>
    </row>
    <row r="37" spans="10:132" x14ac:dyDescent="0.25">
      <c r="J37" s="14" t="s">
        <v>547</v>
      </c>
      <c r="K37" s="171">
        <f>$Z$34</f>
        <v>0</v>
      </c>
    </row>
    <row r="38" spans="10:132" x14ac:dyDescent="0.25">
      <c r="J38" s="14" t="s">
        <v>548</v>
      </c>
      <c r="K38" s="171">
        <f>$AA$34</f>
        <v>0</v>
      </c>
    </row>
    <row r="39" spans="10:132" x14ac:dyDescent="0.25">
      <c r="J39" s="14" t="s">
        <v>549</v>
      </c>
      <c r="K39" s="171">
        <f>$AC$34</f>
        <v>0</v>
      </c>
    </row>
    <row r="40" spans="10:132" x14ac:dyDescent="0.25">
      <c r="J40" s="14" t="s">
        <v>550</v>
      </c>
      <c r="K40" s="171">
        <f>AC228</f>
        <v>4.5</v>
      </c>
    </row>
    <row r="41" spans="10:132" x14ac:dyDescent="0.25">
      <c r="J41" s="14" t="s">
        <v>551</v>
      </c>
      <c r="K41" s="171">
        <f>AD228</f>
        <v>20.399999999999999</v>
      </c>
    </row>
    <row r="42" spans="10:132" x14ac:dyDescent="0.25">
      <c r="J42" s="14" t="s">
        <v>552</v>
      </c>
      <c r="K42" s="171">
        <f>AA228</f>
        <v>0</v>
      </c>
    </row>
    <row r="43" spans="10:132" x14ac:dyDescent="0.25">
      <c r="J43" s="14" t="s">
        <v>553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554</v>
      </c>
      <c r="K48" s="171">
        <f>+K33+K41+K40</f>
        <v>27.4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476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556</v>
      </c>
      <c r="K51" s="1"/>
      <c r="M51">
        <v>1</v>
      </c>
      <c r="N51" t="s">
        <v>479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558</v>
      </c>
      <c r="K53" s="171" t="str">
        <f>Troupeau!B3</f>
        <v>BV</v>
      </c>
      <c r="L53" t="s">
        <v>559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562</v>
      </c>
      <c r="K56" s="172">
        <v>1</v>
      </c>
      <c r="N56" t="s">
        <v>563</v>
      </c>
      <c r="P56" t="s">
        <v>564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565</v>
      </c>
      <c r="K57" s="80" t="s">
        <v>564</v>
      </c>
      <c r="N57" t="s">
        <v>566</v>
      </c>
      <c r="P57" t="s">
        <v>567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568</v>
      </c>
      <c r="K58" s="1">
        <v>1</v>
      </c>
      <c r="P58" t="s">
        <v>569</v>
      </c>
    </row>
    <row r="59" spans="10:132" x14ac:dyDescent="0.25">
      <c r="J59" s="14" t="s">
        <v>570</v>
      </c>
      <c r="K59" s="1">
        <v>0</v>
      </c>
      <c r="P59" t="s">
        <v>571</v>
      </c>
    </row>
    <row r="60" spans="10:132" x14ac:dyDescent="0.25">
      <c r="J60" s="40" t="s">
        <v>572</v>
      </c>
      <c r="K60" s="171">
        <f>Troupeau!C3</f>
        <v>0</v>
      </c>
      <c r="L60" t="s">
        <v>573</v>
      </c>
      <c r="P60" t="s">
        <v>574</v>
      </c>
    </row>
    <row r="61" spans="10:132" x14ac:dyDescent="0.25">
      <c r="J61" s="14" t="s">
        <v>575</v>
      </c>
      <c r="K61" s="172"/>
      <c r="L61" s="30" t="str">
        <f>IF(COUNTIF(CdTrp2!B76:Y85,5)&gt;0, "OUI", "NON")</f>
        <v>NON</v>
      </c>
      <c r="P61" t="s">
        <v>576</v>
      </c>
    </row>
    <row r="62" spans="10:132" x14ac:dyDescent="0.25">
      <c r="J62" s="14" t="s">
        <v>577</v>
      </c>
      <c r="K62" s="80"/>
    </row>
    <row r="63" spans="10:132" x14ac:dyDescent="0.25">
      <c r="J63"/>
      <c r="K63"/>
    </row>
    <row r="64" spans="10:132" x14ac:dyDescent="0.25">
      <c r="J64" s="14" t="s">
        <v>578</v>
      </c>
      <c r="K64" s="80"/>
    </row>
    <row r="65" spans="10:22" x14ac:dyDescent="0.25">
      <c r="J65" s="40" t="s">
        <v>579</v>
      </c>
      <c r="K65" s="171">
        <f>Troupeau!D3</f>
        <v>0</v>
      </c>
      <c r="L65" t="s">
        <v>580</v>
      </c>
    </row>
    <row r="66" spans="10:22" x14ac:dyDescent="0.25">
      <c r="J66" s="14" t="s">
        <v>581</v>
      </c>
      <c r="K66" s="80"/>
      <c r="L66" s="30" t="str">
        <f>IF(COUNTIF(CdTrp3!B76:Y85,5)&gt;0, "OUI", "NON")</f>
        <v>NON</v>
      </c>
    </row>
    <row r="67" spans="10:22" x14ac:dyDescent="0.25">
      <c r="J67" s="14" t="s">
        <v>582</v>
      </c>
      <c r="K67" s="80"/>
    </row>
    <row r="68" spans="10:22" x14ac:dyDescent="0.25">
      <c r="J68"/>
      <c r="K68"/>
    </row>
    <row r="69" spans="10:22" x14ac:dyDescent="0.25">
      <c r="J69" s="14" t="s">
        <v>583</v>
      </c>
      <c r="K69" s="80"/>
    </row>
    <row r="70" spans="10:22" x14ac:dyDescent="0.25">
      <c r="J70" s="14" t="s">
        <v>584</v>
      </c>
      <c r="K70" s="171">
        <f>IF(K53="OL",0,K54*K55)</f>
        <v>0</v>
      </c>
    </row>
    <row r="71" spans="10:22" x14ac:dyDescent="0.25">
      <c r="J71" s="14" t="s">
        <v>585</v>
      </c>
      <c r="K71" s="171">
        <f>IF(K60="OL",0,K61*K62)</f>
        <v>0</v>
      </c>
    </row>
    <row r="72" spans="10:22" x14ac:dyDescent="0.25">
      <c r="J72" s="14" t="s">
        <v>586</v>
      </c>
      <c r="K72" s="171">
        <f>IF(K65="OL",0,K66*K67)</f>
        <v>0</v>
      </c>
    </row>
    <row r="73" spans="10:22" x14ac:dyDescent="0.25">
      <c r="J73" s="14" t="s">
        <v>587</v>
      </c>
      <c r="K73" s="171">
        <f>SUM(K70:K72)</f>
        <v>0</v>
      </c>
    </row>
    <row r="74" spans="10:22" x14ac:dyDescent="0.25">
      <c r="J74" s="40" t="s">
        <v>588</v>
      </c>
      <c r="K74"/>
    </row>
    <row r="75" spans="10:22" x14ac:dyDescent="0.25">
      <c r="J75" s="14" t="s">
        <v>558</v>
      </c>
      <c r="K75" s="171" t="str">
        <f>Troupeau!B3</f>
        <v>BV</v>
      </c>
      <c r="L75" t="s">
        <v>589</v>
      </c>
      <c r="R75">
        <v>0</v>
      </c>
      <c r="S75" t="s">
        <v>590</v>
      </c>
      <c r="V75" s="14" t="s">
        <v>591</v>
      </c>
    </row>
    <row r="76" spans="10:22" x14ac:dyDescent="0.25">
      <c r="J76" s="14" t="s">
        <v>592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593</v>
      </c>
    </row>
    <row r="77" spans="10:22" x14ac:dyDescent="0.25">
      <c r="J77" s="14" t="s">
        <v>594</v>
      </c>
      <c r="K77" s="80"/>
      <c r="R77">
        <v>2</v>
      </c>
      <c r="U77">
        <v>2</v>
      </c>
      <c r="V77" t="s">
        <v>595</v>
      </c>
    </row>
    <row r="78" spans="10:22" x14ac:dyDescent="0.25">
      <c r="J78" s="40" t="s">
        <v>572</v>
      </c>
      <c r="K78" s="171">
        <f>Troupeau!C3</f>
        <v>0</v>
      </c>
      <c r="L78" t="s">
        <v>596</v>
      </c>
      <c r="R78">
        <v>3</v>
      </c>
    </row>
    <row r="79" spans="10:22" x14ac:dyDescent="0.25">
      <c r="J79" s="14" t="s">
        <v>597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598</v>
      </c>
      <c r="K80" s="80"/>
      <c r="R80">
        <v>5</v>
      </c>
    </row>
    <row r="81" spans="9:21" x14ac:dyDescent="0.25">
      <c r="J81" s="40" t="s">
        <v>579</v>
      </c>
      <c r="K81" s="171">
        <f>Troupeau!D3</f>
        <v>0</v>
      </c>
      <c r="L81" t="s">
        <v>599</v>
      </c>
      <c r="U81" s="43" t="s">
        <v>600</v>
      </c>
    </row>
    <row r="82" spans="9:21" x14ac:dyDescent="0.25">
      <c r="J82" s="14" t="s">
        <v>601</v>
      </c>
      <c r="K82" s="80"/>
      <c r="L82" s="30" t="str">
        <f>IF(COUNTIF(CdTrp3!B76:Y85,4)&gt;0, "OUI", "NON")</f>
        <v>NON</v>
      </c>
      <c r="Q82" s="43" t="s">
        <v>602</v>
      </c>
      <c r="T82">
        <v>0</v>
      </c>
      <c r="U82" t="s">
        <v>603</v>
      </c>
    </row>
    <row r="83" spans="9:21" x14ac:dyDescent="0.25">
      <c r="J83" s="14" t="s">
        <v>604</v>
      </c>
      <c r="K83" s="80"/>
      <c r="P83">
        <v>1</v>
      </c>
      <c r="Q83" t="s">
        <v>605</v>
      </c>
      <c r="T83">
        <v>1</v>
      </c>
      <c r="U83" t="s">
        <v>606</v>
      </c>
    </row>
    <row r="84" spans="9:21" x14ac:dyDescent="0.25">
      <c r="J84" s="40" t="s">
        <v>591</v>
      </c>
      <c r="K84" s="173"/>
      <c r="L84" t="s">
        <v>607</v>
      </c>
      <c r="P84">
        <v>2</v>
      </c>
      <c r="Q84" t="s">
        <v>608</v>
      </c>
      <c r="T84">
        <v>2</v>
      </c>
      <c r="U84" t="s">
        <v>609</v>
      </c>
    </row>
    <row r="85" spans="9:21" x14ac:dyDescent="0.25">
      <c r="K85"/>
      <c r="Q85" s="43" t="s">
        <v>610</v>
      </c>
      <c r="U85" s="43" t="s">
        <v>611</v>
      </c>
    </row>
    <row r="86" spans="9:21" x14ac:dyDescent="0.25">
      <c r="J86" s="40" t="s">
        <v>612</v>
      </c>
      <c r="P86">
        <v>1</v>
      </c>
      <c r="Q86" t="s">
        <v>613</v>
      </c>
      <c r="T86">
        <v>1</v>
      </c>
      <c r="U86" t="s">
        <v>603</v>
      </c>
    </row>
    <row r="87" spans="9:21" x14ac:dyDescent="0.25">
      <c r="J87" s="14" t="s">
        <v>614</v>
      </c>
      <c r="K87" s="80">
        <v>5</v>
      </c>
      <c r="P87">
        <v>2</v>
      </c>
      <c r="Q87" t="s">
        <v>615</v>
      </c>
      <c r="T87">
        <v>2</v>
      </c>
      <c r="U87" t="s">
        <v>616</v>
      </c>
    </row>
    <row r="88" spans="9:21" x14ac:dyDescent="0.25">
      <c r="J88" s="14" t="s">
        <v>602</v>
      </c>
      <c r="K88" s="80"/>
      <c r="P88">
        <v>3</v>
      </c>
      <c r="Q88" t="s">
        <v>617</v>
      </c>
      <c r="T88">
        <v>3</v>
      </c>
      <c r="U88" t="s">
        <v>618</v>
      </c>
    </row>
    <row r="89" spans="9:21" x14ac:dyDescent="0.25">
      <c r="J89" s="14" t="s">
        <v>619</v>
      </c>
      <c r="K89" s="80"/>
      <c r="T89">
        <v>4</v>
      </c>
      <c r="U89" t="s">
        <v>620</v>
      </c>
    </row>
    <row r="90" spans="9:21" x14ac:dyDescent="0.25">
      <c r="J90" s="14" t="s">
        <v>619</v>
      </c>
      <c r="K90" s="80"/>
    </row>
    <row r="91" spans="9:21" x14ac:dyDescent="0.25">
      <c r="J91" s="14" t="s">
        <v>600</v>
      </c>
      <c r="K91" s="80"/>
    </row>
    <row r="92" spans="9:21" x14ac:dyDescent="0.25">
      <c r="J92"/>
      <c r="K92"/>
    </row>
    <row r="93" spans="9:21" x14ac:dyDescent="0.25">
      <c r="J93" s="14" t="s">
        <v>621</v>
      </c>
      <c r="K93" s="80"/>
    </row>
    <row r="94" spans="9:21" x14ac:dyDescent="0.25">
      <c r="J94" s="14" t="s">
        <v>622</v>
      </c>
      <c r="K94" s="80"/>
      <c r="L94" t="s">
        <v>623</v>
      </c>
    </row>
    <row r="95" spans="9:21" x14ac:dyDescent="0.25">
      <c r="J95" s="14" t="s">
        <v>624</v>
      </c>
      <c r="L95" t="s">
        <v>625</v>
      </c>
      <c r="Q95" t="s">
        <v>626</v>
      </c>
    </row>
    <row r="96" spans="9:21" x14ac:dyDescent="0.25">
      <c r="I96" t="s">
        <v>627</v>
      </c>
      <c r="J96" s="14" t="s">
        <v>225</v>
      </c>
      <c r="K96" s="80" t="s">
        <v>628</v>
      </c>
      <c r="L96" s="30" t="str">
        <f>CdTrp1!A15</f>
        <v>Vaches lots principal</v>
      </c>
      <c r="Q96" t="s">
        <v>628</v>
      </c>
    </row>
    <row r="97" spans="9:17" x14ac:dyDescent="0.25">
      <c r="J97" s="14" t="s">
        <v>154</v>
      </c>
      <c r="K97" s="80" t="s">
        <v>629</v>
      </c>
      <c r="L97" s="30" t="str">
        <f>CdTrp1!A16</f>
        <v>Génisses de renouvellement</v>
      </c>
      <c r="Q97" t="s">
        <v>629</v>
      </c>
    </row>
    <row r="98" spans="9:17" x14ac:dyDescent="0.25">
      <c r="J98" s="14" t="s">
        <v>155</v>
      </c>
      <c r="K98" s="80" t="s">
        <v>629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629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630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631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632</v>
      </c>
      <c r="K127" s="80"/>
      <c r="L127" t="s">
        <v>633</v>
      </c>
    </row>
    <row r="128" spans="9:12" x14ac:dyDescent="0.25">
      <c r="K128"/>
    </row>
    <row r="129" spans="10:15" x14ac:dyDescent="0.25">
      <c r="J129" s="14" t="s">
        <v>634</v>
      </c>
      <c r="K129" s="80"/>
      <c r="L129" t="s">
        <v>635</v>
      </c>
      <c r="N129">
        <v>0</v>
      </c>
      <c r="O129" t="s">
        <v>636</v>
      </c>
    </row>
    <row r="130" spans="10:15" x14ac:dyDescent="0.25">
      <c r="J130"/>
      <c r="K130"/>
      <c r="N130">
        <v>1</v>
      </c>
      <c r="O130" t="s">
        <v>637</v>
      </c>
    </row>
    <row r="161" spans="17:41" x14ac:dyDescent="0.25">
      <c r="R161" s="2" t="s">
        <v>638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  <c r="AL163" s="5"/>
    </row>
    <row r="164" spans="17:41" x14ac:dyDescent="0.25">
      <c r="Q164">
        <v>1</v>
      </c>
      <c r="R164" s="171">
        <f>'Alim -Surf'!Q7</f>
        <v>5</v>
      </c>
      <c r="S164" s="171">
        <f>'Alim -Surf'!R7</f>
        <v>7.8</v>
      </c>
      <c r="T164" s="171">
        <f>VLOOKUP($R164,[1]MEP!$A$4:$M$300,13)</f>
        <v>2</v>
      </c>
      <c r="U164" s="171">
        <f>IF($T164&gt;0,$S164,0)</f>
        <v>7.8</v>
      </c>
      <c r="V164" s="171">
        <f>IF($T164&gt;1,$S164,0)</f>
        <v>7.8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7.8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7.8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0</v>
      </c>
      <c r="S165" s="171">
        <f>'Alim -Surf'!R8</f>
        <v>4.5999999999999996</v>
      </c>
      <c r="T165" s="171">
        <f>VLOOKUP(R165,[1]MEP!$A$4:$M$300,13)</f>
        <v>0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4.5999999999999996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4.5999999999999996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656</v>
      </c>
      <c r="AO165" s="171">
        <f>SUM(AD164:AD183)</f>
        <v>17.399999999999999</v>
      </c>
    </row>
    <row r="166" spans="17:41" x14ac:dyDescent="0.25"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657</v>
      </c>
      <c r="AO166" s="171">
        <f>SUM(AC164:AC183)</f>
        <v>4.5</v>
      </c>
    </row>
    <row r="167" spans="17:41" x14ac:dyDescent="0.25">
      <c r="Q167">
        <v>4</v>
      </c>
      <c r="R167" s="171">
        <f>'Alim -Surf'!Q10</f>
        <v>5</v>
      </c>
      <c r="S167" s="171">
        <f>'Alim -Surf'!R10</f>
        <v>5</v>
      </c>
      <c r="T167" s="171">
        <f>VLOOKUP(R167,[1]MEP!$A$4:$M$300,13)</f>
        <v>2</v>
      </c>
      <c r="U167" s="171">
        <f t="shared" si="10"/>
        <v>5</v>
      </c>
      <c r="V167" s="171">
        <f t="shared" si="11"/>
        <v>5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5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0</v>
      </c>
      <c r="AJ167" s="171">
        <f t="shared" si="20"/>
        <v>5</v>
      </c>
      <c r="AL167" s="5"/>
      <c r="AN167" s="32" t="s">
        <v>658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65</v>
      </c>
      <c r="S168" s="171">
        <f>'Alim -Surf'!R11</f>
        <v>4.5</v>
      </c>
      <c r="T168" s="171">
        <f>VLOOKUP(R168,[1]MEP!$A$4:$M$300,13)</f>
        <v>2</v>
      </c>
      <c r="U168" s="171">
        <f t="shared" si="10"/>
        <v>4.5</v>
      </c>
      <c r="V168" s="171">
        <f t="shared" si="11"/>
        <v>4.5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8"/>
        <v>0</v>
      </c>
      <c r="AB168" s="171">
        <f t="shared" si="9"/>
        <v>0</v>
      </c>
      <c r="AC168" s="171">
        <f t="shared" si="13"/>
        <v>4.5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4.5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659</v>
      </c>
      <c r="AO168" s="171">
        <f>SUM(AD186:AD205)</f>
        <v>3</v>
      </c>
    </row>
    <row r="169" spans="17:41" x14ac:dyDescent="0.25"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0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0</v>
      </c>
      <c r="AI169" s="171">
        <f t="shared" si="19"/>
        <v>0</v>
      </c>
      <c r="AJ169" s="171">
        <f t="shared" si="20"/>
        <v>0</v>
      </c>
      <c r="AL169" s="5"/>
      <c r="AN169" s="32" t="s">
        <v>660</v>
      </c>
      <c r="AO169" s="171">
        <f>SUM(AC186:AC205)</f>
        <v>0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661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662</v>
      </c>
      <c r="AO171" s="171">
        <f>'Alim -Surf'!O51</f>
        <v>3.6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10"/>
        <v>3</v>
      </c>
      <c r="V186" s="171">
        <f t="shared" si="11"/>
        <v>3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8"/>
        <v>0</v>
      </c>
      <c r="AB186" s="171">
        <f t="shared" si="9"/>
        <v>0</v>
      </c>
      <c r="AC186" s="171">
        <f t="shared" si="13"/>
        <v>0</v>
      </c>
      <c r="AD186" s="171">
        <f t="shared" si="14"/>
        <v>3</v>
      </c>
      <c r="AE186" s="171">
        <f t="shared" si="15"/>
        <v>0</v>
      </c>
      <c r="AF186" s="171">
        <f t="shared" si="16"/>
        <v>0</v>
      </c>
      <c r="AG186" s="171">
        <f t="shared" si="17"/>
        <v>0</v>
      </c>
      <c r="AH186" s="171">
        <f t="shared" si="18"/>
        <v>0</v>
      </c>
      <c r="AI186" s="171">
        <f t="shared" si="19"/>
        <v>0</v>
      </c>
      <c r="AJ186" s="171">
        <f t="shared" si="20"/>
        <v>3</v>
      </c>
      <c r="AL186" s="5"/>
    </row>
    <row r="187" spans="17:38" x14ac:dyDescent="0.25"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0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663</v>
      </c>
      <c r="R228" s="2"/>
      <c r="S228" s="62">
        <f t="shared" ref="S228" si="21">SUM(S164:S227)</f>
        <v>24.9</v>
      </c>
      <c r="U228" s="62">
        <f>SUM(U164:U227)</f>
        <v>20.3</v>
      </c>
      <c r="V228" s="62">
        <f t="shared" ref="V228:W228" si="22">SUM(V164:V227)</f>
        <v>20.3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4.5</v>
      </c>
      <c r="AD228" s="62">
        <f>SUM(AD164:AD227)</f>
        <v>20.399999999999999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4.5</v>
      </c>
      <c r="AH228" s="62">
        <f t="shared" si="24"/>
        <v>4.5999999999999996</v>
      </c>
      <c r="AI228" s="62">
        <f t="shared" si="24"/>
        <v>0</v>
      </c>
      <c r="AJ228" s="62">
        <f t="shared" si="24"/>
        <v>15.8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665</v>
      </c>
      <c r="BJ1" t="s">
        <v>666</v>
      </c>
    </row>
    <row r="2" spans="1:64" x14ac:dyDescent="0.25">
      <c r="A2" s="14" t="s">
        <v>667</v>
      </c>
      <c r="B2" t="s">
        <v>558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0</v>
      </c>
      <c r="H2" s="175">
        <f t="shared" si="0"/>
        <v>0</v>
      </c>
      <c r="I2" s="175">
        <f t="shared" si="0"/>
        <v>0</v>
      </c>
      <c r="J2" s="175">
        <f t="shared" si="0"/>
        <v>0</v>
      </c>
      <c r="K2" s="175">
        <f t="shared" si="0"/>
        <v>0</v>
      </c>
      <c r="L2" s="175">
        <f t="shared" si="0"/>
        <v>0</v>
      </c>
      <c r="M2" s="175">
        <f t="shared" si="0"/>
        <v>0</v>
      </c>
      <c r="N2" s="175">
        <f t="shared" si="0"/>
        <v>0</v>
      </c>
      <c r="O2" s="175">
        <f t="shared" si="0"/>
        <v>0</v>
      </c>
      <c r="P2" s="175">
        <f t="shared" si="0"/>
        <v>0</v>
      </c>
      <c r="Q2" s="175">
        <f t="shared" si="0"/>
        <v>0</v>
      </c>
      <c r="R2" s="175">
        <f t="shared" si="0"/>
        <v>0</v>
      </c>
      <c r="S2" s="175">
        <f t="shared" si="0"/>
        <v>0</v>
      </c>
      <c r="T2" s="175">
        <f t="shared" si="0"/>
        <v>0</v>
      </c>
      <c r="U2" s="175">
        <f t="shared" si="0"/>
        <v>0</v>
      </c>
      <c r="V2" s="175">
        <f t="shared" si="0"/>
        <v>0</v>
      </c>
      <c r="W2" s="175">
        <f t="shared" si="0"/>
        <v>0</v>
      </c>
      <c r="X2" s="175">
        <f t="shared" si="0"/>
        <v>0</v>
      </c>
      <c r="Y2" s="175">
        <f t="shared" si="0"/>
        <v>0</v>
      </c>
      <c r="Z2" s="175">
        <f t="shared" si="0"/>
        <v>0</v>
      </c>
      <c r="AH2" s="169"/>
      <c r="AP2" t="s">
        <v>668</v>
      </c>
      <c r="AQ2" t="s">
        <v>669</v>
      </c>
      <c r="AV2" t="s">
        <v>670</v>
      </c>
      <c r="AW2" t="s">
        <v>34</v>
      </c>
      <c r="AX2" t="s">
        <v>444</v>
      </c>
      <c r="AY2" t="s">
        <v>75</v>
      </c>
      <c r="AZ2" t="s">
        <v>18</v>
      </c>
      <c r="BA2" t="s">
        <v>671</v>
      </c>
      <c r="BB2" t="s">
        <v>672</v>
      </c>
      <c r="BC2" t="s">
        <v>673</v>
      </c>
      <c r="BD2" t="s">
        <v>674</v>
      </c>
      <c r="BE2" t="s">
        <v>675</v>
      </c>
      <c r="BF2" t="s">
        <v>676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677</v>
      </c>
      <c r="B3" t="s">
        <v>558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0</v>
      </c>
      <c r="H3" s="175">
        <f t="shared" si="1"/>
        <v>0</v>
      </c>
      <c r="I3" s="175">
        <f t="shared" si="1"/>
        <v>0</v>
      </c>
      <c r="J3" s="175">
        <f t="shared" si="1"/>
        <v>0</v>
      </c>
      <c r="K3" s="175">
        <f t="shared" si="1"/>
        <v>0</v>
      </c>
      <c r="L3" s="175">
        <f t="shared" si="1"/>
        <v>0</v>
      </c>
      <c r="M3" s="175">
        <f t="shared" si="1"/>
        <v>0</v>
      </c>
      <c r="N3" s="175">
        <f t="shared" si="1"/>
        <v>0</v>
      </c>
      <c r="O3" s="175">
        <f t="shared" si="1"/>
        <v>0</v>
      </c>
      <c r="P3" s="175">
        <f t="shared" si="1"/>
        <v>0</v>
      </c>
      <c r="Q3" s="175">
        <f t="shared" si="1"/>
        <v>0</v>
      </c>
      <c r="R3" s="175">
        <f t="shared" si="1"/>
        <v>0</v>
      </c>
      <c r="S3" s="175">
        <f t="shared" si="1"/>
        <v>0</v>
      </c>
      <c r="T3" s="175">
        <f t="shared" si="1"/>
        <v>0</v>
      </c>
      <c r="U3" s="175">
        <f t="shared" si="1"/>
        <v>0</v>
      </c>
      <c r="V3" s="175">
        <f t="shared" si="1"/>
        <v>0</v>
      </c>
      <c r="W3" s="175">
        <f t="shared" si="1"/>
        <v>0</v>
      </c>
      <c r="X3" s="175">
        <f t="shared" si="1"/>
        <v>0</v>
      </c>
      <c r="Y3" s="175">
        <f t="shared" si="1"/>
        <v>0</v>
      </c>
      <c r="Z3" s="175">
        <f t="shared" si="1"/>
        <v>0</v>
      </c>
      <c r="AO3" s="14" t="s">
        <v>678</v>
      </c>
      <c r="AP3" s="30">
        <f>BG31</f>
        <v>441</v>
      </c>
      <c r="AQ3">
        <f>BJ31</f>
        <v>1.6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225</v>
      </c>
      <c r="AZ3" s="30">
        <f>Parcellaire!G2</f>
        <v>9</v>
      </c>
      <c r="BA3" s="30">
        <f>ROUND(Parcellaire!S2,0)</f>
        <v>0</v>
      </c>
      <c r="BB3" s="30">
        <f>ROUND(Parcellaire!T2,0)</f>
        <v>975</v>
      </c>
      <c r="BC3" s="30">
        <f>ROUND(Parcellaire!U2,0)</f>
        <v>975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975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9</v>
      </c>
      <c r="BL3" s="171">
        <f>IF($AW3&gt;0,IF(AND($BF3="PE",$AW3=1),$AZ3,0),0)</f>
        <v>0</v>
      </c>
    </row>
    <row r="4" spans="1:64" x14ac:dyDescent="0.25">
      <c r="A4" s="14" t="s">
        <v>679</v>
      </c>
      <c r="B4" t="s">
        <v>558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680</v>
      </c>
      <c r="AP4" s="30">
        <f>SUM(BG31:BI31)</f>
        <v>4006</v>
      </c>
      <c r="AQ4">
        <f>SUM(BJ31:BL31)</f>
        <v>25.5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129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681</v>
      </c>
      <c r="B5" t="s">
        <v>558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1418</v>
      </c>
      <c r="AJ5" s="30">
        <f>MAX(C203:Z203)</f>
        <v>0</v>
      </c>
      <c r="AO5" s="14" t="s">
        <v>682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132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683</v>
      </c>
      <c r="B6" t="s">
        <v>558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684</v>
      </c>
      <c r="AP6" s="30">
        <f>BH31</f>
        <v>3565</v>
      </c>
      <c r="AQ6">
        <f>BK31</f>
        <v>23.9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310</v>
      </c>
      <c r="AZ6" s="30">
        <f>Parcellaire!G5</f>
        <v>1.4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1.4</v>
      </c>
      <c r="BL6" s="171">
        <f t="shared" si="9"/>
        <v>0</v>
      </c>
    </row>
    <row r="7" spans="1:64" x14ac:dyDescent="0.25">
      <c r="A7" s="14" t="s">
        <v>685</v>
      </c>
      <c r="B7" t="s">
        <v>558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686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0.77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687</v>
      </c>
      <c r="B8" t="s">
        <v>558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0</v>
      </c>
      <c r="H8" s="175">
        <f>(H3+H4)*[1]Protect!$B$12</f>
        <v>0</v>
      </c>
      <c r="I8" s="175">
        <f>(I3+I4)*[1]Protect!$B$12</f>
        <v>0</v>
      </c>
      <c r="J8" s="175">
        <f>(J3+J4)*[1]Protect!$B$12</f>
        <v>0</v>
      </c>
      <c r="K8" s="175">
        <f>(K3+K4)*[1]Protect!$B$12</f>
        <v>0</v>
      </c>
      <c r="L8" s="175">
        <f>(L3+L4)*[1]Protect!$B$12</f>
        <v>0</v>
      </c>
      <c r="M8" s="175">
        <f>(M3+M4)*[1]Protect!$B$12</f>
        <v>0</v>
      </c>
      <c r="N8" s="175">
        <f>(N3+N4)*[1]Protect!$B$12</f>
        <v>0</v>
      </c>
      <c r="O8" s="175">
        <f>(O3+O4)*[1]Protect!$B$12</f>
        <v>0</v>
      </c>
      <c r="P8" s="175">
        <f>(P3+P4)*[1]Protect!$B$12</f>
        <v>0</v>
      </c>
      <c r="Q8" s="175">
        <f>(Q3+Q4)*[1]Protect!$B$12</f>
        <v>0</v>
      </c>
      <c r="R8" s="175">
        <f>(R3+R4)*[1]Protect!$B$12</f>
        <v>0</v>
      </c>
      <c r="S8" s="175">
        <f>(S3+S4)*[1]Protect!$B$12</f>
        <v>0</v>
      </c>
      <c r="T8" s="175">
        <f>(T3+T4)*[1]Protect!$B$12</f>
        <v>0</v>
      </c>
      <c r="U8" s="175">
        <f>(U3+U4)*[1]Protect!$B$12</f>
        <v>0</v>
      </c>
      <c r="V8" s="175">
        <f>(V3+V4)*[1]Protect!$B$12</f>
        <v>0</v>
      </c>
      <c r="W8" s="175">
        <f>(W3+W4)*[1]Protect!$B$12</f>
        <v>0</v>
      </c>
      <c r="X8" s="175">
        <f>(X3+X4)*[1]Protect!$B$12</f>
        <v>0</v>
      </c>
      <c r="Y8" s="175">
        <f>(Y3+Y4)*[1]Protect!$B$12</f>
        <v>0</v>
      </c>
      <c r="Z8" s="175">
        <f>(Z3+Z4)*[1]Protect!$B$12</f>
        <v>0</v>
      </c>
      <c r="AI8" s="40" t="s">
        <v>688</v>
      </c>
      <c r="AJ8" s="30">
        <f>IF(Scénario!$K$87=5,2,IF(Scénario!$K$87&gt;0,MAX($C$214:$Z$214),0))</f>
        <v>2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689</v>
      </c>
      <c r="B9" t="s">
        <v>558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132</v>
      </c>
      <c r="AZ9" s="30">
        <f>Parcellaire!G8</f>
        <v>1.6</v>
      </c>
      <c r="BA9" s="30">
        <f>ROUND(Parcellaire!S8,0)</f>
        <v>0</v>
      </c>
      <c r="BB9" s="30">
        <f>ROUND(Parcellaire!T8,0)</f>
        <v>441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441</v>
      </c>
      <c r="BH9" s="171">
        <f t="shared" si="5"/>
        <v>0</v>
      </c>
      <c r="BI9" s="171">
        <f t="shared" si="6"/>
        <v>0</v>
      </c>
      <c r="BJ9" s="171">
        <f t="shared" si="7"/>
        <v>1.6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690</v>
      </c>
      <c r="B10" t="s">
        <v>558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2</v>
      </c>
      <c r="AX10" s="30" t="str">
        <f>Parcellaire!D9</f>
        <v>éloigné</v>
      </c>
      <c r="AY10" s="30">
        <f>Parcellaire!F9</f>
        <v>310</v>
      </c>
      <c r="AZ10" s="30">
        <f>Parcellaire!G9</f>
        <v>4.7300000000000004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1">
        <f t="shared" si="4"/>
        <v>0</v>
      </c>
      <c r="BH10" s="171">
        <f t="shared" si="5"/>
        <v>0</v>
      </c>
      <c r="BI10" s="171">
        <f t="shared" si="6"/>
        <v>0</v>
      </c>
      <c r="BJ10" s="171">
        <f t="shared" si="7"/>
        <v>0</v>
      </c>
      <c r="BK10" s="171">
        <f t="shared" si="8"/>
        <v>0</v>
      </c>
      <c r="BL10" s="171">
        <f t="shared" si="9"/>
        <v>0</v>
      </c>
    </row>
    <row r="11" spans="1:64" x14ac:dyDescent="0.25">
      <c r="A11" s="14" t="s">
        <v>691</v>
      </c>
      <c r="B11" t="s">
        <v>558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0</v>
      </c>
      <c r="H11" s="175">
        <f t="shared" si="13"/>
        <v>0</v>
      </c>
      <c r="I11" s="175">
        <f t="shared" si="13"/>
        <v>0</v>
      </c>
      <c r="J11" s="175">
        <f t="shared" si="13"/>
        <v>0</v>
      </c>
      <c r="K11" s="175">
        <f t="shared" si="13"/>
        <v>0</v>
      </c>
      <c r="L11" s="175">
        <f t="shared" si="13"/>
        <v>0</v>
      </c>
      <c r="M11" s="175">
        <f t="shared" si="13"/>
        <v>0</v>
      </c>
      <c r="N11" s="175">
        <f t="shared" si="13"/>
        <v>0</v>
      </c>
      <c r="O11" s="175">
        <f t="shared" si="13"/>
        <v>0</v>
      </c>
      <c r="P11" s="175">
        <f t="shared" si="13"/>
        <v>0</v>
      </c>
      <c r="Q11" s="175">
        <f t="shared" si="13"/>
        <v>0</v>
      </c>
      <c r="R11" s="175">
        <f t="shared" si="13"/>
        <v>0</v>
      </c>
      <c r="S11" s="175">
        <f t="shared" si="13"/>
        <v>0</v>
      </c>
      <c r="T11" s="175">
        <f t="shared" si="13"/>
        <v>0</v>
      </c>
      <c r="U11" s="175">
        <f t="shared" si="13"/>
        <v>0</v>
      </c>
      <c r="V11" s="175">
        <f t="shared" si="13"/>
        <v>0</v>
      </c>
      <c r="W11" s="175">
        <f t="shared" si="13"/>
        <v>0</v>
      </c>
      <c r="X11" s="175">
        <f t="shared" si="13"/>
        <v>0</v>
      </c>
      <c r="Y11" s="175">
        <f t="shared" si="13"/>
        <v>0</v>
      </c>
      <c r="Z11" s="175">
        <f t="shared" si="13"/>
        <v>0</v>
      </c>
      <c r="AB11" s="2" t="s">
        <v>692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éloigné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693</v>
      </c>
      <c r="B12" t="s">
        <v>558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694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30</v>
      </c>
      <c r="AZ12" s="30">
        <f>Parcellaire!G11</f>
        <v>1.5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PT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1.5</v>
      </c>
      <c r="BL12" s="171">
        <f t="shared" si="9"/>
        <v>0</v>
      </c>
    </row>
    <row r="13" spans="1:64" x14ac:dyDescent="0.25">
      <c r="A13" s="14" t="s">
        <v>695</v>
      </c>
      <c r="B13" t="s">
        <v>558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0</v>
      </c>
      <c r="H13" s="175">
        <f t="shared" si="14"/>
        <v>0</v>
      </c>
      <c r="I13" s="175">
        <f t="shared" si="14"/>
        <v>0</v>
      </c>
      <c r="J13" s="175">
        <f t="shared" si="14"/>
        <v>0</v>
      </c>
      <c r="K13" s="175">
        <f t="shared" si="14"/>
        <v>0</v>
      </c>
      <c r="L13" s="175">
        <f t="shared" si="14"/>
        <v>0</v>
      </c>
      <c r="M13" s="175">
        <f t="shared" si="14"/>
        <v>0</v>
      </c>
      <c r="N13" s="175">
        <f t="shared" si="14"/>
        <v>0</v>
      </c>
      <c r="O13" s="175">
        <f t="shared" si="14"/>
        <v>0</v>
      </c>
      <c r="P13" s="175">
        <f t="shared" si="14"/>
        <v>0</v>
      </c>
      <c r="Q13" s="175">
        <f t="shared" si="14"/>
        <v>0</v>
      </c>
      <c r="R13" s="175">
        <f t="shared" si="14"/>
        <v>0</v>
      </c>
      <c r="S13" s="175">
        <f t="shared" si="14"/>
        <v>0</v>
      </c>
      <c r="T13" s="175">
        <f t="shared" si="14"/>
        <v>0</v>
      </c>
      <c r="U13" s="175">
        <f t="shared" si="14"/>
        <v>0</v>
      </c>
      <c r="V13" s="175">
        <f t="shared" si="14"/>
        <v>0</v>
      </c>
      <c r="W13" s="175">
        <f t="shared" si="14"/>
        <v>0</v>
      </c>
      <c r="X13" s="175">
        <f t="shared" si="14"/>
        <v>0</v>
      </c>
      <c r="Y13" s="175">
        <f t="shared" si="14"/>
        <v>0</v>
      </c>
      <c r="Z13" s="175">
        <f t="shared" si="14"/>
        <v>0</v>
      </c>
      <c r="AC13" s="14" t="s">
        <v>696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1.3</v>
      </c>
      <c r="BA13" s="30">
        <f>ROUND(Parcellaire!S12,0)</f>
        <v>0</v>
      </c>
      <c r="BB13" s="30">
        <f>ROUND(Parcellaire!T12,0)</f>
        <v>296</v>
      </c>
      <c r="BC13" s="30">
        <f>ROUND(Parcellaire!U12,0)</f>
        <v>423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296</v>
      </c>
      <c r="BI13" s="171">
        <f t="shared" si="6"/>
        <v>0</v>
      </c>
      <c r="BJ13" s="171">
        <f t="shared" si="7"/>
        <v>0</v>
      </c>
      <c r="BK13" s="171">
        <f t="shared" si="8"/>
        <v>1.3</v>
      </c>
      <c r="BL13" s="171">
        <f t="shared" si="9"/>
        <v>0</v>
      </c>
    </row>
    <row r="14" spans="1:64" x14ac:dyDescent="0.25">
      <c r="A14" s="43" t="s">
        <v>697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698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1.7</v>
      </c>
      <c r="BA14" s="30">
        <f>ROUND(Parcellaire!S13,0)</f>
        <v>0</v>
      </c>
      <c r="BB14" s="30">
        <f>ROUND(Parcellaire!T13,0)</f>
        <v>415</v>
      </c>
      <c r="BC14" s="30">
        <f>ROUND(Parcellaire!U13,0)</f>
        <v>277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415</v>
      </c>
      <c r="BI14" s="171">
        <f t="shared" si="6"/>
        <v>0</v>
      </c>
      <c r="BJ14" s="171">
        <f t="shared" si="7"/>
        <v>0</v>
      </c>
      <c r="BK14" s="171">
        <f t="shared" si="8"/>
        <v>1.7</v>
      </c>
      <c r="BL14" s="171">
        <f t="shared" si="9"/>
        <v>0</v>
      </c>
    </row>
    <row r="15" spans="1:64" x14ac:dyDescent="0.25">
      <c r="A15" s="176" t="s">
        <v>699</v>
      </c>
      <c r="B15" t="s">
        <v>558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0</v>
      </c>
      <c r="H15" s="171">
        <f t="shared" si="15"/>
        <v>0</v>
      </c>
      <c r="I15" s="171">
        <f t="shared" si="15"/>
        <v>0</v>
      </c>
      <c r="J15" s="171">
        <f t="shared" si="15"/>
        <v>0</v>
      </c>
      <c r="K15" s="171">
        <f t="shared" si="15"/>
        <v>0</v>
      </c>
      <c r="L15" s="171">
        <f t="shared" si="15"/>
        <v>0</v>
      </c>
      <c r="M15" s="171">
        <f t="shared" si="15"/>
        <v>0</v>
      </c>
      <c r="N15" s="171">
        <f t="shared" si="15"/>
        <v>0</v>
      </c>
      <c r="O15" s="171">
        <f t="shared" si="15"/>
        <v>0</v>
      </c>
      <c r="P15" s="171">
        <f t="shared" si="15"/>
        <v>0</v>
      </c>
      <c r="Q15" s="171">
        <f t="shared" si="15"/>
        <v>0</v>
      </c>
      <c r="R15" s="171">
        <f t="shared" si="15"/>
        <v>0</v>
      </c>
      <c r="S15" s="171">
        <f t="shared" si="15"/>
        <v>0</v>
      </c>
      <c r="T15" s="171">
        <f t="shared" si="15"/>
        <v>0</v>
      </c>
      <c r="U15" s="171">
        <f t="shared" si="15"/>
        <v>0</v>
      </c>
      <c r="V15" s="171">
        <f t="shared" si="15"/>
        <v>0</v>
      </c>
      <c r="W15" s="171">
        <f t="shared" si="15"/>
        <v>0</v>
      </c>
      <c r="X15" s="171">
        <f t="shared" si="15"/>
        <v>0</v>
      </c>
      <c r="Y15" s="171">
        <f t="shared" si="15"/>
        <v>0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310</v>
      </c>
      <c r="AZ15" s="30">
        <f>Parcellaire!G14</f>
        <v>0.6</v>
      </c>
      <c r="BA15" s="30">
        <f>ROUND(Parcellaire!S14,0)</f>
        <v>0</v>
      </c>
      <c r="BB15" s="30">
        <f>ROUND(Parcellaire!T14,0)</f>
        <v>172</v>
      </c>
      <c r="BC15" s="30">
        <f>ROUND(Parcellaire!U14,0)</f>
        <v>345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1">
        <f t="shared" si="4"/>
        <v>0</v>
      </c>
      <c r="BH15" s="171">
        <f t="shared" si="5"/>
        <v>172</v>
      </c>
      <c r="BI15" s="171">
        <f t="shared" si="6"/>
        <v>0</v>
      </c>
      <c r="BJ15" s="171">
        <f t="shared" si="7"/>
        <v>0</v>
      </c>
      <c r="BK15" s="171">
        <f t="shared" si="8"/>
        <v>0.6</v>
      </c>
      <c r="BL15" s="171">
        <f t="shared" si="9"/>
        <v>0</v>
      </c>
    </row>
    <row r="16" spans="1:64" x14ac:dyDescent="0.25">
      <c r="A16" s="176" t="s">
        <v>700</v>
      </c>
      <c r="B16" t="s">
        <v>558</v>
      </c>
      <c r="C16" s="171">
        <f t="shared" ref="C16:Z16" si="16">COUNTIF(C68:C77,1)</f>
        <v>2</v>
      </c>
      <c r="D16" s="171">
        <f t="shared" si="16"/>
        <v>2</v>
      </c>
      <c r="E16" s="171">
        <f t="shared" si="16"/>
        <v>2</v>
      </c>
      <c r="F16" s="171">
        <f t="shared" si="16"/>
        <v>3</v>
      </c>
      <c r="G16" s="171">
        <f t="shared" si="16"/>
        <v>4</v>
      </c>
      <c r="H16" s="171">
        <f t="shared" si="16"/>
        <v>4</v>
      </c>
      <c r="I16" s="171">
        <f t="shared" si="16"/>
        <v>4</v>
      </c>
      <c r="J16" s="171">
        <f t="shared" si="16"/>
        <v>4</v>
      </c>
      <c r="K16" s="171">
        <f t="shared" si="16"/>
        <v>4</v>
      </c>
      <c r="L16" s="171">
        <f t="shared" si="16"/>
        <v>4</v>
      </c>
      <c r="M16" s="171">
        <f t="shared" si="16"/>
        <v>4</v>
      </c>
      <c r="N16" s="171">
        <f t="shared" si="16"/>
        <v>4</v>
      </c>
      <c r="O16" s="171">
        <f t="shared" si="16"/>
        <v>4</v>
      </c>
      <c r="P16" s="171">
        <f t="shared" si="16"/>
        <v>4</v>
      </c>
      <c r="Q16" s="171">
        <f t="shared" si="16"/>
        <v>4</v>
      </c>
      <c r="R16" s="171">
        <f t="shared" si="16"/>
        <v>4</v>
      </c>
      <c r="S16" s="171">
        <f t="shared" si="16"/>
        <v>4</v>
      </c>
      <c r="T16" s="171">
        <f t="shared" si="16"/>
        <v>4</v>
      </c>
      <c r="U16" s="171">
        <f t="shared" si="16"/>
        <v>4</v>
      </c>
      <c r="V16" s="171">
        <f t="shared" si="16"/>
        <v>4</v>
      </c>
      <c r="W16" s="171">
        <f t="shared" si="16"/>
        <v>4</v>
      </c>
      <c r="X16" s="171">
        <f t="shared" si="16"/>
        <v>4</v>
      </c>
      <c r="Y16" s="171">
        <f t="shared" si="16"/>
        <v>3</v>
      </c>
      <c r="Z16" s="171">
        <f t="shared" si="16"/>
        <v>2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proche</v>
      </c>
      <c r="AY16" s="30">
        <f>Parcellaire!F15</f>
        <v>310</v>
      </c>
      <c r="AZ16" s="30">
        <f>Parcellaire!G15</f>
        <v>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2</v>
      </c>
      <c r="BL16" s="171">
        <f t="shared" si="9"/>
        <v>0</v>
      </c>
    </row>
    <row r="17" spans="1:64" x14ac:dyDescent="0.25">
      <c r="A17" s="176" t="s">
        <v>701</v>
      </c>
      <c r="B17" t="s">
        <v>558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0</v>
      </c>
      <c r="P17" s="171">
        <f t="shared" si="17"/>
        <v>0</v>
      </c>
      <c r="Q17" s="171">
        <f t="shared" si="17"/>
        <v>0</v>
      </c>
      <c r="R17" s="171">
        <f t="shared" si="17"/>
        <v>0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702</v>
      </c>
      <c r="AD17" s="102" t="s">
        <v>703</v>
      </c>
      <c r="AE17" s="81"/>
      <c r="AF17" s="81"/>
      <c r="AH17" s="2" t="s">
        <v>704</v>
      </c>
      <c r="AK17" t="s">
        <v>705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310</v>
      </c>
      <c r="AZ17" s="30">
        <f>Parcellaire!G16</f>
        <v>1</v>
      </c>
      <c r="BA17" s="30">
        <f>ROUND(Parcellaire!S16,0)</f>
        <v>0</v>
      </c>
      <c r="BB17" s="30">
        <f>ROUND(Parcellaire!T16,0)</f>
        <v>428</v>
      </c>
      <c r="BC17" s="30">
        <f>ROUND(Parcellaire!U16,0)</f>
        <v>78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1">
        <f t="shared" si="4"/>
        <v>0</v>
      </c>
      <c r="BH17" s="171">
        <f t="shared" si="5"/>
        <v>428</v>
      </c>
      <c r="BI17" s="171">
        <f t="shared" si="6"/>
        <v>0</v>
      </c>
      <c r="BJ17" s="171">
        <f t="shared" si="7"/>
        <v>0</v>
      </c>
      <c r="BK17" s="171">
        <f t="shared" si="8"/>
        <v>1</v>
      </c>
      <c r="BL17" s="171">
        <f t="shared" si="9"/>
        <v>0</v>
      </c>
    </row>
    <row r="18" spans="1:64" x14ac:dyDescent="0.25">
      <c r="A18" s="176" t="s">
        <v>706</v>
      </c>
      <c r="B18" t="s">
        <v>558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707</v>
      </c>
      <c r="AD18" s="120" t="s">
        <v>493</v>
      </c>
      <c r="AE18" s="81" t="s">
        <v>708</v>
      </c>
      <c r="AF18" s="120" t="s">
        <v>709</v>
      </c>
      <c r="AK18" t="s">
        <v>710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129</v>
      </c>
      <c r="AZ18" s="30">
        <f>Parcellaire!G17</f>
        <v>2.2000000000000002</v>
      </c>
      <c r="BA18" s="30">
        <f>ROUND(Parcellaire!S17,0)</f>
        <v>0</v>
      </c>
      <c r="BB18" s="30">
        <f>ROUND(Parcellaire!T17,0)</f>
        <v>574</v>
      </c>
      <c r="BC18" s="30">
        <f>ROUND(Parcellaire!U17,0)</f>
        <v>230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574</v>
      </c>
      <c r="BI18" s="171">
        <f t="shared" si="6"/>
        <v>0</v>
      </c>
      <c r="BJ18" s="171">
        <f t="shared" si="7"/>
        <v>0</v>
      </c>
      <c r="BK18" s="171">
        <f t="shared" si="8"/>
        <v>2.2000000000000002</v>
      </c>
      <c r="BL18" s="171">
        <f t="shared" si="9"/>
        <v>0</v>
      </c>
    </row>
    <row r="19" spans="1:64" x14ac:dyDescent="0.25">
      <c r="A19" s="176" t="s">
        <v>711</v>
      </c>
      <c r="B19" t="s">
        <v>558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703</v>
      </c>
      <c r="AK19" s="169" t="s">
        <v>713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129</v>
      </c>
      <c r="AZ19" s="30">
        <f>Parcellaire!G18</f>
        <v>2.2000000000000002</v>
      </c>
      <c r="BA19" s="30">
        <f>ROUND(Parcellaire!S18,0)</f>
        <v>0</v>
      </c>
      <c r="BB19" s="30">
        <f>ROUND(Parcellaire!T18,0)</f>
        <v>461</v>
      </c>
      <c r="BC19" s="30">
        <f>ROUND(Parcellaire!U18,0)</f>
        <v>461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461</v>
      </c>
      <c r="BI19" s="171">
        <f t="shared" si="6"/>
        <v>0</v>
      </c>
      <c r="BJ19" s="171">
        <f t="shared" si="7"/>
        <v>0</v>
      </c>
      <c r="BK19" s="171">
        <f t="shared" si="8"/>
        <v>2.2000000000000002</v>
      </c>
      <c r="BL19" s="171">
        <f t="shared" si="9"/>
        <v>0</v>
      </c>
    </row>
    <row r="20" spans="1:64" x14ac:dyDescent="0.25">
      <c r="A20" s="176" t="s">
        <v>714</v>
      </c>
      <c r="B20" t="s">
        <v>558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716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1">
        <f t="shared" si="4"/>
        <v>0</v>
      </c>
      <c r="BH20" s="171">
        <f t="shared" si="5"/>
        <v>0</v>
      </c>
      <c r="BI20" s="171">
        <f t="shared" si="6"/>
        <v>0</v>
      </c>
      <c r="BJ20" s="171">
        <f t="shared" si="7"/>
        <v>0</v>
      </c>
      <c r="BK20" s="171">
        <f t="shared" si="8"/>
        <v>0</v>
      </c>
      <c r="BL20" s="171">
        <f t="shared" si="9"/>
        <v>0</v>
      </c>
    </row>
    <row r="21" spans="1:64" x14ac:dyDescent="0.25">
      <c r="A21" s="176" t="s">
        <v>717</v>
      </c>
      <c r="B21" t="s">
        <v>558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718</v>
      </c>
      <c r="AC21" s="14"/>
      <c r="AD21" s="64"/>
      <c r="AE21" s="64"/>
      <c r="AF21" s="64"/>
      <c r="AJ21" s="14" t="s">
        <v>719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129</v>
      </c>
      <c r="AZ21" s="30">
        <f>Parcellaire!G20</f>
        <v>1</v>
      </c>
      <c r="BA21" s="30">
        <f>ROUND(Parcellaire!S20,0)</f>
        <v>0</v>
      </c>
      <c r="BB21" s="30">
        <f>ROUND(Parcellaire!T20,0)</f>
        <v>244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244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720</v>
      </c>
      <c r="B22" t="s">
        <v>558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1">
        <f t="shared" si="4"/>
        <v>0</v>
      </c>
      <c r="BH22" s="171">
        <f t="shared" si="5"/>
        <v>0</v>
      </c>
      <c r="BI22" s="171">
        <f t="shared" si="6"/>
        <v>0</v>
      </c>
      <c r="BJ22" s="171">
        <f t="shared" si="7"/>
        <v>0</v>
      </c>
      <c r="BK22" s="171">
        <f t="shared" si="8"/>
        <v>0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0</v>
      </c>
      <c r="BL23" s="171">
        <f t="shared" si="9"/>
        <v>0</v>
      </c>
    </row>
    <row r="24" spans="1:64" x14ac:dyDescent="0.25">
      <c r="A24" s="43" t="s">
        <v>721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0</v>
      </c>
      <c r="BL24" s="171">
        <f t="shared" si="9"/>
        <v>0</v>
      </c>
    </row>
    <row r="25" spans="1:64" x14ac:dyDescent="0.25">
      <c r="A25" s="14" t="s">
        <v>722</v>
      </c>
      <c r="B25" t="s">
        <v>572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0</v>
      </c>
      <c r="BL25" s="171">
        <f t="shared" si="9"/>
        <v>0</v>
      </c>
    </row>
    <row r="26" spans="1:64" x14ac:dyDescent="0.25">
      <c r="A26" s="14" t="s">
        <v>681</v>
      </c>
      <c r="B26" t="s">
        <v>572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724</v>
      </c>
      <c r="AC26" s="14"/>
      <c r="AD26" s="169" t="s">
        <v>493</v>
      </c>
      <c r="AE26" t="s">
        <v>725</v>
      </c>
      <c r="AJ26" s="14" t="s">
        <v>666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0</v>
      </c>
      <c r="BL26" s="171">
        <f t="shared" si="9"/>
        <v>0</v>
      </c>
    </row>
    <row r="27" spans="1:64" x14ac:dyDescent="0.25">
      <c r="A27" s="14" t="s">
        <v>683</v>
      </c>
      <c r="B27" t="s">
        <v>572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0</v>
      </c>
      <c r="BL27" s="171">
        <f t="shared" si="9"/>
        <v>0</v>
      </c>
    </row>
    <row r="28" spans="1:64" x14ac:dyDescent="0.25">
      <c r="A28" s="14" t="s">
        <v>685</v>
      </c>
      <c r="B28" t="s">
        <v>572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727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0</v>
      </c>
    </row>
    <row r="29" spans="1:64" x14ac:dyDescent="0.25">
      <c r="A29" s="14" t="s">
        <v>687</v>
      </c>
      <c r="B29" t="s">
        <v>572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728</v>
      </c>
      <c r="AD29" s="171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0</v>
      </c>
    </row>
    <row r="30" spans="1:64" x14ac:dyDescent="0.25">
      <c r="A30" s="14" t="s">
        <v>689</v>
      </c>
      <c r="B30" t="s">
        <v>572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729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0</v>
      </c>
    </row>
    <row r="31" spans="1:64" x14ac:dyDescent="0.25">
      <c r="A31" s="14" t="s">
        <v>690</v>
      </c>
      <c r="B31" t="s">
        <v>572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730</v>
      </c>
      <c r="AD31" s="171">
        <f>IF(AD30=0,0,1)</f>
        <v>0</v>
      </c>
      <c r="BG31" s="62">
        <f>SUM(BG3:BG30)</f>
        <v>441</v>
      </c>
      <c r="BH31" s="62">
        <f t="shared" ref="BH31:BK31" si="26">SUM(BH3:BH30)</f>
        <v>3565</v>
      </c>
      <c r="BI31" s="62">
        <f t="shared" si="26"/>
        <v>0</v>
      </c>
      <c r="BJ31" s="62">
        <f t="shared" si="26"/>
        <v>1.6</v>
      </c>
      <c r="BK31" s="62">
        <f t="shared" si="26"/>
        <v>23.9</v>
      </c>
      <c r="BL31" s="62">
        <f>SUM(BL3:BL30)</f>
        <v>0</v>
      </c>
    </row>
    <row r="32" spans="1:64" x14ac:dyDescent="0.25">
      <c r="A32" s="14" t="s">
        <v>691</v>
      </c>
      <c r="B32" t="s">
        <v>572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731</v>
      </c>
    </row>
    <row r="33" spans="1:132" x14ac:dyDescent="0.25">
      <c r="A33" s="14" t="s">
        <v>693</v>
      </c>
      <c r="B33" t="s">
        <v>572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732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572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699</v>
      </c>
      <c r="B36" t="s">
        <v>572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700</v>
      </c>
      <c r="B37" t="s">
        <v>572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701</v>
      </c>
      <c r="B38" t="s">
        <v>572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706</v>
      </c>
      <c r="B39" t="s">
        <v>572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711</v>
      </c>
      <c r="B40" t="s">
        <v>572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714</v>
      </c>
      <c r="B41" t="s">
        <v>572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717</v>
      </c>
      <c r="B42" t="s">
        <v>572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720</v>
      </c>
      <c r="B43" t="s">
        <v>572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722</v>
      </c>
      <c r="B46" t="s">
        <v>579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681</v>
      </c>
      <c r="B47" t="s">
        <v>579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683</v>
      </c>
      <c r="B48" t="s">
        <v>579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0</v>
      </c>
      <c r="BC48" s="180">
        <f>IF(CdTrp1!I76=1,1,IF(CdTrp1!I76=2,2,IF(CdTrp1!I76=3,2,0)))</f>
        <v>0</v>
      </c>
      <c r="BD48" s="180">
        <f>IF(CdTrp1!J76=1,1,IF(CdTrp1!J76=2,2,IF(CdTrp1!J76=3,2,0)))</f>
        <v>0</v>
      </c>
      <c r="BE48" s="180">
        <f>IF(CdTrp1!K76=1,1,IF(CdTrp1!K76=2,2,IF(CdTrp1!K76=3,2,0)))</f>
        <v>0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0</v>
      </c>
      <c r="BM48" s="180">
        <f>IF(CdTrp1!S76=1,1,IF(CdTrp1!S76=2,2,IF(CdTrp1!S76=3,2,0)))</f>
        <v>0</v>
      </c>
      <c r="BN48" s="180">
        <f>IF(CdTrp1!T76=1,1,IF(CdTrp1!T76=2,2,IF(CdTrp1!T76=3,2,0)))</f>
        <v>0</v>
      </c>
      <c r="BO48" s="180">
        <f>IF(CdTrp1!U76=1,1,IF(CdTrp1!U76=2,2,IF(CdTrp1!U76=3,2,0)))</f>
        <v>0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685</v>
      </c>
      <c r="B49" t="s">
        <v>579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0</v>
      </c>
      <c r="BD49" s="180">
        <f>IF(CdTrp1!J77=1,1,IF(CdTrp1!J77=2,2,IF(CdTrp1!J77=3,2,0)))</f>
        <v>0</v>
      </c>
      <c r="BE49" s="180">
        <f>IF(CdTrp1!K77=1,1,IF(CdTrp1!K77=2,2,IF(CdTrp1!K77=3,2,0)))</f>
        <v>0</v>
      </c>
      <c r="BF49" s="180">
        <f>IF(CdTrp1!L77=1,1,IF(CdTrp1!L77=2,2,IF(CdTrp1!L77=3,2,0)))</f>
        <v>0</v>
      </c>
      <c r="BG49" s="180">
        <f>IF(CdTrp1!M77=1,1,IF(CdTrp1!M77=2,2,IF(CdTrp1!M77=3,2,0)))</f>
        <v>0</v>
      </c>
      <c r="BH49" s="180">
        <f>IF(CdTrp1!N77=1,1,IF(CdTrp1!N77=2,2,IF(CdTrp1!N77=3,2,0)))</f>
        <v>0</v>
      </c>
      <c r="BI49" s="180">
        <f>IF(CdTrp1!O77=1,1,IF(CdTrp1!O77=2,2,IF(CdTrp1!O77=3,2,0)))</f>
        <v>0</v>
      </c>
      <c r="BJ49" s="180">
        <f>IF(CdTrp1!P77=1,1,IF(CdTrp1!P77=2,2,IF(CdTrp1!P77=3,2,0)))</f>
        <v>0</v>
      </c>
      <c r="BK49" s="180">
        <f>IF(CdTrp1!Q77=1,1,IF(CdTrp1!Q77=2,2,IF(CdTrp1!Q77=3,2,0)))</f>
        <v>0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687</v>
      </c>
      <c r="B50" t="s">
        <v>579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0</v>
      </c>
      <c r="BI50" s="180">
        <f>IF(CdTrp1!O78=1,1,IF(CdTrp1!O78=2,2,IF(CdTrp1!O78=3,2,0)))</f>
        <v>0</v>
      </c>
      <c r="BJ50" s="180">
        <f>IF(CdTrp1!P78=1,1,IF(CdTrp1!P78=2,2,IF(CdTrp1!P78=3,2,0)))</f>
        <v>0</v>
      </c>
      <c r="BK50" s="180">
        <f>IF(CdTrp1!Q78=1,1,IF(CdTrp1!Q78=2,2,IF(CdTrp1!Q78=3,2,0)))</f>
        <v>0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689</v>
      </c>
      <c r="B51" t="s">
        <v>579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0</v>
      </c>
      <c r="BA51" s="180">
        <f>IF(CdTrp1!G79=1,1,IF(CdTrp1!G79=2,2,IF(CdTrp1!G79=3,2,0)))</f>
        <v>0</v>
      </c>
      <c r="BB51" s="180">
        <f>IF(CdTrp1!H79=1,1,IF(CdTrp1!H79=2,2,IF(CdTrp1!H79=3,2,0)))</f>
        <v>0</v>
      </c>
      <c r="BC51" s="180">
        <f>IF(CdTrp1!I79=1,1,IF(CdTrp1!I79=2,2,IF(CdTrp1!I79=3,2,0)))</f>
        <v>0</v>
      </c>
      <c r="BD51" s="180">
        <f>IF(CdTrp1!J79=1,1,IF(CdTrp1!J79=2,2,IF(CdTrp1!J79=3,2,0)))</f>
        <v>0</v>
      </c>
      <c r="BE51" s="180">
        <f>IF(CdTrp1!K79=1,1,IF(CdTrp1!K79=2,2,IF(CdTrp1!K79=3,2,0)))</f>
        <v>0</v>
      </c>
      <c r="BF51" s="180">
        <f>IF(CdTrp1!L79=1,1,IF(CdTrp1!L79=2,2,IF(CdTrp1!L79=3,2,0)))</f>
        <v>0</v>
      </c>
      <c r="BG51" s="180">
        <f>IF(CdTrp1!M79=1,1,IF(CdTrp1!M79=2,2,IF(CdTrp1!M79=3,2,0)))</f>
        <v>0</v>
      </c>
      <c r="BH51" s="180">
        <f>IF(CdTrp1!N79=1,1,IF(CdTrp1!N79=2,2,IF(CdTrp1!N79=3,2,0)))</f>
        <v>0</v>
      </c>
      <c r="BI51" s="180">
        <f>IF(CdTrp1!O79=1,1,IF(CdTrp1!O79=2,2,IF(CdTrp1!O79=3,2,0)))</f>
        <v>0</v>
      </c>
      <c r="BJ51" s="180">
        <f>IF(CdTrp1!P79=1,1,IF(CdTrp1!P79=2,2,IF(CdTrp1!P79=3,2,0)))</f>
        <v>0</v>
      </c>
      <c r="BK51" s="180">
        <f>IF(CdTrp1!Q79=1,1,IF(CdTrp1!Q79=2,2,IF(CdTrp1!Q79=3,2,0)))</f>
        <v>0</v>
      </c>
      <c r="BL51" s="180">
        <f>IF(CdTrp1!R79=1,1,IF(CdTrp1!R79=2,2,IF(CdTrp1!R79=3,2,0)))</f>
        <v>0</v>
      </c>
      <c r="BM51" s="180">
        <f>IF(CdTrp1!S79=1,1,IF(CdTrp1!S79=2,2,IF(CdTrp1!S79=3,2,0)))</f>
        <v>0</v>
      </c>
      <c r="BN51" s="180">
        <f>IF(CdTrp1!T79=1,1,IF(CdTrp1!T79=2,2,IF(CdTrp1!T79=3,2,0)))</f>
        <v>0</v>
      </c>
      <c r="BO51" s="180">
        <f>IF(CdTrp1!U79=1,1,IF(CdTrp1!U79=2,2,IF(CdTrp1!U79=3,2,0)))</f>
        <v>0</v>
      </c>
      <c r="BP51" s="180">
        <f>IF(CdTrp1!V79=1,1,IF(CdTrp1!V79=2,2,IF(CdTrp1!V79=3,2,0)))</f>
        <v>0</v>
      </c>
      <c r="BQ51" s="180">
        <f>IF(CdTrp1!W79=1,1,IF(CdTrp1!W79=2,2,IF(CdTrp1!W79=3,2,0)))</f>
        <v>0</v>
      </c>
      <c r="BR51" s="180">
        <f>IF(CdTrp1!X79=1,1,IF(CdTrp1!X79=2,2,IF(CdTrp1!X79=3,2,0)))</f>
        <v>0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690</v>
      </c>
      <c r="B52" t="s">
        <v>579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691</v>
      </c>
      <c r="B53" t="s">
        <v>579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693</v>
      </c>
      <c r="B54" t="s">
        <v>579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579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699</v>
      </c>
      <c r="B57" t="s">
        <v>579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700</v>
      </c>
      <c r="B58" t="s">
        <v>579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701</v>
      </c>
      <c r="B59" t="s">
        <v>579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706</v>
      </c>
      <c r="B60" t="s">
        <v>579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711</v>
      </c>
      <c r="B61" t="s">
        <v>579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714</v>
      </c>
      <c r="B62" t="s">
        <v>579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717</v>
      </c>
      <c r="B63" t="s">
        <v>579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720</v>
      </c>
      <c r="B64" t="s">
        <v>579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736</v>
      </c>
      <c r="AV67" s="170"/>
      <c r="AW67" s="170"/>
    </row>
    <row r="68" spans="1:49" x14ac:dyDescent="0.25">
      <c r="A68" s="40" t="s">
        <v>737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1</v>
      </c>
      <c r="J68" s="171">
        <f>IF($AA68=0,99,IF(J81&gt;3,CdTrp1!I76,CdTrp1!I52))</f>
        <v>1</v>
      </c>
      <c r="K68" s="171">
        <f>IF($AA68=0,99,IF(K81&gt;3,CdTrp1!J76,CdTrp1!J52))</f>
        <v>1</v>
      </c>
      <c r="L68" s="171">
        <f>IF($AA68=0,99,IF(L81&gt;3,CdTrp1!K76,CdTrp1!K52))</f>
        <v>1</v>
      </c>
      <c r="M68" s="171">
        <f>IF($AA68=0,99,IF(M81&gt;3,CdTrp1!L76,CdTrp1!L52))</f>
        <v>1</v>
      </c>
      <c r="N68" s="171">
        <f>IF($AA68=0,99,IF(N81&gt;3,CdTrp1!M76,CdTrp1!M52))</f>
        <v>1</v>
      </c>
      <c r="O68" s="171">
        <f>IF($AA68=0,99,IF(O81&gt;3,CdTrp1!N76,CdTrp1!N52))</f>
        <v>1</v>
      </c>
      <c r="P68" s="171">
        <f>IF($AA68=0,99,IF(P81&gt;3,CdTrp1!O76,CdTrp1!O52))</f>
        <v>1</v>
      </c>
      <c r="Q68" s="171">
        <f>IF($AA68=0,99,IF(Q81&gt;3,CdTrp1!P76,CdTrp1!P52))</f>
        <v>1</v>
      </c>
      <c r="R68" s="171">
        <f>IF($AA68=0,99,IF(R81&gt;3,CdTrp1!Q76,CdTrp1!Q52))</f>
        <v>1</v>
      </c>
      <c r="S68" s="171">
        <f>IF($AA68=0,99,IF(S81&gt;3,CdTrp1!R76,CdTrp1!R52))</f>
        <v>1</v>
      </c>
      <c r="T68" s="171">
        <f>IF($AA68=0,99,IF(T81&gt;3,CdTrp1!S76,CdTrp1!S52))</f>
        <v>1</v>
      </c>
      <c r="U68" s="171">
        <f>IF($AA68=0,99,IF(U81&gt;3,CdTrp1!T76,CdTrp1!T52))</f>
        <v>1</v>
      </c>
      <c r="V68" s="171">
        <f>IF($AA68=0,99,IF(V81&gt;3,CdTrp1!U76,CdTrp1!U52))</f>
        <v>1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33.193333333333335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1</v>
      </c>
      <c r="K69" s="171">
        <f>IF($AA69=0,99,IF(K82&gt;3,CdTrp1!J77,CdTrp1!J53))</f>
        <v>1</v>
      </c>
      <c r="L69" s="171">
        <f>IF($AA69=0,99,IF(L82&gt;3,CdTrp1!K77,CdTrp1!K53))</f>
        <v>1</v>
      </c>
      <c r="M69" s="171">
        <f>IF($AA69=0,99,IF(M82&gt;3,CdTrp1!L77,CdTrp1!L53))</f>
        <v>1</v>
      </c>
      <c r="N69" s="171">
        <f>IF($AA69=0,99,IF(N82&gt;3,CdTrp1!M77,CdTrp1!M53))</f>
        <v>1</v>
      </c>
      <c r="O69" s="171">
        <f>IF($AA69=0,99,IF(O82&gt;3,CdTrp1!N77,CdTrp1!N53))</f>
        <v>1</v>
      </c>
      <c r="P69" s="171">
        <f>IF($AA69=0,99,IF(P82&gt;3,CdTrp1!O77,CdTrp1!O53))</f>
        <v>1</v>
      </c>
      <c r="Q69" s="171">
        <f>IF($AA69=0,99,IF(Q82&gt;3,CdTrp1!P77,CdTrp1!P53))</f>
        <v>1</v>
      </c>
      <c r="R69" s="171">
        <f>IF($AA69=0,99,IF(R82&gt;3,CdTrp1!Q77,CdTrp1!Q53))</f>
        <v>1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24.959999999999997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1</v>
      </c>
      <c r="P70" s="171">
        <f>IF($AA70=0,99,IF(P83&gt;3,CdTrp1!O78,CdTrp1!O54))</f>
        <v>1</v>
      </c>
      <c r="Q70" s="171">
        <f>IF($AA70=0,99,IF(Q83&gt;3,CdTrp1!P78,CdTrp1!P54))</f>
        <v>1</v>
      </c>
      <c r="R70" s="171">
        <f>IF($AA70=0,99,IF(R83&gt;3,CdTrp1!Q78,CdTrp1!Q54))</f>
        <v>1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6.9333333333333345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1</v>
      </c>
      <c r="H71" s="171">
        <f>IF($AA71=0,99,IF(H84&gt;3,CdTrp1!G79,CdTrp1!G55))</f>
        <v>1</v>
      </c>
      <c r="I71" s="171">
        <f>IF($AA71=0,99,IF(I84&gt;3,CdTrp1!H79,CdTrp1!H55))</f>
        <v>1</v>
      </c>
      <c r="J71" s="171">
        <f>IF($AA71=0,99,IF(J84&gt;3,CdTrp1!I79,CdTrp1!I55))</f>
        <v>1</v>
      </c>
      <c r="K71" s="171">
        <f>IF($AA71=0,99,IF(K84&gt;3,CdTrp1!J79,CdTrp1!J55))</f>
        <v>1</v>
      </c>
      <c r="L71" s="171">
        <f>IF($AA71=0,99,IF(L84&gt;3,CdTrp1!K79,CdTrp1!K55))</f>
        <v>1</v>
      </c>
      <c r="M71" s="171">
        <f>IF($AA71=0,99,IF(M84&gt;3,CdTrp1!L79,CdTrp1!L55))</f>
        <v>1</v>
      </c>
      <c r="N71" s="171">
        <f>IF($AA71=0,99,IF(N84&gt;3,CdTrp1!M79,CdTrp1!M55))</f>
        <v>1</v>
      </c>
      <c r="O71" s="171">
        <f>IF($AA71=0,99,IF(O84&gt;3,CdTrp1!N79,CdTrp1!N55))</f>
        <v>1</v>
      </c>
      <c r="P71" s="171">
        <f>IF($AA71=0,99,IF(P84&gt;3,CdTrp1!O79,CdTrp1!O55))</f>
        <v>1</v>
      </c>
      <c r="Q71" s="171">
        <f>IF($AA71=0,99,IF(Q84&gt;3,CdTrp1!P79,CdTrp1!P55))</f>
        <v>1</v>
      </c>
      <c r="R71" s="171">
        <f>IF($AA71=0,99,IF(R84&gt;3,CdTrp1!Q79,CdTrp1!Q55))</f>
        <v>1</v>
      </c>
      <c r="S71" s="171">
        <f>IF($AA71=0,99,IF(S84&gt;3,CdTrp1!R79,CdTrp1!R55))</f>
        <v>1</v>
      </c>
      <c r="T71" s="171">
        <f>IF($AA71=0,99,IF(T84&gt;3,CdTrp1!S79,CdTrp1!S55))</f>
        <v>1</v>
      </c>
      <c r="U71" s="171">
        <f>IF($AA71=0,99,IF(U84&gt;3,CdTrp1!T79,CdTrp1!T55))</f>
        <v>1</v>
      </c>
      <c r="V71" s="171">
        <f>IF($AA71=0,99,IF(V84&gt;3,CdTrp1!U79,CdTrp1!U55))</f>
        <v>1</v>
      </c>
      <c r="W71" s="171">
        <f>IF($AA71=0,99,IF(W84&gt;3,CdTrp1!V79,CdTrp1!V55))</f>
        <v>1</v>
      </c>
      <c r="X71" s="171">
        <f>IF($AA71=0,99,IF(X84&gt;3,CdTrp1!W79,CdTrp1!W55))</f>
        <v>1</v>
      </c>
      <c r="Y71" s="171">
        <f>IF($AA71=0,99,IF(Y84&gt;3,CdTrp1!X79,CdTrp1!X55))</f>
        <v>1</v>
      </c>
      <c r="Z71" s="171">
        <f>IF($AA71=0,99,IF(Z84&gt;3,CdTrp1!Y79,CdTrp1!Y55))</f>
        <v>99</v>
      </c>
      <c r="AA71" s="180">
        <f>SUM(CdTrp1!B18:Y18)/24</f>
        <v>6.0233333333333334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738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0</v>
      </c>
      <c r="J81" s="171">
        <f>CdTrp1!I76</f>
        <v>0</v>
      </c>
      <c r="K81" s="171">
        <f>CdTrp1!J76</f>
        <v>0</v>
      </c>
      <c r="L81" s="171">
        <f>CdTrp1!K76</f>
        <v>0</v>
      </c>
      <c r="M81" s="171">
        <f>CdTrp1!L76</f>
        <v>0</v>
      </c>
      <c r="N81" s="171">
        <f>CdTrp1!M76</f>
        <v>0</v>
      </c>
      <c r="O81" s="171">
        <f>CdTrp1!N76</f>
        <v>0</v>
      </c>
      <c r="P81" s="171">
        <f>CdTrp1!O76</f>
        <v>0</v>
      </c>
      <c r="Q81" s="171">
        <f>CdTrp1!P76</f>
        <v>0</v>
      </c>
      <c r="R81" s="171">
        <f>CdTrp1!Q76</f>
        <v>0</v>
      </c>
      <c r="S81" s="171">
        <f>CdTrp1!R76</f>
        <v>0</v>
      </c>
      <c r="T81" s="171">
        <f>CdTrp1!S76</f>
        <v>0</v>
      </c>
      <c r="U81" s="171">
        <f>CdTrp1!T76</f>
        <v>0</v>
      </c>
      <c r="V81" s="171">
        <f>CdTrp1!U76</f>
        <v>0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0</v>
      </c>
      <c r="K82" s="171">
        <f>CdTrp1!J77</f>
        <v>0</v>
      </c>
      <c r="L82" s="171">
        <f>CdTrp1!K77</f>
        <v>0</v>
      </c>
      <c r="M82" s="171">
        <f>CdTrp1!L77</f>
        <v>0</v>
      </c>
      <c r="N82" s="171">
        <f>CdTrp1!M77</f>
        <v>0</v>
      </c>
      <c r="O82" s="171">
        <f>CdTrp1!N77</f>
        <v>0</v>
      </c>
      <c r="P82" s="171">
        <f>CdTrp1!O77</f>
        <v>0</v>
      </c>
      <c r="Q82" s="171">
        <f>CdTrp1!P77</f>
        <v>0</v>
      </c>
      <c r="R82" s="171">
        <f>CdTrp1!Q77</f>
        <v>0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0</v>
      </c>
      <c r="P83" s="171">
        <f>CdTrp1!O78</f>
        <v>0</v>
      </c>
      <c r="Q83" s="171">
        <f>CdTrp1!P78</f>
        <v>0</v>
      </c>
      <c r="R83" s="171">
        <f>CdTrp1!Q78</f>
        <v>0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0</v>
      </c>
      <c r="H84" s="171">
        <f>CdTrp1!G79</f>
        <v>0</v>
      </c>
      <c r="I84" s="171">
        <f>CdTrp1!H79</f>
        <v>0</v>
      </c>
      <c r="J84" s="171">
        <f>CdTrp1!I79</f>
        <v>0</v>
      </c>
      <c r="K84" s="171">
        <f>CdTrp1!J79</f>
        <v>0</v>
      </c>
      <c r="L84" s="171">
        <f>CdTrp1!K79</f>
        <v>0</v>
      </c>
      <c r="M84" s="171">
        <f>CdTrp1!L79</f>
        <v>0</v>
      </c>
      <c r="N84" s="171">
        <f>CdTrp1!M79</f>
        <v>0</v>
      </c>
      <c r="O84" s="171">
        <f>CdTrp1!N79</f>
        <v>0</v>
      </c>
      <c r="P84" s="171">
        <f>CdTrp1!O79</f>
        <v>0</v>
      </c>
      <c r="Q84" s="171">
        <f>CdTrp1!P79</f>
        <v>0</v>
      </c>
      <c r="R84" s="171">
        <f>CdTrp1!Q79</f>
        <v>0</v>
      </c>
      <c r="S84" s="171">
        <f>CdTrp1!R79</f>
        <v>0</v>
      </c>
      <c r="T84" s="171">
        <f>CdTrp1!S79</f>
        <v>0</v>
      </c>
      <c r="U84" s="171">
        <f>CdTrp1!T79</f>
        <v>0</v>
      </c>
      <c r="V84" s="171">
        <f>CdTrp1!U79</f>
        <v>0</v>
      </c>
      <c r="W84" s="171">
        <f>CdTrp1!V79</f>
        <v>0</v>
      </c>
      <c r="X84" s="171">
        <f>CdTrp1!W79</f>
        <v>0</v>
      </c>
      <c r="Y84" s="171">
        <f>CdTrp1!X79</f>
        <v>0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736</v>
      </c>
    </row>
    <row r="110" spans="1:27" x14ac:dyDescent="0.25">
      <c r="A110" s="40" t="s">
        <v>739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736</v>
      </c>
    </row>
    <row r="153" spans="1:27" x14ac:dyDescent="0.25">
      <c r="A153" s="40" t="s">
        <v>741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742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743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744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745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746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747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748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749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750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751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752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753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1417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754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755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756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757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758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759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760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761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762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763</v>
      </c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R1" s="184" t="s">
        <v>764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764</v>
      </c>
      <c r="AS2" s="40" t="s">
        <v>558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572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579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765</v>
      </c>
      <c r="B3" s="2"/>
      <c r="C3" s="2"/>
      <c r="D3" s="23"/>
      <c r="E3" s="23"/>
      <c r="AR3" s="184" t="s">
        <v>764</v>
      </c>
      <c r="AT3" s="2" t="s">
        <v>766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766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766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767</v>
      </c>
      <c r="B4" s="2"/>
      <c r="C4" s="2"/>
      <c r="D4" s="23"/>
      <c r="E4" s="23"/>
      <c r="F4" s="33"/>
      <c r="AR4" s="184" t="s">
        <v>764</v>
      </c>
      <c r="AT4" s="185" t="str">
        <f>AT26</f>
        <v>Vaches lots principal</v>
      </c>
      <c r="AU4" s="170"/>
      <c r="AV4" s="171">
        <f>CdTrp1!B15</f>
        <v>39.520000000000003</v>
      </c>
      <c r="AW4" s="171">
        <f>CdTrp1!C15</f>
        <v>39.520000000000003</v>
      </c>
      <c r="AX4" s="171">
        <f>CdTrp1!D15</f>
        <v>39.520000000000003</v>
      </c>
      <c r="AY4" s="171">
        <f>CdTrp1!E15</f>
        <v>39.520000000000003</v>
      </c>
      <c r="AZ4" s="171">
        <f>CdTrp1!F15</f>
        <v>37.44</v>
      </c>
      <c r="BA4" s="171">
        <f>CdTrp1!G15</f>
        <v>35.36</v>
      </c>
      <c r="BB4" s="171">
        <f>CdTrp1!H15</f>
        <v>33.28</v>
      </c>
      <c r="BC4" s="171">
        <f>CdTrp1!I15</f>
        <v>31.2</v>
      </c>
      <c r="BD4" s="171">
        <f>CdTrp1!J15</f>
        <v>30.16</v>
      </c>
      <c r="BE4" s="171">
        <f>CdTrp1!K15</f>
        <v>29.12</v>
      </c>
      <c r="BF4" s="171">
        <f>CdTrp1!L15</f>
        <v>28.08</v>
      </c>
      <c r="BG4" s="171">
        <f>CdTrp1!M15</f>
        <v>28.08</v>
      </c>
      <c r="BH4" s="171">
        <f>CdTrp1!N15</f>
        <v>28.08</v>
      </c>
      <c r="BI4" s="171">
        <f>CdTrp1!O15</f>
        <v>28.08</v>
      </c>
      <c r="BJ4" s="171">
        <f>CdTrp1!P15</f>
        <v>27.04</v>
      </c>
      <c r="BK4" s="171">
        <f>CdTrp1!Q15</f>
        <v>27.04</v>
      </c>
      <c r="BL4" s="171">
        <f>CdTrp1!R15</f>
        <v>28.08</v>
      </c>
      <c r="BM4" s="171">
        <f>CdTrp1!S15</f>
        <v>29.12</v>
      </c>
      <c r="BN4" s="171">
        <f>CdTrp1!T15</f>
        <v>31.2</v>
      </c>
      <c r="BO4" s="171">
        <f>CdTrp1!U15</f>
        <v>33.28</v>
      </c>
      <c r="BP4" s="171">
        <f>CdTrp1!V15</f>
        <v>36.4</v>
      </c>
      <c r="BQ4" s="171">
        <f>CdTrp1!W15</f>
        <v>38.479999999999997</v>
      </c>
      <c r="BR4" s="171">
        <f>CdTrp1!X15</f>
        <v>39.520000000000003</v>
      </c>
      <c r="BS4" s="171">
        <f>CdTrp1!Y15</f>
        <v>39.520000000000003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558</v>
      </c>
      <c r="F5" s="171">
        <f>SUM(G5:AD5)</f>
        <v>0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0</v>
      </c>
      <c r="L5" s="171">
        <f t="shared" si="0"/>
        <v>0</v>
      </c>
      <c r="M5" s="171">
        <f t="shared" si="0"/>
        <v>0</v>
      </c>
      <c r="N5" s="171">
        <f t="shared" si="0"/>
        <v>0</v>
      </c>
      <c r="O5" s="171">
        <f t="shared" si="0"/>
        <v>0</v>
      </c>
      <c r="P5" s="171">
        <f t="shared" si="0"/>
        <v>0</v>
      </c>
      <c r="Q5" s="171">
        <f t="shared" si="0"/>
        <v>0</v>
      </c>
      <c r="R5" s="171">
        <f t="shared" si="0"/>
        <v>0</v>
      </c>
      <c r="S5" s="171">
        <f t="shared" si="0"/>
        <v>0</v>
      </c>
      <c r="T5" s="171">
        <f t="shared" si="0"/>
        <v>0</v>
      </c>
      <c r="U5" s="171">
        <f t="shared" si="0"/>
        <v>0</v>
      </c>
      <c r="V5" s="171">
        <f t="shared" si="0"/>
        <v>0</v>
      </c>
      <c r="W5" s="171">
        <f t="shared" si="0"/>
        <v>0</v>
      </c>
      <c r="X5" s="171">
        <f t="shared" si="0"/>
        <v>0</v>
      </c>
      <c r="Y5" s="171">
        <f t="shared" si="0"/>
        <v>0</v>
      </c>
      <c r="Z5" s="171">
        <f t="shared" si="0"/>
        <v>0</v>
      </c>
      <c r="AA5" s="171">
        <f t="shared" si="0"/>
        <v>0</v>
      </c>
      <c r="AB5" s="171">
        <f t="shared" si="0"/>
        <v>0</v>
      </c>
      <c r="AC5" s="171">
        <f t="shared" si="0"/>
        <v>0</v>
      </c>
      <c r="AD5" s="171">
        <f t="shared" si="0"/>
        <v>0</v>
      </c>
      <c r="AR5" s="184" t="s">
        <v>764</v>
      </c>
      <c r="AT5" s="185" t="str">
        <f t="shared" ref="AT5:AT13" si="1">AT27</f>
        <v>Génisses de renouvellement</v>
      </c>
      <c r="AU5" s="170"/>
      <c r="AV5" s="171">
        <f>CdTrp1!B16</f>
        <v>24.96</v>
      </c>
      <c r="AW5" s="171">
        <f>CdTrp1!C16</f>
        <v>24.96</v>
      </c>
      <c r="AX5" s="171">
        <f>CdTrp1!D16</f>
        <v>24.96</v>
      </c>
      <c r="AY5" s="171">
        <f>CdTrp1!E16</f>
        <v>24.96</v>
      </c>
      <c r="AZ5" s="171">
        <f>CdTrp1!F16</f>
        <v>24.96</v>
      </c>
      <c r="BA5" s="171">
        <f>CdTrp1!G16</f>
        <v>24.96</v>
      </c>
      <c r="BB5" s="171">
        <f>CdTrp1!H16</f>
        <v>24.96</v>
      </c>
      <c r="BC5" s="171">
        <f>CdTrp1!I16</f>
        <v>24.96</v>
      </c>
      <c r="BD5" s="171">
        <f>CdTrp1!J16</f>
        <v>24.96</v>
      </c>
      <c r="BE5" s="171">
        <f>CdTrp1!K16</f>
        <v>24.96</v>
      </c>
      <c r="BF5" s="171">
        <f>CdTrp1!L16</f>
        <v>24.96</v>
      </c>
      <c r="BG5" s="171">
        <f>CdTrp1!M16</f>
        <v>24.96</v>
      </c>
      <c r="BH5" s="171">
        <f>CdTrp1!N16</f>
        <v>24.96</v>
      </c>
      <c r="BI5" s="171">
        <f>CdTrp1!O16</f>
        <v>24.96</v>
      </c>
      <c r="BJ5" s="171">
        <f>CdTrp1!P16</f>
        <v>24.96</v>
      </c>
      <c r="BK5" s="171">
        <f>CdTrp1!Q16</f>
        <v>24.96</v>
      </c>
      <c r="BL5" s="171">
        <f>CdTrp1!R16</f>
        <v>24.96</v>
      </c>
      <c r="BM5" s="171">
        <f>CdTrp1!S16</f>
        <v>24.96</v>
      </c>
      <c r="BN5" s="171">
        <f>CdTrp1!T16</f>
        <v>24.96</v>
      </c>
      <c r="BO5" s="171">
        <f>CdTrp1!U16</f>
        <v>24.96</v>
      </c>
      <c r="BP5" s="171">
        <f>CdTrp1!V16</f>
        <v>24.96</v>
      </c>
      <c r="BQ5" s="171">
        <f>CdTrp1!W16</f>
        <v>24.96</v>
      </c>
      <c r="BR5" s="171">
        <f>CdTrp1!X16</f>
        <v>24.96</v>
      </c>
      <c r="BS5" s="171">
        <f>CdTrp1!Y16</f>
        <v>24.96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572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764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1.04</v>
      </c>
      <c r="AZ6" s="171">
        <f>CdTrp1!F17</f>
        <v>2.08</v>
      </c>
      <c r="BA6" s="171">
        <f>CdTrp1!G17</f>
        <v>5.2</v>
      </c>
      <c r="BB6" s="171">
        <f>CdTrp1!H17</f>
        <v>8.32</v>
      </c>
      <c r="BC6" s="171">
        <f>CdTrp1!I17</f>
        <v>11.44</v>
      </c>
      <c r="BD6" s="171">
        <f>CdTrp1!J17</f>
        <v>11.44</v>
      </c>
      <c r="BE6" s="171">
        <f>CdTrp1!K17</f>
        <v>11.44</v>
      </c>
      <c r="BF6" s="171">
        <f>CdTrp1!L17</f>
        <v>12.48</v>
      </c>
      <c r="BG6" s="171">
        <f>CdTrp1!M17</f>
        <v>12.48</v>
      </c>
      <c r="BH6" s="171">
        <f>CdTrp1!N17</f>
        <v>12.48</v>
      </c>
      <c r="BI6" s="171">
        <f>CdTrp1!O17</f>
        <v>12.48</v>
      </c>
      <c r="BJ6" s="171">
        <f>CdTrp1!P17</f>
        <v>12.48</v>
      </c>
      <c r="BK6" s="171">
        <f>CdTrp1!Q17</f>
        <v>12.48</v>
      </c>
      <c r="BL6" s="171">
        <f>CdTrp1!R17</f>
        <v>11.44</v>
      </c>
      <c r="BM6" s="171">
        <f>CdTrp1!S17</f>
        <v>10.4</v>
      </c>
      <c r="BN6" s="171">
        <f>CdTrp1!T17</f>
        <v>8.32</v>
      </c>
      <c r="BO6" s="171">
        <f>CdTrp1!U17</f>
        <v>6.24</v>
      </c>
      <c r="BP6" s="171">
        <f>CdTrp1!V17</f>
        <v>3.12</v>
      </c>
      <c r="BQ6" s="171">
        <f>CdTrp1!W17</f>
        <v>1.04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579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764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2.08</v>
      </c>
      <c r="BA7" s="171">
        <f>CdTrp1!G18</f>
        <v>4.16</v>
      </c>
      <c r="BB7" s="171">
        <f>CdTrp1!H18</f>
        <v>6.24</v>
      </c>
      <c r="BC7" s="171">
        <f>CdTrp1!I18</f>
        <v>8.32</v>
      </c>
      <c r="BD7" s="171">
        <f>CdTrp1!J18</f>
        <v>9.36</v>
      </c>
      <c r="BE7" s="171">
        <f>CdTrp1!K18</f>
        <v>10.4</v>
      </c>
      <c r="BF7" s="171">
        <f>CdTrp1!L18</f>
        <v>11.44</v>
      </c>
      <c r="BG7" s="171">
        <f>CdTrp1!M18</f>
        <v>11.44</v>
      </c>
      <c r="BH7" s="171">
        <f>CdTrp1!N18</f>
        <v>11.44</v>
      </c>
      <c r="BI7" s="171">
        <f>CdTrp1!O18</f>
        <v>11.44</v>
      </c>
      <c r="BJ7" s="171">
        <f>CdTrp1!P18</f>
        <v>11.44</v>
      </c>
      <c r="BK7" s="171">
        <f>CdTrp1!Q18</f>
        <v>10.4</v>
      </c>
      <c r="BL7" s="171">
        <f>CdTrp1!R18</f>
        <v>9.36</v>
      </c>
      <c r="BM7" s="171">
        <f>CdTrp1!S18</f>
        <v>9.36</v>
      </c>
      <c r="BN7" s="171">
        <f>CdTrp1!T18</f>
        <v>6.24</v>
      </c>
      <c r="BO7" s="171">
        <f>CdTrp1!U18</f>
        <v>5.2</v>
      </c>
      <c r="BP7" s="171">
        <f>CdTrp1!V18</f>
        <v>3.12</v>
      </c>
      <c r="BQ7" s="171">
        <f>CdTrp1!W18</f>
        <v>2.08</v>
      </c>
      <c r="BR7" s="171">
        <f>CdTrp1!X18</f>
        <v>1.04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768</v>
      </c>
      <c r="B8" s="2"/>
      <c r="C8" s="2"/>
      <c r="D8" s="23"/>
      <c r="E8" s="23"/>
      <c r="AR8" s="184" t="s">
        <v>764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558</v>
      </c>
      <c r="F9" s="171">
        <f>SUM(G9:AD9)</f>
        <v>1350.9004319999999</v>
      </c>
      <c r="G9" s="30">
        <f>AV102</f>
        <v>54.737424000000004</v>
      </c>
      <c r="H9" s="30">
        <f t="shared" ref="H9:AD9" si="4">AW102</f>
        <v>54.737424000000004</v>
      </c>
      <c r="I9" s="30">
        <f t="shared" si="4"/>
        <v>54.737424000000004</v>
      </c>
      <c r="J9" s="30">
        <f t="shared" si="4"/>
        <v>54.980575999999999</v>
      </c>
      <c r="K9" s="30">
        <f t="shared" si="4"/>
        <v>55.223728000000001</v>
      </c>
      <c r="L9" s="30">
        <f t="shared" si="4"/>
        <v>55.953184</v>
      </c>
      <c r="M9" s="30">
        <f t="shared" si="4"/>
        <v>56.682639999999999</v>
      </c>
      <c r="N9" s="30">
        <f t="shared" si="4"/>
        <v>57.412095999999998</v>
      </c>
      <c r="O9" s="30">
        <f t="shared" si="4"/>
        <v>57.412096000000005</v>
      </c>
      <c r="P9" s="30">
        <f t="shared" si="4"/>
        <v>57.412096000000005</v>
      </c>
      <c r="Q9" s="30">
        <f t="shared" si="4"/>
        <v>57.655248</v>
      </c>
      <c r="R9" s="30">
        <f t="shared" si="4"/>
        <v>57.655248</v>
      </c>
      <c r="S9" s="30">
        <f t="shared" si="4"/>
        <v>57.655248</v>
      </c>
      <c r="T9" s="30">
        <f t="shared" si="4"/>
        <v>57.655248</v>
      </c>
      <c r="U9" s="30">
        <f t="shared" si="4"/>
        <v>57.412096000000005</v>
      </c>
      <c r="V9" s="30">
        <f t="shared" si="4"/>
        <v>57.168944000000003</v>
      </c>
      <c r="W9" s="30">
        <f t="shared" si="4"/>
        <v>56.925792000000001</v>
      </c>
      <c r="X9" s="30">
        <f t="shared" si="4"/>
        <v>56.925792000000001</v>
      </c>
      <c r="Y9" s="30">
        <f t="shared" si="4"/>
        <v>56.196335999999995</v>
      </c>
      <c r="Z9" s="30">
        <f t="shared" si="4"/>
        <v>55.953184</v>
      </c>
      <c r="AA9" s="30">
        <f t="shared" si="4"/>
        <v>55.466880000000003</v>
      </c>
      <c r="AB9" s="30">
        <f t="shared" si="4"/>
        <v>55.223728000000001</v>
      </c>
      <c r="AC9" s="30">
        <f t="shared" si="4"/>
        <v>54.980575999999999</v>
      </c>
      <c r="AD9" s="30">
        <f t="shared" si="4"/>
        <v>54.737424000000004</v>
      </c>
      <c r="AR9" s="184" t="s">
        <v>764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572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764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579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764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764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769</v>
      </c>
      <c r="F13" s="171">
        <f t="shared" si="5"/>
        <v>1350.9004319999999</v>
      </c>
      <c r="G13" s="30">
        <f>SUM(G5:G11)</f>
        <v>54.737424000000004</v>
      </c>
      <c r="H13" s="30">
        <f t="shared" ref="H13:AD13" si="8">SUM(H5:H11)</f>
        <v>54.737424000000004</v>
      </c>
      <c r="I13" s="30">
        <f t="shared" si="8"/>
        <v>54.737424000000004</v>
      </c>
      <c r="J13" s="30">
        <f t="shared" si="8"/>
        <v>54.980575999999999</v>
      </c>
      <c r="K13" s="30">
        <f t="shared" si="8"/>
        <v>55.223728000000001</v>
      </c>
      <c r="L13" s="30">
        <f t="shared" si="8"/>
        <v>55.953184</v>
      </c>
      <c r="M13" s="30">
        <f t="shared" si="8"/>
        <v>56.682639999999999</v>
      </c>
      <c r="N13" s="30">
        <f t="shared" si="8"/>
        <v>57.412095999999998</v>
      </c>
      <c r="O13" s="30">
        <f t="shared" si="8"/>
        <v>57.412096000000005</v>
      </c>
      <c r="P13" s="30">
        <f t="shared" si="8"/>
        <v>57.412096000000005</v>
      </c>
      <c r="Q13" s="30">
        <f t="shared" si="8"/>
        <v>57.655248</v>
      </c>
      <c r="R13" s="30">
        <f t="shared" si="8"/>
        <v>57.655248</v>
      </c>
      <c r="S13" s="30">
        <f t="shared" si="8"/>
        <v>57.655248</v>
      </c>
      <c r="T13" s="30">
        <f t="shared" si="8"/>
        <v>57.655248</v>
      </c>
      <c r="U13" s="30">
        <f t="shared" si="8"/>
        <v>57.412096000000005</v>
      </c>
      <c r="V13" s="30">
        <f t="shared" si="8"/>
        <v>57.168944000000003</v>
      </c>
      <c r="W13" s="30">
        <f t="shared" si="8"/>
        <v>56.925792000000001</v>
      </c>
      <c r="X13" s="30">
        <f t="shared" si="8"/>
        <v>56.925792000000001</v>
      </c>
      <c r="Y13" s="30">
        <f t="shared" si="8"/>
        <v>56.196335999999995</v>
      </c>
      <c r="Z13" s="30">
        <f t="shared" si="8"/>
        <v>55.953184</v>
      </c>
      <c r="AA13" s="30">
        <f t="shared" si="8"/>
        <v>55.466880000000003</v>
      </c>
      <c r="AB13" s="30">
        <f t="shared" si="8"/>
        <v>55.223728000000001</v>
      </c>
      <c r="AC13" s="30">
        <f t="shared" si="8"/>
        <v>54.980575999999999</v>
      </c>
      <c r="AD13" s="30">
        <f t="shared" si="8"/>
        <v>54.737424000000004</v>
      </c>
      <c r="AR13" s="184" t="s">
        <v>764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764</v>
      </c>
      <c r="AT14" s="2" t="s">
        <v>770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770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770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771</v>
      </c>
      <c r="B15" s="169" t="s">
        <v>772</v>
      </c>
      <c r="C15" s="169" t="s">
        <v>773</v>
      </c>
      <c r="D15" s="170" t="s">
        <v>774</v>
      </c>
      <c r="E15" s="170" t="s">
        <v>775</v>
      </c>
      <c r="F15" s="169" t="s">
        <v>776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558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777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572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579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778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558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572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579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779</v>
      </c>
      <c r="AU25" s="180"/>
      <c r="BZ25" s="187" t="s">
        <v>779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779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780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628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764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629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764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781</v>
      </c>
      <c r="B30" s="189" t="s">
        <v>782</v>
      </c>
      <c r="C30" s="189" t="s">
        <v>783</v>
      </c>
      <c r="D30" s="190"/>
      <c r="E30" s="190"/>
      <c r="AR30" s="184" t="s">
        <v>764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558</v>
      </c>
      <c r="B31" s="171">
        <f>Troupeau!B18</f>
        <v>46</v>
      </c>
      <c r="C31" s="186">
        <f>IF(B31&gt;0,VLOOKUP(Troupeau!B3,[1]Trav!$A$96:$B$99,2),0)</f>
        <v>360</v>
      </c>
      <c r="D31" s="170"/>
      <c r="E31" s="170"/>
      <c r="F31" s="171">
        <f>B31*C31/60</f>
        <v>276</v>
      </c>
      <c r="AR31" s="184" t="s">
        <v>764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572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764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579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764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784</v>
      </c>
      <c r="B34" s="189" t="s">
        <v>785</v>
      </c>
      <c r="C34" s="189" t="s">
        <v>786</v>
      </c>
      <c r="D34" s="189" t="s">
        <v>787</v>
      </c>
      <c r="E34" s="190"/>
      <c r="F34" s="33"/>
      <c r="AR34" s="184" t="s">
        <v>764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558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764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572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764</v>
      </c>
      <c r="AT36" s="2" t="s">
        <v>741</v>
      </c>
      <c r="BZ36" s="2" t="s">
        <v>741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741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579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764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3</v>
      </c>
      <c r="BC37" s="171">
        <f>IF(CdTrp1!I52=1,3,IF(CdTrp1!I52=0.5,2,IF(CdTrp1!I52=0,1,0)))</f>
        <v>3</v>
      </c>
      <c r="BD37" s="171">
        <f>IF(CdTrp1!J52=1,3,IF(CdTrp1!J52=0.5,2,IF(CdTrp1!J52=0,1,0)))</f>
        <v>3</v>
      </c>
      <c r="BE37" s="171">
        <f>IF(CdTrp1!K52=1,3,IF(CdTrp1!K52=0.5,2,IF(CdTrp1!K52=0,1,0)))</f>
        <v>3</v>
      </c>
      <c r="BF37" s="171">
        <f>IF(CdTrp1!L52=1,3,IF(CdTrp1!L52=0.5,2,IF(CdTrp1!L52=0,1,0)))</f>
        <v>3</v>
      </c>
      <c r="BG37" s="171">
        <f>IF(CdTrp1!M52=1,3,IF(CdTrp1!M52=0.5,2,IF(CdTrp1!M52=0,1,0)))</f>
        <v>3</v>
      </c>
      <c r="BH37" s="171">
        <f>IF(CdTrp1!N52=1,3,IF(CdTrp1!N52=0.5,2,IF(CdTrp1!N52=0,1,0)))</f>
        <v>3</v>
      </c>
      <c r="BI37" s="171">
        <f>IF(CdTrp1!O52=1,3,IF(CdTrp1!O52=0.5,2,IF(CdTrp1!O52=0,1,0)))</f>
        <v>3</v>
      </c>
      <c r="BJ37" s="171">
        <f>IF(CdTrp1!P52=1,3,IF(CdTrp1!P52=0.5,2,IF(CdTrp1!P52=0,1,0)))</f>
        <v>3</v>
      </c>
      <c r="BK37" s="171">
        <f>IF(CdTrp1!Q52=1,3,IF(CdTrp1!Q52=0.5,2,IF(CdTrp1!Q52=0,1,0)))</f>
        <v>3</v>
      </c>
      <c r="BL37" s="171">
        <f>IF(CdTrp1!R52=1,3,IF(CdTrp1!R52=0.5,2,IF(CdTrp1!R52=0,1,0)))</f>
        <v>3</v>
      </c>
      <c r="BM37" s="171">
        <f>IF(CdTrp1!S52=1,3,IF(CdTrp1!S52=0.5,2,IF(CdTrp1!S52=0,1,0)))</f>
        <v>3</v>
      </c>
      <c r="BN37" s="171">
        <f>IF(CdTrp1!T52=1,3,IF(CdTrp1!T52=0.5,2,IF(CdTrp1!T52=0,1,0)))</f>
        <v>3</v>
      </c>
      <c r="BO37" s="171">
        <f>IF(CdTrp1!U52=1,3,IF(CdTrp1!U52=0.5,2,IF(CdTrp1!U52=0,1,0)))</f>
        <v>3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788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789</v>
      </c>
      <c r="B38" s="191" t="s">
        <v>790</v>
      </c>
      <c r="C38" s="191" t="s">
        <v>791</v>
      </c>
      <c r="D38" s="190"/>
      <c r="E38" s="190"/>
      <c r="F38" s="33"/>
      <c r="AR38" s="184" t="s">
        <v>764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3</v>
      </c>
      <c r="BD38" s="171">
        <f>IF(CdTrp1!J53=1,3,IF(CdTrp1!J53=0.5,2,IF(CdTrp1!J53=0,1,0)))</f>
        <v>3</v>
      </c>
      <c r="BE38" s="171">
        <f>IF(CdTrp1!K53=1,3,IF(CdTrp1!K53=0.5,2,IF(CdTrp1!K53=0,1,0)))</f>
        <v>3</v>
      </c>
      <c r="BF38" s="171">
        <f>IF(CdTrp1!L53=1,3,IF(CdTrp1!L53=0.5,2,IF(CdTrp1!L53=0,1,0)))</f>
        <v>3</v>
      </c>
      <c r="BG38" s="171">
        <f>IF(CdTrp1!M53=1,3,IF(CdTrp1!M53=0.5,2,IF(CdTrp1!M53=0,1,0)))</f>
        <v>3</v>
      </c>
      <c r="BH38" s="171">
        <f>IF(CdTrp1!N53=1,3,IF(CdTrp1!N53=0.5,2,IF(CdTrp1!N53=0,1,0)))</f>
        <v>3</v>
      </c>
      <c r="BI38" s="171">
        <f>IF(CdTrp1!O53=1,3,IF(CdTrp1!O53=0.5,2,IF(CdTrp1!O53=0,1,0)))</f>
        <v>3</v>
      </c>
      <c r="BJ38" s="171">
        <f>IF(CdTrp1!P53=1,3,IF(CdTrp1!P53=0.5,2,IF(CdTrp1!P53=0,1,0)))</f>
        <v>3</v>
      </c>
      <c r="BK38" s="171">
        <f>IF(CdTrp1!Q53=1,3,IF(CdTrp1!Q53=0.5,2,IF(CdTrp1!Q53=0,1,0)))</f>
        <v>3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792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558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764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3</v>
      </c>
      <c r="BI39" s="171">
        <f>IF(CdTrp1!O54=1,3,IF(CdTrp1!O54=0.5,2,IF(CdTrp1!O54=0,1,0)))</f>
        <v>3</v>
      </c>
      <c r="BJ39" s="171">
        <f>IF(CdTrp1!P54=1,3,IF(CdTrp1!P54=0.5,2,IF(CdTrp1!P54=0,1,0)))</f>
        <v>3</v>
      </c>
      <c r="BK39" s="171">
        <f>IF(CdTrp1!Q54=1,3,IF(CdTrp1!Q54=0.5,2,IF(CdTrp1!Q54=0,1,0)))</f>
        <v>3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793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764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3</v>
      </c>
      <c r="BA40" s="171">
        <f>IF(CdTrp1!G55=1,3,IF(CdTrp1!G55=0.5,2,IF(CdTrp1!G55=0,1,0)))</f>
        <v>3</v>
      </c>
      <c r="BB40" s="171">
        <f>IF(CdTrp1!H55=1,3,IF(CdTrp1!H55=0.5,2,IF(CdTrp1!H55=0,1,0)))</f>
        <v>3</v>
      </c>
      <c r="BC40" s="171">
        <f>IF(CdTrp1!I55=1,3,IF(CdTrp1!I55=0.5,2,IF(CdTrp1!I55=0,1,0)))</f>
        <v>3</v>
      </c>
      <c r="BD40" s="171">
        <f>IF(CdTrp1!J55=1,3,IF(CdTrp1!J55=0.5,2,IF(CdTrp1!J55=0,1,0)))</f>
        <v>3</v>
      </c>
      <c r="BE40" s="171">
        <f>IF(CdTrp1!K55=1,3,IF(CdTrp1!K55=0.5,2,IF(CdTrp1!K55=0,1,0)))</f>
        <v>3</v>
      </c>
      <c r="BF40" s="171">
        <f>IF(CdTrp1!L55=1,3,IF(CdTrp1!L55=0.5,2,IF(CdTrp1!L55=0,1,0)))</f>
        <v>3</v>
      </c>
      <c r="BG40" s="171">
        <f>IF(CdTrp1!M55=1,3,IF(CdTrp1!M55=0.5,2,IF(CdTrp1!M55=0,1,0)))</f>
        <v>3</v>
      </c>
      <c r="BH40" s="171">
        <f>IF(CdTrp1!N55=1,3,IF(CdTrp1!N55=0.5,2,IF(CdTrp1!N55=0,1,0)))</f>
        <v>3</v>
      </c>
      <c r="BI40" s="171">
        <f>IF(CdTrp1!O55=1,3,IF(CdTrp1!O55=0.5,2,IF(CdTrp1!O55=0,1,0)))</f>
        <v>3</v>
      </c>
      <c r="BJ40" s="171">
        <f>IF(CdTrp1!P55=1,3,IF(CdTrp1!P55=0.5,2,IF(CdTrp1!P55=0,1,0)))</f>
        <v>3</v>
      </c>
      <c r="BK40" s="171">
        <f>IF(CdTrp1!Q55=1,3,IF(CdTrp1!Q55=0.5,2,IF(CdTrp1!Q55=0,1,0)))</f>
        <v>3</v>
      </c>
      <c r="BL40" s="171">
        <f>IF(CdTrp1!R55=1,3,IF(CdTrp1!R55=0.5,2,IF(CdTrp1!R55=0,1,0)))</f>
        <v>3</v>
      </c>
      <c r="BM40" s="171">
        <f>IF(CdTrp1!S55=1,3,IF(CdTrp1!S55=0.5,2,IF(CdTrp1!S55=0,1,0)))</f>
        <v>3</v>
      </c>
      <c r="BN40" s="171">
        <f>IF(CdTrp1!T55=1,3,IF(CdTrp1!T55=0.5,2,IF(CdTrp1!T55=0,1,0)))</f>
        <v>3</v>
      </c>
      <c r="BO40" s="171">
        <f>IF(CdTrp1!U55=1,3,IF(CdTrp1!U55=0.5,2,IF(CdTrp1!U55=0,1,0)))</f>
        <v>3</v>
      </c>
      <c r="BP40" s="171">
        <f>IF(CdTrp1!V55=1,3,IF(CdTrp1!V55=0.5,2,IF(CdTrp1!V55=0,1,0)))</f>
        <v>3</v>
      </c>
      <c r="BQ40" s="171">
        <f>IF(CdTrp1!W55=1,3,IF(CdTrp1!W55=0.5,2,IF(CdTrp1!W55=0,1,0)))</f>
        <v>3</v>
      </c>
      <c r="BR40" s="171">
        <f>IF(CdTrp1!X55=1,3,IF(CdTrp1!X55=0.5,2,IF(CdTrp1!X55=0,1,0)))</f>
        <v>3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764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794</v>
      </c>
      <c r="B42" s="2"/>
      <c r="F42" s="33"/>
      <c r="AR42" s="184" t="s">
        <v>764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558</v>
      </c>
      <c r="AR43" s="184" t="s">
        <v>764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572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764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579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764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764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764</v>
      </c>
      <c r="AT47" s="2" t="s">
        <v>795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795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795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796</v>
      </c>
      <c r="AR48" s="184" t="s">
        <v>764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0</v>
      </c>
      <c r="BC48" s="171">
        <f>IF(CdTrp1!I76=1,1,IF(CdTrp1!I76=2,2,IF(CdTrp1!I76=3,2,0)))</f>
        <v>0</v>
      </c>
      <c r="BD48" s="171">
        <f>IF(CdTrp1!J76=1,1,IF(CdTrp1!J76=2,2,IF(CdTrp1!J76=3,2,0)))</f>
        <v>0</v>
      </c>
      <c r="BE48" s="171">
        <f>IF(CdTrp1!K76=1,1,IF(CdTrp1!K76=2,2,IF(CdTrp1!K76=3,2,0)))</f>
        <v>0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0</v>
      </c>
      <c r="BM48" s="171">
        <f>IF(CdTrp1!S76=1,1,IF(CdTrp1!S76=2,2,IF(CdTrp1!S76=3,2,0)))</f>
        <v>0</v>
      </c>
      <c r="BN48" s="171">
        <f>IF(CdTrp1!T76=1,1,IF(CdTrp1!T76=2,2,IF(CdTrp1!T76=3,2,0)))</f>
        <v>0</v>
      </c>
      <c r="BO48" s="171">
        <f>IF(CdTrp1!U76=1,1,IF(CdTrp1!U76=2,2,IF(CdTrp1!U76=3,2,0)))</f>
        <v>0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797</v>
      </c>
      <c r="B49" s="169" t="s">
        <v>51</v>
      </c>
      <c r="C49" t="s">
        <v>798</v>
      </c>
      <c r="AR49" s="184" t="s">
        <v>764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0</v>
      </c>
      <c r="BD49" s="171">
        <f>IF(CdTrp1!J77=1,1,IF(CdTrp1!J77=2,2,IF(CdTrp1!J77=3,2,0)))</f>
        <v>0</v>
      </c>
      <c r="BE49" s="171">
        <f>IF(CdTrp1!K77=1,1,IF(CdTrp1!K77=2,2,IF(CdTrp1!K77=3,2,0)))</f>
        <v>0</v>
      </c>
      <c r="BF49" s="171">
        <f>IF(CdTrp1!L77=1,1,IF(CdTrp1!L77=2,2,IF(CdTrp1!L77=3,2,0)))</f>
        <v>0</v>
      </c>
      <c r="BG49" s="171">
        <f>IF(CdTrp1!M77=1,1,IF(CdTrp1!M77=2,2,IF(CdTrp1!M77=3,2,0)))</f>
        <v>0</v>
      </c>
      <c r="BH49" s="171">
        <f>IF(CdTrp1!N77=1,1,IF(CdTrp1!N77=2,2,IF(CdTrp1!N77=3,2,0)))</f>
        <v>0</v>
      </c>
      <c r="BI49" s="171">
        <f>IF(CdTrp1!O77=1,1,IF(CdTrp1!O77=2,2,IF(CdTrp1!O77=3,2,0)))</f>
        <v>0</v>
      </c>
      <c r="BJ49" s="171">
        <f>IF(CdTrp1!P77=1,1,IF(CdTrp1!P77=2,2,IF(CdTrp1!P77=3,2,0)))</f>
        <v>0</v>
      </c>
      <c r="BK49" s="171">
        <f>IF(CdTrp1!Q77=1,1,IF(CdTrp1!Q77=2,2,IF(CdTrp1!Q77=3,2,0)))</f>
        <v>0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799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800</v>
      </c>
      <c r="B50" s="171">
        <f>Scénario!K35+Scénario!K36</f>
        <v>0</v>
      </c>
      <c r="C50" s="186">
        <f>IF(B50&gt;[1]Trav!$E$116,[1]Trav!C116,[1]Trav!B116)</f>
        <v>11</v>
      </c>
      <c r="E50" s="170"/>
      <c r="F50" s="171">
        <f>ROUND(B50*C50,0)</f>
        <v>0</v>
      </c>
      <c r="AR50" s="184" t="s">
        <v>764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0</v>
      </c>
      <c r="BI50" s="171">
        <f>IF(CdTrp1!O78=1,1,IF(CdTrp1!O78=2,2,IF(CdTrp1!O78=3,2,0)))</f>
        <v>0</v>
      </c>
      <c r="BJ50" s="171">
        <f>IF(CdTrp1!P78=1,1,IF(CdTrp1!P78=2,2,IF(CdTrp1!P78=3,2,0)))</f>
        <v>0</v>
      </c>
      <c r="BK50" s="171">
        <f>IF(CdTrp1!Q78=1,1,IF(CdTrp1!Q78=2,2,IF(CdTrp1!Q78=3,2,0)))</f>
        <v>0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801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802</v>
      </c>
      <c r="B51" s="171">
        <f>Scénario!K34</f>
        <v>2.5</v>
      </c>
      <c r="C51" s="186">
        <f>IF(B51&gt;[1]Trav!E117,[1]Trav!C117,[1]Trav!B117)</f>
        <v>15.7</v>
      </c>
      <c r="E51" s="170"/>
      <c r="F51" s="171">
        <f t="shared" ref="F51:F59" si="32">ROUND(B51*C51,0)</f>
        <v>39</v>
      </c>
      <c r="AR51" s="184" t="s">
        <v>764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0</v>
      </c>
      <c r="BA51" s="171">
        <f>IF(CdTrp1!G79=1,1,IF(CdTrp1!G79=2,2,IF(CdTrp1!G79=3,2,0)))</f>
        <v>0</v>
      </c>
      <c r="BB51" s="171">
        <f>IF(CdTrp1!H79=1,1,IF(CdTrp1!H79=2,2,IF(CdTrp1!H79=3,2,0)))</f>
        <v>0</v>
      </c>
      <c r="BC51" s="171">
        <f>IF(CdTrp1!I79=1,1,IF(CdTrp1!I79=2,2,IF(CdTrp1!I79=3,2,0)))</f>
        <v>0</v>
      </c>
      <c r="BD51" s="171">
        <f>IF(CdTrp1!J79=1,1,IF(CdTrp1!J79=2,2,IF(CdTrp1!J79=3,2,0)))</f>
        <v>0</v>
      </c>
      <c r="BE51" s="171">
        <f>IF(CdTrp1!K79=1,1,IF(CdTrp1!K79=2,2,IF(CdTrp1!K79=3,2,0)))</f>
        <v>0</v>
      </c>
      <c r="BF51" s="171">
        <f>IF(CdTrp1!L79=1,1,IF(CdTrp1!L79=2,2,IF(CdTrp1!L79=3,2,0)))</f>
        <v>0</v>
      </c>
      <c r="BG51" s="171">
        <f>IF(CdTrp1!M79=1,1,IF(CdTrp1!M79=2,2,IF(CdTrp1!M79=3,2,0)))</f>
        <v>0</v>
      </c>
      <c r="BH51" s="171">
        <f>IF(CdTrp1!N79=1,1,IF(CdTrp1!N79=2,2,IF(CdTrp1!N79=3,2,0)))</f>
        <v>0</v>
      </c>
      <c r="BI51" s="171">
        <f>IF(CdTrp1!O79=1,1,IF(CdTrp1!O79=2,2,IF(CdTrp1!O79=3,2,0)))</f>
        <v>0</v>
      </c>
      <c r="BJ51" s="171">
        <f>IF(CdTrp1!P79=1,1,IF(CdTrp1!P79=2,2,IF(CdTrp1!P79=3,2,0)))</f>
        <v>0</v>
      </c>
      <c r="BK51" s="171">
        <f>IF(CdTrp1!Q79=1,1,IF(CdTrp1!Q79=2,2,IF(CdTrp1!Q79=3,2,0)))</f>
        <v>0</v>
      </c>
      <c r="BL51" s="171">
        <f>IF(CdTrp1!R79=1,1,IF(CdTrp1!R79=2,2,IF(CdTrp1!R79=3,2,0)))</f>
        <v>0</v>
      </c>
      <c r="BM51" s="171">
        <f>IF(CdTrp1!S79=1,1,IF(CdTrp1!S79=2,2,IF(CdTrp1!S79=3,2,0)))</f>
        <v>0</v>
      </c>
      <c r="BN51" s="171">
        <f>IF(CdTrp1!T79=1,1,IF(CdTrp1!T79=2,2,IF(CdTrp1!T79=3,2,0)))</f>
        <v>0</v>
      </c>
      <c r="BO51" s="171">
        <f>IF(CdTrp1!U79=1,1,IF(CdTrp1!U79=2,2,IF(CdTrp1!U79=3,2,0)))</f>
        <v>0</v>
      </c>
      <c r="BP51" s="171">
        <f>IF(CdTrp1!V79=1,1,IF(CdTrp1!V79=2,2,IF(CdTrp1!V79=3,2,0)))</f>
        <v>0</v>
      </c>
      <c r="BQ51" s="171">
        <f>IF(CdTrp1!W79=1,1,IF(CdTrp1!W79=2,2,IF(CdTrp1!W79=3,2,0)))</f>
        <v>0</v>
      </c>
      <c r="BR51" s="171">
        <f>IF(CdTrp1!X79=1,1,IF(CdTrp1!X79=2,2,IF(CdTrp1!X79=3,2,0)))</f>
        <v>0</v>
      </c>
      <c r="BS51" s="171">
        <f>IF(CdTrp1!Y79=1,1,IF(CdTrp1!Y79=2,2,IF(CdTrp1!Y79=3,2,0)))</f>
        <v>0</v>
      </c>
      <c r="BU51">
        <v>0</v>
      </c>
      <c r="BV51" t="s">
        <v>803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804</v>
      </c>
      <c r="B52" s="171">
        <f>Scénario!K40/[1]Trav!$B$124</f>
        <v>1.125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764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805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764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806</v>
      </c>
      <c r="B54" s="171">
        <f>SUM(Scénario!K40:K42)</f>
        <v>24.9</v>
      </c>
      <c r="C54" s="186">
        <f>IF(B54&gt;[1]Trav!E119,[1]Trav!C119,[1]Trav!B119)</f>
        <v>1.4</v>
      </c>
      <c r="D54"/>
      <c r="E54" s="170"/>
      <c r="F54" s="171">
        <f t="shared" si="32"/>
        <v>35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764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807</v>
      </c>
      <c r="B55" s="171">
        <f>Scénario!M28*(1-Scénario!K31/100)</f>
        <v>20.3</v>
      </c>
      <c r="C55" s="186">
        <f>IF(B55&gt;[1]Trav!E121,[1]Trav!C121,[1]Trav!B121)</f>
        <v>7.2</v>
      </c>
      <c r="D55"/>
      <c r="E55" s="170"/>
      <c r="F55" s="171">
        <f t="shared" si="32"/>
        <v>146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764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808</v>
      </c>
      <c r="B56" s="171">
        <f>Scénario!M29</f>
        <v>20.3</v>
      </c>
      <c r="C56" s="186">
        <f>IF(B56&gt;[1]Trav!E121,[1]Trav!C121,[1]Trav!B121)</f>
        <v>7.2</v>
      </c>
      <c r="D56"/>
      <c r="E56" s="170"/>
      <c r="F56" s="171">
        <f t="shared" si="32"/>
        <v>146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764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809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764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810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764</v>
      </c>
      <c r="AT58" s="40" t="s">
        <v>811</v>
      </c>
      <c r="AU58" s="14"/>
      <c r="BZ58" s="40" t="s">
        <v>811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811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812</v>
      </c>
      <c r="B59" s="175">
        <f>Scénario!K32</f>
        <v>3.6</v>
      </c>
      <c r="C59" s="186">
        <f>[1]Trav!$B$123</f>
        <v>7.2</v>
      </c>
      <c r="E59" s="170"/>
      <c r="F59" s="171">
        <f t="shared" si="32"/>
        <v>26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764</v>
      </c>
      <c r="AT59" s="14" t="s">
        <v>813</v>
      </c>
      <c r="AU59" s="30">
        <f>VALUE(CONCATENATE(Scénario!K8,Travail!AU2))</f>
        <v>32</v>
      </c>
      <c r="BZ59" s="14" t="s">
        <v>813</v>
      </c>
      <c r="CA59" s="30">
        <f>VALUE(CONCATENATE(Scénario!K8,Travail!CA2))</f>
        <v>30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813</v>
      </c>
      <c r="DD59" s="30">
        <f>VALUE(CONCATENATE(Scénario!K8,Travail!DD2))</f>
        <v>30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814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764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0</v>
      </c>
      <c r="BC60" s="171">
        <f>IF(BC15=0,0,IF(BC37=3,0,VALUE(CONCATENATE(Travail!BC26,Travail!BC37,Travail!BC48))))</f>
        <v>0</v>
      </c>
      <c r="BD60" s="171">
        <f>IF(BD15=0,0,IF(BD37=3,0,VALUE(CONCATENATE(Travail!BD26,Travail!BD37,Travail!BD48))))</f>
        <v>0</v>
      </c>
      <c r="BE60" s="171">
        <f>IF(BE15=0,0,IF(BE37=3,0,VALUE(CONCATENATE(Travail!BE26,Travail!BE37,Travail!BE48))))</f>
        <v>0</v>
      </c>
      <c r="BF60" s="171">
        <f>IF(BF15=0,0,IF(BF37=3,0,VALUE(CONCATENATE(Travail!BF26,Travail!BF37,Travail!BF48))))</f>
        <v>0</v>
      </c>
      <c r="BG60" s="171">
        <f>IF(BG15=0,0,IF(BG37=3,0,VALUE(CONCATENATE(Travail!BG26,Travail!BG37,Travail!BG48))))</f>
        <v>0</v>
      </c>
      <c r="BH60" s="171">
        <f>IF(BH15=0,0,IF(BH37=3,0,VALUE(CONCATENATE(Travail!BH26,Travail!BH37,Travail!BH48))))</f>
        <v>0</v>
      </c>
      <c r="BI60" s="171">
        <f>IF(BI15=0,0,IF(BI37=3,0,VALUE(CONCATENATE(Travail!BI26,Travail!BI37,Travail!BI48))))</f>
        <v>0</v>
      </c>
      <c r="BJ60" s="171">
        <f>IF(BJ15=0,0,IF(BJ37=3,0,VALUE(CONCATENATE(Travail!BJ26,Travail!BJ37,Travail!BJ48))))</f>
        <v>0</v>
      </c>
      <c r="BK60" s="171">
        <f>IF(BK15=0,0,IF(BK37=3,0,VALUE(CONCATENATE(Travail!BK26,Travail!BK37,Travail!BK48))))</f>
        <v>0</v>
      </c>
      <c r="BL60" s="171">
        <f>IF(BL15=0,0,IF(BL37=3,0,VALUE(CONCATENATE(Travail!BL26,Travail!BL37,Travail!BL48))))</f>
        <v>0</v>
      </c>
      <c r="BM60" s="171">
        <f>IF(BM15=0,0,IF(BM37=3,0,VALUE(CONCATENATE(Travail!BM26,Travail!BM37,Travail!BM48))))</f>
        <v>0</v>
      </c>
      <c r="BN60" s="171">
        <f>IF(BN15=0,0,IF(BN37=3,0,VALUE(CONCATENATE(Travail!BN26,Travail!BN37,Travail!BN48))))</f>
        <v>0</v>
      </c>
      <c r="BO60" s="171">
        <f>IF(BO15=0,0,IF(BO37=3,0,VALUE(CONCATENATE(Travail!BO26,Travail!BO37,Travail!BO48))))</f>
        <v>0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815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816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764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0</v>
      </c>
      <c r="BD61" s="171">
        <f>IF(BD16=0,0,IF(BD38=3,0,VALUE(CONCATENATE(Travail!BD27,Travail!BD38,Travail!BD49))))</f>
        <v>0</v>
      </c>
      <c r="BE61" s="171">
        <f>IF(BE16=0,0,IF(BE38=3,0,VALUE(CONCATENATE(Travail!BE27,Travail!BE38,Travail!BE49))))</f>
        <v>0</v>
      </c>
      <c r="BF61" s="171">
        <f>IF(BF16=0,0,IF(BF38=3,0,VALUE(CONCATENATE(Travail!BF27,Travail!BF38,Travail!BF49))))</f>
        <v>0</v>
      </c>
      <c r="BG61" s="171">
        <f>IF(BG16=0,0,IF(BG38=3,0,VALUE(CONCATENATE(Travail!BG27,Travail!BG38,Travail!BG49))))</f>
        <v>0</v>
      </c>
      <c r="BH61" s="171">
        <f>IF(BH16=0,0,IF(BH38=3,0,VALUE(CONCATENATE(Travail!BH27,Travail!BH38,Travail!BH49))))</f>
        <v>0</v>
      </c>
      <c r="BI61" s="171">
        <f>IF(BI16=0,0,IF(BI38=3,0,VALUE(CONCATENATE(Travail!BI27,Travail!BI38,Travail!BI49))))</f>
        <v>0</v>
      </c>
      <c r="BJ61" s="171">
        <f>IF(BJ16=0,0,IF(BJ38=3,0,VALUE(CONCATENATE(Travail!BJ27,Travail!BJ38,Travail!BJ49))))</f>
        <v>0</v>
      </c>
      <c r="BK61" s="171">
        <f>IF(BK16=0,0,IF(BK38=3,0,VALUE(CONCATENATE(Travail!BK27,Travail!BK38,Travail!BK49))))</f>
        <v>0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817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764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0</v>
      </c>
      <c r="BI62" s="171">
        <f>IF(BI17=0,0,IF(BI39=3,0,VALUE(CONCATENATE(Travail!BI28,Travail!BI39,Travail!BI50))))</f>
        <v>0</v>
      </c>
      <c r="BJ62" s="171">
        <f>IF(BJ17=0,0,IF(BJ39=3,0,VALUE(CONCATENATE(Travail!BJ28,Travail!BJ39,Travail!BJ50))))</f>
        <v>0</v>
      </c>
      <c r="BK62" s="171">
        <f>IF(BK17=0,0,IF(BK39=3,0,VALUE(CONCATENATE(Travail!BK28,Travail!BK39,Travail!BK50))))</f>
        <v>0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818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764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0</v>
      </c>
      <c r="BA63" s="171">
        <f>IF(BA18=0,0,IF(BA40=3,0,VALUE(CONCATENATE(Travail!BA29,Travail!BA40,Travail!BA51))))</f>
        <v>0</v>
      </c>
      <c r="BB63" s="171">
        <f>IF(BB18=0,0,IF(BB40=3,0,VALUE(CONCATENATE(Travail!BB29,Travail!BB40,Travail!BB51))))</f>
        <v>0</v>
      </c>
      <c r="BC63" s="171">
        <f>IF(BC18=0,0,IF(BC40=3,0,VALUE(CONCATENATE(Travail!BC29,Travail!BC40,Travail!BC51))))</f>
        <v>0</v>
      </c>
      <c r="BD63" s="171">
        <f>IF(BD18=0,0,IF(BD40=3,0,VALUE(CONCATENATE(Travail!BD29,Travail!BD40,Travail!BD51))))</f>
        <v>0</v>
      </c>
      <c r="BE63" s="171">
        <f>IF(BE18=0,0,IF(BE40=3,0,VALUE(CONCATENATE(Travail!BE29,Travail!BE40,Travail!BE51))))</f>
        <v>0</v>
      </c>
      <c r="BF63" s="171">
        <f>IF(BF18=0,0,IF(BF40=3,0,VALUE(CONCATENATE(Travail!BF29,Travail!BF40,Travail!BF51))))</f>
        <v>0</v>
      </c>
      <c r="BG63" s="171">
        <f>IF(BG18=0,0,IF(BG40=3,0,VALUE(CONCATENATE(Travail!BG29,Travail!BG40,Travail!BG51))))</f>
        <v>0</v>
      </c>
      <c r="BH63" s="171">
        <f>IF(BH18=0,0,IF(BH40=3,0,VALUE(CONCATENATE(Travail!BH29,Travail!BH40,Travail!BH51))))</f>
        <v>0</v>
      </c>
      <c r="BI63" s="171">
        <f>IF(BI18=0,0,IF(BI40=3,0,VALUE(CONCATENATE(Travail!BI29,Travail!BI40,Travail!BI51))))</f>
        <v>0</v>
      </c>
      <c r="BJ63" s="171">
        <f>IF(BJ18=0,0,IF(BJ40=3,0,VALUE(CONCATENATE(Travail!BJ29,Travail!BJ40,Travail!BJ51))))</f>
        <v>0</v>
      </c>
      <c r="BK63" s="171">
        <f>IF(BK18=0,0,IF(BK40=3,0,VALUE(CONCATENATE(Travail!BK29,Travail!BK40,Travail!BK51))))</f>
        <v>0</v>
      </c>
      <c r="BL63" s="171">
        <f>IF(BL18=0,0,IF(BL40=3,0,VALUE(CONCATENATE(Travail!BL29,Travail!BL40,Travail!BL51))))</f>
        <v>0</v>
      </c>
      <c r="BM63" s="171">
        <f>IF(BM18=0,0,IF(BM40=3,0,VALUE(CONCATENATE(Travail!BM29,Travail!BM40,Travail!BM51))))</f>
        <v>0</v>
      </c>
      <c r="BN63" s="171">
        <f>IF(BN18=0,0,IF(BN40=3,0,VALUE(CONCATENATE(Travail!BN29,Travail!BN40,Travail!BN51))))</f>
        <v>0</v>
      </c>
      <c r="BO63" s="171">
        <f>IF(BO18=0,0,IF(BO40=3,0,VALUE(CONCATENATE(Travail!BO29,Travail!BO40,Travail!BO51))))</f>
        <v>0</v>
      </c>
      <c r="BP63" s="171">
        <f>IF(BP18=0,0,IF(BP40=3,0,VALUE(CONCATENATE(Travail!BP29,Travail!BP40,Travail!BP51))))</f>
        <v>0</v>
      </c>
      <c r="BQ63" s="171">
        <f>IF(BQ18=0,0,IF(BQ40=3,0,VALUE(CONCATENATE(Travail!BQ29,Travail!BQ40,Travail!BQ51))))</f>
        <v>0</v>
      </c>
      <c r="BR63" s="171">
        <f>IF(BR18=0,0,IF(BR40=3,0,VALUE(CONCATENATE(Travail!BR29,Travail!BR40,Travail!BR51))))</f>
        <v>0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819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820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764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764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821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764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822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764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823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764</v>
      </c>
      <c r="AT70" s="40" t="s">
        <v>824</v>
      </c>
      <c r="BZ70" s="40" t="s">
        <v>824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824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825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764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23</v>
      </c>
      <c r="BC71" s="171">
        <f t="shared" si="36"/>
        <v>23</v>
      </c>
      <c r="BD71" s="171">
        <f t="shared" si="36"/>
        <v>23</v>
      </c>
      <c r="BE71" s="171">
        <f t="shared" si="36"/>
        <v>23</v>
      </c>
      <c r="BF71" s="171">
        <f t="shared" si="36"/>
        <v>23</v>
      </c>
      <c r="BG71" s="171">
        <f t="shared" si="36"/>
        <v>23</v>
      </c>
      <c r="BH71" s="171">
        <f t="shared" si="36"/>
        <v>23</v>
      </c>
      <c r="BI71" s="171">
        <f t="shared" si="36"/>
        <v>23</v>
      </c>
      <c r="BJ71" s="171">
        <f t="shared" si="36"/>
        <v>23</v>
      </c>
      <c r="BK71" s="171">
        <f t="shared" si="36"/>
        <v>23</v>
      </c>
      <c r="BL71" s="171">
        <f t="shared" si="36"/>
        <v>23</v>
      </c>
      <c r="BM71" s="171">
        <f t="shared" si="36"/>
        <v>23</v>
      </c>
      <c r="BN71" s="171">
        <f t="shared" si="36"/>
        <v>23</v>
      </c>
      <c r="BO71" s="171">
        <f t="shared" si="36"/>
        <v>23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826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764</v>
      </c>
      <c r="AT72" s="185" t="str">
        <f t="shared" ref="AT72:AT80" si="40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13</v>
      </c>
      <c r="BD72" s="171">
        <f t="shared" si="36"/>
        <v>13</v>
      </c>
      <c r="BE72" s="171">
        <f t="shared" si="36"/>
        <v>13</v>
      </c>
      <c r="BF72" s="171">
        <f t="shared" si="36"/>
        <v>13</v>
      </c>
      <c r="BG72" s="171">
        <f t="shared" si="36"/>
        <v>13</v>
      </c>
      <c r="BH72" s="171">
        <f t="shared" si="36"/>
        <v>13</v>
      </c>
      <c r="BI72" s="171">
        <f t="shared" si="36"/>
        <v>13</v>
      </c>
      <c r="BJ72" s="171">
        <f t="shared" si="36"/>
        <v>13</v>
      </c>
      <c r="BK72" s="171">
        <f t="shared" si="36"/>
        <v>13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827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764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13</v>
      </c>
      <c r="BI73" s="171">
        <f t="shared" si="36"/>
        <v>13</v>
      </c>
      <c r="BJ73" s="171">
        <f t="shared" si="36"/>
        <v>13</v>
      </c>
      <c r="BK73" s="171">
        <f t="shared" si="36"/>
        <v>13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828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764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13</v>
      </c>
      <c r="BA74" s="171">
        <f t="shared" si="36"/>
        <v>13</v>
      </c>
      <c r="BB74" s="171">
        <f t="shared" si="36"/>
        <v>13</v>
      </c>
      <c r="BC74" s="171">
        <f t="shared" si="36"/>
        <v>13</v>
      </c>
      <c r="BD74" s="171">
        <f t="shared" si="36"/>
        <v>13</v>
      </c>
      <c r="BE74" s="171">
        <f t="shared" si="36"/>
        <v>13</v>
      </c>
      <c r="BF74" s="171">
        <f t="shared" si="36"/>
        <v>13</v>
      </c>
      <c r="BG74" s="171">
        <f t="shared" si="36"/>
        <v>13</v>
      </c>
      <c r="BH74" s="171">
        <f t="shared" si="36"/>
        <v>13</v>
      </c>
      <c r="BI74" s="171">
        <f t="shared" si="36"/>
        <v>13</v>
      </c>
      <c r="BJ74" s="171">
        <f t="shared" si="36"/>
        <v>13</v>
      </c>
      <c r="BK74" s="171">
        <f t="shared" si="36"/>
        <v>13</v>
      </c>
      <c r="BL74" s="171">
        <f t="shared" si="36"/>
        <v>13</v>
      </c>
      <c r="BM74" s="171">
        <f t="shared" si="36"/>
        <v>13</v>
      </c>
      <c r="BN74" s="171">
        <f t="shared" si="36"/>
        <v>13</v>
      </c>
      <c r="BO74" s="171">
        <f t="shared" si="36"/>
        <v>13</v>
      </c>
      <c r="BP74" s="171">
        <f t="shared" si="36"/>
        <v>13</v>
      </c>
      <c r="BQ74" s="171">
        <f t="shared" si="36"/>
        <v>13</v>
      </c>
      <c r="BR74" s="171">
        <f t="shared" si="36"/>
        <v>13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829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830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764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764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764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831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764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832</v>
      </c>
      <c r="B80" s="169" t="s">
        <v>833</v>
      </c>
      <c r="C80" s="169" t="s">
        <v>834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764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835</v>
      </c>
      <c r="B81" s="175">
        <f>ROUND(Protection!AJ8/[1]Protect!$B$11,2)</f>
        <v>0.28999999999999998</v>
      </c>
      <c r="C81" s="186">
        <f>[1]Protect!$B$10</f>
        <v>4</v>
      </c>
      <c r="D81" s="170"/>
      <c r="E81" s="170"/>
      <c r="F81" s="171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764</v>
      </c>
      <c r="AT81" s="19" t="s">
        <v>836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1</v>
      </c>
      <c r="BC81" s="171">
        <f t="shared" si="44"/>
        <v>1</v>
      </c>
      <c r="BD81" s="171">
        <f t="shared" si="44"/>
        <v>1</v>
      </c>
      <c r="BE81" s="171">
        <f t="shared" si="44"/>
        <v>1</v>
      </c>
      <c r="BF81" s="171">
        <f t="shared" si="44"/>
        <v>1</v>
      </c>
      <c r="BG81" s="171">
        <f t="shared" si="44"/>
        <v>1</v>
      </c>
      <c r="BH81" s="171">
        <f t="shared" si="44"/>
        <v>1</v>
      </c>
      <c r="BI81" s="171">
        <f t="shared" si="44"/>
        <v>1</v>
      </c>
      <c r="BJ81" s="171">
        <f t="shared" si="44"/>
        <v>1</v>
      </c>
      <c r="BK81" s="171">
        <f t="shared" si="44"/>
        <v>1</v>
      </c>
      <c r="BL81" s="171">
        <f t="shared" si="44"/>
        <v>1</v>
      </c>
      <c r="BM81" s="171">
        <f t="shared" si="44"/>
        <v>1</v>
      </c>
      <c r="BN81" s="171">
        <f t="shared" si="44"/>
        <v>1</v>
      </c>
      <c r="BO81" s="171">
        <f t="shared" si="44"/>
        <v>1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836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836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837</v>
      </c>
      <c r="C82" t="s">
        <v>838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764</v>
      </c>
      <c r="AT82" s="19" t="s">
        <v>839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3</v>
      </c>
      <c r="BA82" s="171">
        <f t="shared" si="47"/>
        <v>3</v>
      </c>
      <c r="BB82" s="171">
        <f t="shared" si="47"/>
        <v>3</v>
      </c>
      <c r="BC82" s="171">
        <f t="shared" si="47"/>
        <v>3</v>
      </c>
      <c r="BD82" s="171">
        <f t="shared" si="47"/>
        <v>3</v>
      </c>
      <c r="BE82" s="171">
        <f t="shared" si="47"/>
        <v>3</v>
      </c>
      <c r="BF82" s="171">
        <f t="shared" si="47"/>
        <v>3</v>
      </c>
      <c r="BG82" s="171">
        <f t="shared" si="47"/>
        <v>3</v>
      </c>
      <c r="BH82" s="171">
        <f t="shared" si="47"/>
        <v>3</v>
      </c>
      <c r="BI82" s="171">
        <f t="shared" si="47"/>
        <v>3</v>
      </c>
      <c r="BJ82" s="171">
        <f t="shared" si="47"/>
        <v>3</v>
      </c>
      <c r="BK82" s="171">
        <f t="shared" si="47"/>
        <v>3</v>
      </c>
      <c r="BL82" s="171">
        <f t="shared" si="47"/>
        <v>3</v>
      </c>
      <c r="BM82" s="171">
        <f t="shared" si="47"/>
        <v>3</v>
      </c>
      <c r="BN82" s="171">
        <f t="shared" si="47"/>
        <v>3</v>
      </c>
      <c r="BO82" s="171">
        <f t="shared" si="47"/>
        <v>3</v>
      </c>
      <c r="BP82" s="171">
        <f t="shared" si="47"/>
        <v>3</v>
      </c>
      <c r="BQ82" s="171">
        <f t="shared" si="47"/>
        <v>3</v>
      </c>
      <c r="BR82" s="171">
        <f t="shared" si="47"/>
        <v>2</v>
      </c>
      <c r="BS82" s="171">
        <f t="shared" si="47"/>
        <v>1</v>
      </c>
      <c r="BZ82" s="19" t="s">
        <v>839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839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840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764</v>
      </c>
      <c r="AT83" s="19" t="s">
        <v>841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841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841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842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764</v>
      </c>
      <c r="AT84" s="19" t="s">
        <v>843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0</v>
      </c>
      <c r="BI84" s="171">
        <f t="shared" si="53"/>
        <v>0</v>
      </c>
      <c r="BJ84" s="171">
        <f t="shared" si="53"/>
        <v>0</v>
      </c>
      <c r="BK84" s="171">
        <f t="shared" si="53"/>
        <v>0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843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843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844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764</v>
      </c>
      <c r="AT85" s="40" t="s">
        <v>845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845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845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846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764</v>
      </c>
      <c r="AT86" s="40" t="s">
        <v>847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42</v>
      </c>
      <c r="BI86" s="186">
        <f>IF(BI85=0,0,HLOOKUP(BI85,[1]Trav!$C$39:$G$59,$AU$105))</f>
        <v>42</v>
      </c>
      <c r="BJ86" s="186">
        <f>IF(BJ85=0,0,HLOOKUP(BJ85,[1]Trav!$C$39:$G$59,$AU$105))</f>
        <v>42</v>
      </c>
      <c r="BK86" s="186">
        <f>IF(BK85=0,0,HLOOKUP(BK85,[1]Trav!$C$39:$G$59,$AU$105))</f>
        <v>42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847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847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848</v>
      </c>
      <c r="B87" s="171">
        <f>Scénario!K76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764</v>
      </c>
      <c r="AT87" s="40" t="s">
        <v>849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849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849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850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850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850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851</v>
      </c>
      <c r="B90" s="5" t="s">
        <v>852</v>
      </c>
      <c r="C90" s="5"/>
      <c r="D90" s="5" t="s">
        <v>853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39.520000000000003</v>
      </c>
      <c r="AW90" s="171">
        <f t="shared" si="60"/>
        <v>39.520000000000003</v>
      </c>
      <c r="AX90" s="171">
        <f t="shared" si="60"/>
        <v>39.520000000000003</v>
      </c>
      <c r="AY90" s="171">
        <f t="shared" si="60"/>
        <v>39.520000000000003</v>
      </c>
      <c r="AZ90" s="171">
        <f t="shared" si="60"/>
        <v>37.44</v>
      </c>
      <c r="BA90" s="171">
        <f t="shared" si="60"/>
        <v>35.36</v>
      </c>
      <c r="BB90" s="171">
        <f t="shared" si="60"/>
        <v>33.28</v>
      </c>
      <c r="BC90" s="171">
        <f t="shared" si="60"/>
        <v>31.2</v>
      </c>
      <c r="BD90" s="171">
        <f t="shared" si="60"/>
        <v>30.16</v>
      </c>
      <c r="BE90" s="171">
        <f t="shared" si="60"/>
        <v>29.12</v>
      </c>
      <c r="BF90" s="171">
        <f t="shared" si="60"/>
        <v>28.08</v>
      </c>
      <c r="BG90" s="171">
        <f t="shared" si="60"/>
        <v>28.08</v>
      </c>
      <c r="BH90" s="171">
        <f t="shared" si="60"/>
        <v>28.08</v>
      </c>
      <c r="BI90" s="171">
        <f t="shared" si="60"/>
        <v>28.08</v>
      </c>
      <c r="BJ90" s="171">
        <f t="shared" si="60"/>
        <v>27.04</v>
      </c>
      <c r="BK90" s="171">
        <f t="shared" si="60"/>
        <v>27.04</v>
      </c>
      <c r="BL90" s="171">
        <f t="shared" si="60"/>
        <v>28.08</v>
      </c>
      <c r="BM90" s="171">
        <f t="shared" si="60"/>
        <v>29.12</v>
      </c>
      <c r="BN90" s="171">
        <f t="shared" si="60"/>
        <v>31.2</v>
      </c>
      <c r="BO90" s="171">
        <f t="shared" si="60"/>
        <v>33.28</v>
      </c>
      <c r="BP90" s="171">
        <f t="shared" si="60"/>
        <v>36.4</v>
      </c>
      <c r="BQ90" s="171">
        <f t="shared" si="60"/>
        <v>38.479999999999997</v>
      </c>
      <c r="BR90" s="171">
        <f t="shared" si="60"/>
        <v>39.520000000000003</v>
      </c>
      <c r="BS90" s="171">
        <f t="shared" si="60"/>
        <v>39.520000000000003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854</v>
      </c>
      <c r="B91" s="197">
        <f>F5+F9</f>
        <v>1350.9004319999999</v>
      </c>
      <c r="C91" s="5"/>
      <c r="D91" s="198">
        <f>B91/Troupeau!$B$17</f>
        <v>25.978854461538461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24.96</v>
      </c>
      <c r="AW91" s="171">
        <f t="shared" si="60"/>
        <v>24.96</v>
      </c>
      <c r="AX91" s="171">
        <f t="shared" si="60"/>
        <v>24.96</v>
      </c>
      <c r="AY91" s="171">
        <f t="shared" si="60"/>
        <v>24.96</v>
      </c>
      <c r="AZ91" s="171">
        <f t="shared" si="60"/>
        <v>24.96</v>
      </c>
      <c r="BA91" s="171">
        <f t="shared" si="60"/>
        <v>24.96</v>
      </c>
      <c r="BB91" s="171">
        <f t="shared" si="60"/>
        <v>24.96</v>
      </c>
      <c r="BC91" s="171">
        <f t="shared" si="60"/>
        <v>24.96</v>
      </c>
      <c r="BD91" s="171">
        <f t="shared" si="60"/>
        <v>24.96</v>
      </c>
      <c r="BE91" s="171">
        <f t="shared" si="60"/>
        <v>24.96</v>
      </c>
      <c r="BF91" s="171">
        <f t="shared" si="60"/>
        <v>24.96</v>
      </c>
      <c r="BG91" s="171">
        <f t="shared" si="60"/>
        <v>24.96</v>
      </c>
      <c r="BH91" s="171">
        <f t="shared" si="60"/>
        <v>24.96</v>
      </c>
      <c r="BI91" s="171">
        <f t="shared" si="60"/>
        <v>24.96</v>
      </c>
      <c r="BJ91" s="171">
        <f t="shared" si="60"/>
        <v>24.96</v>
      </c>
      <c r="BK91" s="171">
        <f t="shared" si="60"/>
        <v>24.96</v>
      </c>
      <c r="BL91" s="171">
        <f t="shared" si="60"/>
        <v>24.96</v>
      </c>
      <c r="BM91" s="171">
        <f t="shared" si="60"/>
        <v>24.96</v>
      </c>
      <c r="BN91" s="171">
        <f t="shared" si="60"/>
        <v>24.96</v>
      </c>
      <c r="BO91" s="171">
        <f t="shared" si="60"/>
        <v>24.96</v>
      </c>
      <c r="BP91" s="171">
        <f t="shared" si="60"/>
        <v>24.96</v>
      </c>
      <c r="BQ91" s="171">
        <f t="shared" si="60"/>
        <v>24.96</v>
      </c>
      <c r="BR91" s="171">
        <f t="shared" si="60"/>
        <v>24.96</v>
      </c>
      <c r="BS91" s="171">
        <f t="shared" si="60"/>
        <v>24.96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855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1.04</v>
      </c>
      <c r="AZ92" s="171">
        <f t="shared" si="60"/>
        <v>2.08</v>
      </c>
      <c r="BA92" s="171">
        <f t="shared" si="60"/>
        <v>5.2</v>
      </c>
      <c r="BB92" s="171">
        <f t="shared" si="60"/>
        <v>8.32</v>
      </c>
      <c r="BC92" s="171">
        <f t="shared" si="60"/>
        <v>11.44</v>
      </c>
      <c r="BD92" s="171">
        <f t="shared" si="60"/>
        <v>11.44</v>
      </c>
      <c r="BE92" s="171">
        <f t="shared" si="60"/>
        <v>11.44</v>
      </c>
      <c r="BF92" s="171">
        <f t="shared" si="60"/>
        <v>12.48</v>
      </c>
      <c r="BG92" s="171">
        <f t="shared" si="60"/>
        <v>12.48</v>
      </c>
      <c r="BH92" s="171">
        <f t="shared" si="60"/>
        <v>12.48</v>
      </c>
      <c r="BI92" s="171">
        <f t="shared" si="60"/>
        <v>12.48</v>
      </c>
      <c r="BJ92" s="171">
        <f t="shared" si="60"/>
        <v>12.48</v>
      </c>
      <c r="BK92" s="171">
        <f t="shared" si="60"/>
        <v>12.48</v>
      </c>
      <c r="BL92" s="171">
        <f t="shared" si="60"/>
        <v>11.44</v>
      </c>
      <c r="BM92" s="171">
        <f t="shared" si="60"/>
        <v>10.4</v>
      </c>
      <c r="BN92" s="171">
        <f t="shared" si="60"/>
        <v>8.32</v>
      </c>
      <c r="BO92" s="171">
        <f t="shared" si="60"/>
        <v>6.24</v>
      </c>
      <c r="BP92" s="171">
        <f t="shared" si="60"/>
        <v>3.12</v>
      </c>
      <c r="BQ92" s="171">
        <f t="shared" si="60"/>
        <v>1.04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856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2.08</v>
      </c>
      <c r="BA93" s="171">
        <f t="shared" si="60"/>
        <v>4.16</v>
      </c>
      <c r="BB93" s="171">
        <f t="shared" si="60"/>
        <v>6.24</v>
      </c>
      <c r="BC93" s="171">
        <f t="shared" si="60"/>
        <v>8.32</v>
      </c>
      <c r="BD93" s="171">
        <f t="shared" si="60"/>
        <v>9.36</v>
      </c>
      <c r="BE93" s="171">
        <f t="shared" si="60"/>
        <v>10.4</v>
      </c>
      <c r="BF93" s="171">
        <f t="shared" si="60"/>
        <v>11.44</v>
      </c>
      <c r="BG93" s="171">
        <f t="shared" si="60"/>
        <v>11.44</v>
      </c>
      <c r="BH93" s="171">
        <f t="shared" si="60"/>
        <v>11.44</v>
      </c>
      <c r="BI93" s="171">
        <f t="shared" si="60"/>
        <v>11.44</v>
      </c>
      <c r="BJ93" s="171">
        <f t="shared" si="60"/>
        <v>11.44</v>
      </c>
      <c r="BK93" s="171">
        <f t="shared" si="60"/>
        <v>10.4</v>
      </c>
      <c r="BL93" s="171">
        <f t="shared" si="60"/>
        <v>9.36</v>
      </c>
      <c r="BM93" s="171">
        <f t="shared" si="60"/>
        <v>9.36</v>
      </c>
      <c r="BN93" s="171">
        <f t="shared" si="60"/>
        <v>6.24</v>
      </c>
      <c r="BO93" s="171">
        <f t="shared" si="60"/>
        <v>5.2</v>
      </c>
      <c r="BP93" s="171">
        <f t="shared" si="60"/>
        <v>3.12</v>
      </c>
      <c r="BQ93" s="171">
        <f t="shared" si="60"/>
        <v>2.08</v>
      </c>
      <c r="BR93" s="171">
        <f t="shared" si="60"/>
        <v>1.04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857</v>
      </c>
      <c r="B94" s="199">
        <f>SUM(B91:B93)</f>
        <v>1350.9004319999999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858</v>
      </c>
      <c r="B95" s="30">
        <f>F16+F20</f>
        <v>0</v>
      </c>
      <c r="C95" s="5"/>
      <c r="D95" s="198">
        <f>B95/Troupeau!$B$17</f>
        <v>0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859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860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861</v>
      </c>
      <c r="B98" s="46">
        <f>SUM(B95:B97)</f>
        <v>0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862</v>
      </c>
      <c r="B99" s="30">
        <f>F31+F35</f>
        <v>276</v>
      </c>
      <c r="C99" s="5"/>
      <c r="D99" s="198">
        <f>B99/Troupeau!$B$17</f>
        <v>5.3076923076923075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64.48</v>
      </c>
      <c r="AW99" s="62">
        <f t="shared" ref="AW99:BS99" si="68">SUM(AW90:AW98)</f>
        <v>64.48</v>
      </c>
      <c r="AX99" s="62">
        <f t="shared" si="68"/>
        <v>64.48</v>
      </c>
      <c r="AY99" s="62">
        <f t="shared" si="68"/>
        <v>65.52000000000001</v>
      </c>
      <c r="AZ99" s="62">
        <f t="shared" si="68"/>
        <v>66.56</v>
      </c>
      <c r="BA99" s="62">
        <f t="shared" si="68"/>
        <v>69.679999999999993</v>
      </c>
      <c r="BB99" s="62">
        <f t="shared" si="68"/>
        <v>72.8</v>
      </c>
      <c r="BC99" s="62">
        <f t="shared" si="68"/>
        <v>75.919999999999987</v>
      </c>
      <c r="BD99" s="62">
        <f t="shared" si="68"/>
        <v>75.92</v>
      </c>
      <c r="BE99" s="62">
        <f t="shared" si="68"/>
        <v>75.92</v>
      </c>
      <c r="BF99" s="62">
        <f t="shared" si="68"/>
        <v>76.959999999999994</v>
      </c>
      <c r="BG99" s="62">
        <f t="shared" si="68"/>
        <v>76.959999999999994</v>
      </c>
      <c r="BH99" s="62">
        <f t="shared" si="68"/>
        <v>76.959999999999994</v>
      </c>
      <c r="BI99" s="62">
        <f t="shared" si="68"/>
        <v>76.959999999999994</v>
      </c>
      <c r="BJ99" s="62">
        <f t="shared" si="68"/>
        <v>75.92</v>
      </c>
      <c r="BK99" s="62">
        <f t="shared" si="68"/>
        <v>74.88000000000001</v>
      </c>
      <c r="BL99" s="62">
        <f t="shared" si="68"/>
        <v>73.84</v>
      </c>
      <c r="BM99" s="62">
        <f t="shared" si="68"/>
        <v>73.84</v>
      </c>
      <c r="BN99" s="62">
        <f t="shared" si="68"/>
        <v>70.719999999999985</v>
      </c>
      <c r="BO99" s="62">
        <f t="shared" si="68"/>
        <v>69.680000000000007</v>
      </c>
      <c r="BP99" s="62">
        <f t="shared" si="68"/>
        <v>67.600000000000009</v>
      </c>
      <c r="BQ99" s="62">
        <f t="shared" si="68"/>
        <v>66.56</v>
      </c>
      <c r="BR99" s="62">
        <f t="shared" si="68"/>
        <v>65.52000000000001</v>
      </c>
      <c r="BS99" s="62">
        <f t="shared" si="68"/>
        <v>64.48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863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864</v>
      </c>
      <c r="AV100" s="171">
        <f>IF($AT$2="OL",AV99/50,AV99/10)</f>
        <v>6.4480000000000004</v>
      </c>
      <c r="AW100" s="171">
        <f t="shared" ref="AW100:BS100" si="71">IF($AT$2="OL",AW99/50,AW99/10)</f>
        <v>6.4480000000000004</v>
      </c>
      <c r="AX100" s="171">
        <f t="shared" si="71"/>
        <v>6.4480000000000004</v>
      </c>
      <c r="AY100" s="171">
        <f t="shared" si="71"/>
        <v>6.5520000000000014</v>
      </c>
      <c r="AZ100" s="171">
        <f t="shared" si="71"/>
        <v>6.6560000000000006</v>
      </c>
      <c r="BA100" s="171">
        <f t="shared" si="71"/>
        <v>6.9679999999999991</v>
      </c>
      <c r="BB100" s="171">
        <f t="shared" si="71"/>
        <v>7.2799999999999994</v>
      </c>
      <c r="BC100" s="171">
        <f t="shared" si="71"/>
        <v>7.5919999999999987</v>
      </c>
      <c r="BD100" s="171">
        <f t="shared" si="71"/>
        <v>7.5920000000000005</v>
      </c>
      <c r="BE100" s="171">
        <f t="shared" si="71"/>
        <v>7.5920000000000005</v>
      </c>
      <c r="BF100" s="171">
        <f t="shared" si="71"/>
        <v>7.6959999999999997</v>
      </c>
      <c r="BG100" s="171">
        <f t="shared" si="71"/>
        <v>7.6959999999999997</v>
      </c>
      <c r="BH100" s="171">
        <f t="shared" si="71"/>
        <v>7.6959999999999997</v>
      </c>
      <c r="BI100" s="171">
        <f t="shared" si="71"/>
        <v>7.6959999999999997</v>
      </c>
      <c r="BJ100" s="171">
        <f t="shared" si="71"/>
        <v>7.5920000000000005</v>
      </c>
      <c r="BK100" s="171">
        <f t="shared" si="71"/>
        <v>7.4880000000000013</v>
      </c>
      <c r="BL100" s="171">
        <f t="shared" si="71"/>
        <v>7.3840000000000003</v>
      </c>
      <c r="BM100" s="171">
        <f t="shared" si="71"/>
        <v>7.3840000000000003</v>
      </c>
      <c r="BN100" s="171">
        <f t="shared" si="71"/>
        <v>7.0719999999999983</v>
      </c>
      <c r="BO100" s="171">
        <f t="shared" si="71"/>
        <v>6.9680000000000009</v>
      </c>
      <c r="BP100" s="171">
        <f t="shared" si="71"/>
        <v>6.7600000000000007</v>
      </c>
      <c r="BQ100" s="171">
        <f t="shared" si="71"/>
        <v>6.6560000000000006</v>
      </c>
      <c r="BR100" s="171">
        <f t="shared" si="71"/>
        <v>6.5520000000000014</v>
      </c>
      <c r="BS100" s="171">
        <f t="shared" si="71"/>
        <v>6.4480000000000004</v>
      </c>
      <c r="BZ100" s="32" t="s">
        <v>864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864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865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866</v>
      </c>
      <c r="AV101" s="171">
        <f>IF(AV100&gt;1,AV100-1,0)</f>
        <v>5.4480000000000004</v>
      </c>
      <c r="AW101" s="171">
        <f t="shared" ref="AW101:BS101" si="74">IF(AW100&gt;1,AW100-1,0)</f>
        <v>5.4480000000000004</v>
      </c>
      <c r="AX101" s="171">
        <f t="shared" si="74"/>
        <v>5.4480000000000004</v>
      </c>
      <c r="AY101" s="171">
        <f t="shared" si="74"/>
        <v>5.5520000000000014</v>
      </c>
      <c r="AZ101" s="171">
        <f t="shared" si="74"/>
        <v>5.6560000000000006</v>
      </c>
      <c r="BA101" s="171">
        <f t="shared" si="74"/>
        <v>5.9679999999999991</v>
      </c>
      <c r="BB101" s="171">
        <f t="shared" si="74"/>
        <v>6.2799999999999994</v>
      </c>
      <c r="BC101" s="171">
        <f t="shared" si="74"/>
        <v>6.5919999999999987</v>
      </c>
      <c r="BD101" s="171">
        <f t="shared" si="74"/>
        <v>6.5920000000000005</v>
      </c>
      <c r="BE101" s="171">
        <f t="shared" si="74"/>
        <v>6.5920000000000005</v>
      </c>
      <c r="BF101" s="171">
        <f t="shared" si="74"/>
        <v>6.6959999999999997</v>
      </c>
      <c r="BG101" s="171">
        <f t="shared" si="74"/>
        <v>6.6959999999999997</v>
      </c>
      <c r="BH101" s="171">
        <f t="shared" si="74"/>
        <v>6.6959999999999997</v>
      </c>
      <c r="BI101" s="171">
        <f t="shared" si="74"/>
        <v>6.6959999999999997</v>
      </c>
      <c r="BJ101" s="171">
        <f t="shared" si="74"/>
        <v>6.5920000000000005</v>
      </c>
      <c r="BK101" s="171">
        <f t="shared" si="74"/>
        <v>6.4880000000000013</v>
      </c>
      <c r="BL101" s="171">
        <f t="shared" si="74"/>
        <v>6.3840000000000003</v>
      </c>
      <c r="BM101" s="171">
        <f t="shared" si="74"/>
        <v>6.3840000000000003</v>
      </c>
      <c r="BN101" s="171">
        <f t="shared" si="74"/>
        <v>6.0719999999999983</v>
      </c>
      <c r="BO101" s="171">
        <f t="shared" si="74"/>
        <v>5.9680000000000009</v>
      </c>
      <c r="BP101" s="171">
        <f t="shared" si="74"/>
        <v>5.7600000000000007</v>
      </c>
      <c r="BQ101" s="171">
        <f t="shared" si="74"/>
        <v>5.6560000000000006</v>
      </c>
      <c r="BR101" s="171">
        <f t="shared" si="74"/>
        <v>5.5520000000000014</v>
      </c>
      <c r="BS101" s="171">
        <f t="shared" si="74"/>
        <v>5.4480000000000004</v>
      </c>
      <c r="BZ101" s="32" t="s">
        <v>866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866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867</v>
      </c>
      <c r="B102" s="46">
        <f>SUM(B99:B101)</f>
        <v>276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868</v>
      </c>
      <c r="AV102" s="62">
        <f>AV86+AV87*AV101</f>
        <v>54.737424000000004</v>
      </c>
      <c r="AW102" s="62">
        <f t="shared" ref="AW102:BS102" si="77">AW86+AW87*AW101</f>
        <v>54.737424000000004</v>
      </c>
      <c r="AX102" s="62">
        <f t="shared" si="77"/>
        <v>54.737424000000004</v>
      </c>
      <c r="AY102" s="62">
        <f t="shared" si="77"/>
        <v>54.980575999999999</v>
      </c>
      <c r="AZ102" s="62">
        <f t="shared" si="77"/>
        <v>55.223728000000001</v>
      </c>
      <c r="BA102" s="62">
        <f t="shared" si="77"/>
        <v>55.953184</v>
      </c>
      <c r="BB102" s="62">
        <f t="shared" si="77"/>
        <v>56.682639999999999</v>
      </c>
      <c r="BC102" s="62">
        <f t="shared" si="77"/>
        <v>57.412095999999998</v>
      </c>
      <c r="BD102" s="62">
        <f t="shared" si="77"/>
        <v>57.412096000000005</v>
      </c>
      <c r="BE102" s="62">
        <f t="shared" si="77"/>
        <v>57.412096000000005</v>
      </c>
      <c r="BF102" s="62">
        <f t="shared" si="77"/>
        <v>57.655248</v>
      </c>
      <c r="BG102" s="62">
        <f t="shared" si="77"/>
        <v>57.655248</v>
      </c>
      <c r="BH102" s="62">
        <f t="shared" si="77"/>
        <v>57.655248</v>
      </c>
      <c r="BI102" s="62">
        <f t="shared" si="77"/>
        <v>57.655248</v>
      </c>
      <c r="BJ102" s="62">
        <f t="shared" si="77"/>
        <v>57.412096000000005</v>
      </c>
      <c r="BK102" s="62">
        <f t="shared" si="77"/>
        <v>57.168944000000003</v>
      </c>
      <c r="BL102" s="62">
        <f t="shared" si="77"/>
        <v>56.925792000000001</v>
      </c>
      <c r="BM102" s="62">
        <f t="shared" si="77"/>
        <v>56.925792000000001</v>
      </c>
      <c r="BN102" s="62">
        <f t="shared" si="77"/>
        <v>56.196335999999995</v>
      </c>
      <c r="BO102" s="62">
        <f t="shared" si="77"/>
        <v>55.953184</v>
      </c>
      <c r="BP102" s="62">
        <f t="shared" si="77"/>
        <v>55.466880000000003</v>
      </c>
      <c r="BQ102" s="62">
        <f t="shared" si="77"/>
        <v>55.223728000000001</v>
      </c>
      <c r="BR102" s="62">
        <f t="shared" si="77"/>
        <v>54.980575999999999</v>
      </c>
      <c r="BS102" s="62">
        <f t="shared" si="77"/>
        <v>54.737424000000004</v>
      </c>
      <c r="BZ102" s="40" t="s">
        <v>868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869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870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871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872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873</v>
      </c>
      <c r="AU105" s="17">
        <f>VLOOKUP(AU59,[1]Trav!$B$12:$C$31,2)</f>
        <v>11</v>
      </c>
      <c r="BZ105" s="147" t="s">
        <v>873</v>
      </c>
      <c r="CA105" s="17">
        <f>VLOOKUP(CA59,[1]Trav!$B$12:$C$31,2)</f>
        <v>9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873</v>
      </c>
      <c r="DD105" s="17">
        <f>VLOOKUP(DD59,[1]Trav!$B$12:$C$31,2)</f>
        <v>9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874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0</v>
      </c>
      <c r="BC106" s="186">
        <f>IF(BC60&gt;0,HLOOKUP(BC60,[1]Trav!$C$11:$O$31,$AU$105),0)</f>
        <v>0</v>
      </c>
      <c r="BD106" s="186">
        <f>IF(BD60&gt;0,HLOOKUP(BD60,[1]Trav!$C$11:$O$31,$AU$105),0)</f>
        <v>0</v>
      </c>
      <c r="BE106" s="186">
        <f>IF(BE60&gt;0,HLOOKUP(BE60,[1]Trav!$C$11:$O$31,$AU$105),0)</f>
        <v>0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0</v>
      </c>
      <c r="BN106" s="186">
        <f>IF(BN60&gt;0,HLOOKUP(BN60,[1]Trav!$C$11:$O$31,$AU$105),0)</f>
        <v>0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875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0</v>
      </c>
      <c r="BD107" s="186">
        <f>IF(BD61&gt;0,HLOOKUP(BD61,[1]Trav!$C$11:$O$31,$AU$105),0)</f>
        <v>0</v>
      </c>
      <c r="BE107" s="186">
        <f>IF(BE61&gt;0,HLOOKUP(BE61,[1]Trav!$C$11:$O$31,$AU$105),0)</f>
        <v>0</v>
      </c>
      <c r="BF107" s="186">
        <f>IF(BF61&gt;0,HLOOKUP(BF61,[1]Trav!$C$11:$O$31,$AU$105),0)</f>
        <v>0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876</v>
      </c>
      <c r="B108" s="46">
        <f>SUM(F50:F59)</f>
        <v>393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877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878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879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880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881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882</v>
      </c>
      <c r="B114" s="30">
        <f>F81</f>
        <v>9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883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884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885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0</v>
      </c>
      <c r="BA117" s="171">
        <f t="shared" si="83"/>
        <v>0</v>
      </c>
      <c r="BB117" s="171">
        <f t="shared" si="83"/>
        <v>0</v>
      </c>
      <c r="BC117" s="171">
        <f t="shared" si="83"/>
        <v>0</v>
      </c>
      <c r="BD117" s="171">
        <f t="shared" si="83"/>
        <v>0</v>
      </c>
      <c r="BE117" s="171">
        <f t="shared" si="83"/>
        <v>0</v>
      </c>
      <c r="BF117" s="171">
        <f t="shared" si="83"/>
        <v>0</v>
      </c>
      <c r="BG117" s="171">
        <f t="shared" si="83"/>
        <v>0</v>
      </c>
      <c r="BH117" s="171">
        <f t="shared" si="83"/>
        <v>0</v>
      </c>
      <c r="BI117" s="171">
        <f t="shared" si="83"/>
        <v>0</v>
      </c>
      <c r="BJ117" s="171">
        <f t="shared" si="83"/>
        <v>0</v>
      </c>
      <c r="BK117" s="171">
        <f t="shared" si="83"/>
        <v>0</v>
      </c>
      <c r="BL117" s="171">
        <f t="shared" si="83"/>
        <v>0</v>
      </c>
      <c r="BM117" s="171">
        <f t="shared" si="83"/>
        <v>0</v>
      </c>
      <c r="BN117" s="171">
        <f t="shared" si="83"/>
        <v>0</v>
      </c>
      <c r="BO117" s="171">
        <f t="shared" si="83"/>
        <v>0</v>
      </c>
      <c r="BP117" s="171">
        <f t="shared" si="83"/>
        <v>0</v>
      </c>
      <c r="BQ117" s="171">
        <f t="shared" si="83"/>
        <v>0</v>
      </c>
      <c r="BR117" s="171">
        <f t="shared" si="83"/>
        <v>0</v>
      </c>
      <c r="BS117" s="171">
        <f t="shared" si="83"/>
        <v>0</v>
      </c>
      <c r="CA117" s="40" t="s">
        <v>885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885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886</v>
      </c>
      <c r="B118" s="197">
        <f>B91+B95+B99+B103</f>
        <v>1626.9004319999999</v>
      </c>
      <c r="D118" s="198">
        <f>B118/Troupeau!$B$17</f>
        <v>31.286546769230767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887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888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889</v>
      </c>
      <c r="B122" s="197">
        <f>SUM(B118:B120)</f>
        <v>1626.9004319999999</v>
      </c>
    </row>
    <row r="123" spans="1:132" x14ac:dyDescent="0.25">
      <c r="A123" s="2" t="s">
        <v>876</v>
      </c>
      <c r="B123" s="30">
        <f>B108</f>
        <v>393</v>
      </c>
    </row>
    <row r="124" spans="1:132" x14ac:dyDescent="0.25">
      <c r="A124" s="2" t="s">
        <v>890</v>
      </c>
      <c r="B124" s="30">
        <f>B107</f>
        <v>400</v>
      </c>
    </row>
    <row r="125" spans="1:132" x14ac:dyDescent="0.25">
      <c r="A125" s="2" t="s">
        <v>891</v>
      </c>
      <c r="B125" s="30">
        <f>B112+B113</f>
        <v>0</v>
      </c>
    </row>
    <row r="126" spans="1:132" x14ac:dyDescent="0.25">
      <c r="A126" s="2" t="s">
        <v>892</v>
      </c>
      <c r="B126" s="30">
        <f>B114+B115+B116</f>
        <v>9</v>
      </c>
    </row>
    <row r="128" spans="1:132" x14ac:dyDescent="0.25">
      <c r="A128" s="2" t="s">
        <v>893</v>
      </c>
      <c r="B128" s="197">
        <f>SUM(B122:B126)</f>
        <v>2428.9004319999999</v>
      </c>
    </row>
    <row r="129" spans="1:2" x14ac:dyDescent="0.25">
      <c r="A129" s="2" t="s">
        <v>894</v>
      </c>
      <c r="B129" s="30">
        <f>IF(Scénario!K129=1,Travail!F77+Travail!F86,F86)</f>
        <v>0</v>
      </c>
    </row>
    <row r="130" spans="1:2" x14ac:dyDescent="0.25">
      <c r="A130" s="2" t="s">
        <v>895</v>
      </c>
      <c r="B130" s="197">
        <f>ROUND((B128-B129)/(Scénario!K4+Scénario!K6),0)</f>
        <v>2429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H28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897</v>
      </c>
      <c r="R2" s="23" t="s">
        <v>898</v>
      </c>
      <c r="S2" s="23"/>
      <c r="T2" t="s">
        <v>899</v>
      </c>
    </row>
    <row r="3" spans="1:59" ht="18.75" x14ac:dyDescent="0.3">
      <c r="A3" s="203"/>
      <c r="B3" s="33" t="s">
        <v>900</v>
      </c>
      <c r="C3" s="33" t="s">
        <v>901</v>
      </c>
      <c r="D3" s="33" t="s">
        <v>902</v>
      </c>
      <c r="E3" s="169"/>
      <c r="F3" s="33" t="s">
        <v>903</v>
      </c>
      <c r="G3" s="33" t="s">
        <v>904</v>
      </c>
      <c r="H3" s="33" t="s">
        <v>905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906</v>
      </c>
      <c r="U4" s="14"/>
      <c r="V4" s="14"/>
      <c r="W4" s="14"/>
      <c r="AB4" s="2" t="s">
        <v>907</v>
      </c>
    </row>
    <row r="5" spans="1:59" x14ac:dyDescent="0.25">
      <c r="A5" t="s">
        <v>908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909</v>
      </c>
      <c r="T5" s="30">
        <f>Scénario!K16</f>
        <v>0</v>
      </c>
      <c r="U5" s="14"/>
      <c r="V5" s="14"/>
      <c r="X5" s="14" t="s">
        <v>910</v>
      </c>
      <c r="Y5" s="30">
        <f>IF(Scénario!K17=1,[1]Eco!$B$51,[1]Eco!$B$52)</f>
        <v>1030</v>
      </c>
      <c r="AB5" t="s">
        <v>911</v>
      </c>
      <c r="AC5" t="s">
        <v>17</v>
      </c>
      <c r="AD5" t="s">
        <v>277</v>
      </c>
      <c r="AF5" s="169" t="s">
        <v>912</v>
      </c>
      <c r="AG5" s="169" t="s">
        <v>913</v>
      </c>
      <c r="AH5" s="169" t="s">
        <v>914</v>
      </c>
      <c r="AI5" s="169" t="s">
        <v>915</v>
      </c>
      <c r="AJ5" s="169" t="s">
        <v>916</v>
      </c>
    </row>
    <row r="6" spans="1:59" x14ac:dyDescent="0.25">
      <c r="A6" t="s">
        <v>917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918</v>
      </c>
      <c r="T6" s="30">
        <f>Troupeau!B35</f>
        <v>0</v>
      </c>
      <c r="U6" s="14"/>
      <c r="V6" s="14"/>
      <c r="X6" s="14" t="s">
        <v>919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28</v>
      </c>
      <c r="AC7" s="30" t="str">
        <f>LEFT('Alim -Surf'!B35,10)</f>
        <v>landes lit</v>
      </c>
      <c r="AD7" s="30">
        <f>+'Alim -Surf'!K35</f>
        <v>0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0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1">
        <f t="shared" si="4"/>
        <v>0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920</v>
      </c>
      <c r="B9" s="171">
        <f>Troupeau!B43</f>
        <v>21.5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836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17974</v>
      </c>
      <c r="K9" s="171">
        <f>ROUND(B9*F9,0)</f>
        <v>17974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921</v>
      </c>
      <c r="T9" s="36" t="s">
        <v>906</v>
      </c>
      <c r="U9" s="169" t="s">
        <v>922</v>
      </c>
      <c r="V9" s="36" t="s">
        <v>923</v>
      </c>
      <c r="W9" s="169" t="s">
        <v>924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925</v>
      </c>
      <c r="B10" s="171">
        <f>Troupeau!B39</f>
        <v>9.5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656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6232</v>
      </c>
      <c r="K10" s="171">
        <f t="shared" ref="K10:K16" si="7">ROUND(B10*F10,0)</f>
        <v>6232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926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927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928</v>
      </c>
      <c r="T11" s="171">
        <f>Troupeau!B37</f>
        <v>11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929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930</v>
      </c>
      <c r="T12" s="171">
        <f>ROUNDDOWN(T11*T10/100,0)</f>
        <v>2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931</v>
      </c>
      <c r="B13" s="171">
        <f>T11-B14</f>
        <v>9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1136.2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10226</v>
      </c>
      <c r="K13" s="171">
        <f t="shared" si="7"/>
        <v>10226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932</v>
      </c>
      <c r="B14" s="171">
        <f>ROUNDDOWN(T11*T10/100,0)</f>
        <v>2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4303</v>
      </c>
      <c r="K14" s="171">
        <f t="shared" si="7"/>
        <v>4303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933</v>
      </c>
      <c r="B15" s="171">
        <f>Troupeau!B38</f>
        <v>0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1044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0</v>
      </c>
      <c r="K15" s="171">
        <f t="shared" si="7"/>
        <v>0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934</v>
      </c>
      <c r="S15" s="32" t="s">
        <v>935</v>
      </c>
      <c r="T15" s="5" t="s">
        <v>936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937</v>
      </c>
      <c r="B16" s="171">
        <f>+B15</f>
        <v>0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0</v>
      </c>
      <c r="K16" s="171">
        <f t="shared" si="7"/>
        <v>0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912</v>
      </c>
      <c r="R16" s="30">
        <f>'Alim -Surf'!K13</f>
        <v>-10.6</v>
      </c>
      <c r="S16" s="5">
        <f>IF(R16&gt;0,R16,0)</f>
        <v>0</v>
      </c>
      <c r="T16" s="5">
        <f>IF(R16&lt;0,-R16,0)</f>
        <v>10.6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938</v>
      </c>
      <c r="R17" s="30">
        <f>'Alim -Surf'!K14</f>
        <v>-5</v>
      </c>
      <c r="S17" s="5">
        <f>IF(R17&gt;0,R17,0)</f>
        <v>0</v>
      </c>
      <c r="T17" s="5">
        <f t="shared" ref="T17:T18" si="12">IF(R17&lt;0,-R17,0)</f>
        <v>5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934</v>
      </c>
      <c r="AE17" s="171" t="s">
        <v>939</v>
      </c>
      <c r="AF17" s="171" t="s">
        <v>940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941</v>
      </c>
      <c r="B18" s="169"/>
      <c r="C18" s="36" t="s">
        <v>942</v>
      </c>
      <c r="D18" s="33" t="s">
        <v>943</v>
      </c>
      <c r="E18" s="170"/>
      <c r="F18" s="36" t="s">
        <v>944</v>
      </c>
      <c r="G18" s="36" t="s">
        <v>945</v>
      </c>
      <c r="H18" s="170"/>
      <c r="I18" s="170"/>
      <c r="J18" s="5"/>
      <c r="K18" s="5"/>
      <c r="L18" s="5"/>
      <c r="M18" s="5"/>
      <c r="N18" s="5"/>
      <c r="P18" s="5"/>
      <c r="Q18" s="5" t="s">
        <v>946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912</v>
      </c>
      <c r="AC18" s="171">
        <f>SUM(AF6:AF15)</f>
        <v>0</v>
      </c>
      <c r="AD18" s="171">
        <f>'Alim -Surf'!K13</f>
        <v>-10.6</v>
      </c>
      <c r="AE18" s="171">
        <f>IF(AD18&gt;=0,AD18,0)</f>
        <v>0</v>
      </c>
      <c r="AF18" s="171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912</v>
      </c>
      <c r="B19" s="171"/>
      <c r="C19" s="171">
        <f>AE18</f>
        <v>0</v>
      </c>
      <c r="D19" s="171">
        <f>AF18</f>
        <v>0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0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947</v>
      </c>
      <c r="AC19" s="171">
        <f>SUM(AG6:AI15)</f>
        <v>0</v>
      </c>
      <c r="AD19" s="171">
        <f>'Alim -Surf'!K14</f>
        <v>-5</v>
      </c>
      <c r="AE19" s="171">
        <f>IF(AD19&gt;=0,AD19,0)</f>
        <v>0</v>
      </c>
      <c r="AF19" s="171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947</v>
      </c>
      <c r="B20" s="171"/>
      <c r="C20" s="171">
        <f>AE19</f>
        <v>0</v>
      </c>
      <c r="D20" s="171">
        <f t="shared" ref="D20:D21" si="13">AF19</f>
        <v>0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0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948</v>
      </c>
      <c r="AC20" s="171">
        <f>SUM(AJ6:AJ15)</f>
        <v>0</v>
      </c>
      <c r="AD20" s="171">
        <f>'Alim -Surf'!K15</f>
        <v>0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916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949</v>
      </c>
      <c r="AA22"/>
      <c r="AB22"/>
      <c r="AC22"/>
      <c r="AD22"/>
      <c r="AE22" t="s">
        <v>950</v>
      </c>
      <c r="AF22"/>
      <c r="AG22"/>
      <c r="AH22"/>
      <c r="AI22" t="s">
        <v>951</v>
      </c>
      <c r="AJ22"/>
      <c r="AK22"/>
      <c r="AM22"/>
      <c r="AN22" t="s">
        <v>952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953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954</v>
      </c>
      <c r="S24" s="18"/>
      <c r="T24" s="5" t="s">
        <v>955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956</v>
      </c>
      <c r="X26" t="s">
        <v>957</v>
      </c>
      <c r="AA26" s="169" t="s">
        <v>958</v>
      </c>
      <c r="AB26" s="169" t="s">
        <v>959</v>
      </c>
      <c r="AC26" s="169" t="s">
        <v>709</v>
      </c>
      <c r="AD26" s="5"/>
      <c r="AE26" s="169" t="s">
        <v>958</v>
      </c>
      <c r="AF26" s="169" t="s">
        <v>960</v>
      </c>
      <c r="AG26" s="169" t="s">
        <v>709</v>
      </c>
      <c r="AI26" s="169" t="s">
        <v>958</v>
      </c>
      <c r="AJ26" s="169" t="s">
        <v>961</v>
      </c>
      <c r="AK26" s="169" t="s">
        <v>709</v>
      </c>
      <c r="AL26" s="170"/>
      <c r="AN26" s="169" t="s">
        <v>958</v>
      </c>
      <c r="AO26" s="169" t="s">
        <v>962</v>
      </c>
      <c r="AP26" s="169" t="s">
        <v>709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906</v>
      </c>
      <c r="S27" s="169" t="s">
        <v>922</v>
      </c>
      <c r="T27" s="169" t="s">
        <v>923</v>
      </c>
      <c r="U27" s="169" t="s">
        <v>924</v>
      </c>
      <c r="V27" s="169" t="s">
        <v>13</v>
      </c>
      <c r="X27" s="15" t="s">
        <v>963</v>
      </c>
      <c r="Z27" s="209" t="s">
        <v>964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965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966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447</v>
      </c>
      <c r="R28" s="171">
        <f>IF(Troupeau!B$3="BV",Troupeau!B$17,0)</f>
        <v>52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52</v>
      </c>
      <c r="W28" s="14" t="s">
        <v>447</v>
      </c>
      <c r="X28" s="171">
        <f>V28/$T$25</f>
        <v>52</v>
      </c>
      <c r="Z28" s="14" t="s">
        <v>967</v>
      </c>
      <c r="AA28" s="186">
        <f>[1]Eco!$F$5</f>
        <v>121</v>
      </c>
      <c r="AB28" s="210">
        <f>IF(X28&lt;51,0,IF(X28&gt;99,49,X28-50))</f>
        <v>2</v>
      </c>
      <c r="AC28" s="171">
        <f t="shared" ref="AC28:AC29" si="15">AA28*AB28</f>
        <v>242</v>
      </c>
      <c r="AD28" s="5" t="s">
        <v>968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969</v>
      </c>
      <c r="AK28" s="62">
        <f>AK27*T25</f>
        <v>0</v>
      </c>
      <c r="AL28" s="36"/>
      <c r="AM28" s="14" t="s">
        <v>970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971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489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489</v>
      </c>
      <c r="X29" s="171">
        <f>V29/$T$25</f>
        <v>0</v>
      </c>
      <c r="Z29" s="14" t="s">
        <v>972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969</v>
      </c>
      <c r="AG29" s="62">
        <f>SUM(AG27:AG28)*T25</f>
        <v>0</v>
      </c>
      <c r="AO29" s="40" t="s">
        <v>969</v>
      </c>
      <c r="AP29" s="62">
        <f>IF(Scénario!K10=1,'Calcul éco'!AP27,'Calcul éco'!AP28)*T25</f>
        <v>0</v>
      </c>
    </row>
    <row r="30" spans="1:143" x14ac:dyDescent="0.25">
      <c r="A30" s="15" t="s">
        <v>973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493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974</v>
      </c>
      <c r="X30" s="171">
        <f>(V30+V31)/$T$25</f>
        <v>0</v>
      </c>
      <c r="AB30" s="40" t="s">
        <v>969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975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976</v>
      </c>
      <c r="Q32" s="14" t="s">
        <v>977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977</v>
      </c>
      <c r="X32" s="171">
        <f>V32/T25</f>
        <v>0</v>
      </c>
    </row>
    <row r="33" spans="1:143" x14ac:dyDescent="0.25">
      <c r="A33" s="2" t="s">
        <v>978</v>
      </c>
      <c r="Q33" s="169"/>
      <c r="R33" s="169"/>
      <c r="S33" s="169"/>
      <c r="T33" s="169"/>
      <c r="U33" s="169"/>
      <c r="X33" s="170"/>
    </row>
    <row r="34" spans="1:143" x14ac:dyDescent="0.25">
      <c r="A34" t="s">
        <v>979</v>
      </c>
      <c r="J34" s="171">
        <f>AC30</f>
        <v>8542</v>
      </c>
      <c r="K34" s="171"/>
      <c r="L34" s="171"/>
      <c r="M34" s="171"/>
      <c r="N34" s="171"/>
      <c r="O34" s="206"/>
      <c r="Q34" s="200" t="s">
        <v>980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981</v>
      </c>
      <c r="J35" s="171">
        <f>AP29</f>
        <v>0</v>
      </c>
      <c r="K35" s="171"/>
      <c r="L35" s="171"/>
      <c r="M35" s="171"/>
      <c r="N35" s="171"/>
      <c r="O35" s="206"/>
      <c r="X35" s="2" t="s">
        <v>982</v>
      </c>
      <c r="Y35" s="14" t="s">
        <v>983</v>
      </c>
      <c r="Z35" s="62" t="str">
        <f>Scénario!K9</f>
        <v>M2</v>
      </c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M2</v>
      </c>
      <c r="AA36" s="5"/>
      <c r="AB36" s="14" t="s">
        <v>986</v>
      </c>
      <c r="AC36" s="186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71">
        <f>AG29</f>
        <v>0</v>
      </c>
      <c r="K37" s="171"/>
      <c r="L37" s="171"/>
      <c r="M37" s="171"/>
      <c r="N37" s="171"/>
      <c r="O37" s="206"/>
      <c r="S37" s="40" t="s">
        <v>988</v>
      </c>
      <c r="T37" t="s">
        <v>989</v>
      </c>
      <c r="U37" t="s">
        <v>990</v>
      </c>
      <c r="V37" t="s">
        <v>991</v>
      </c>
      <c r="X37" s="170"/>
      <c r="AB37" s="169" t="s">
        <v>992</v>
      </c>
      <c r="AC37" s="169" t="s">
        <v>958</v>
      </c>
      <c r="AD37" s="169" t="s">
        <v>709</v>
      </c>
      <c r="AF37" s="169"/>
    </row>
    <row r="38" spans="1:143" x14ac:dyDescent="0.25">
      <c r="A38" t="s">
        <v>993</v>
      </c>
      <c r="J38" s="171">
        <f>AK28</f>
        <v>0</v>
      </c>
      <c r="K38" s="171"/>
      <c r="L38" s="171"/>
      <c r="M38" s="171"/>
      <c r="N38" s="171"/>
      <c r="O38" s="206"/>
      <c r="S38" s="14" t="s">
        <v>994</v>
      </c>
      <c r="T38" s="171">
        <f>SUM('Alim -Surf'!E34:E43)-'Alim -Surf'!E35</f>
        <v>2.4999999999999996</v>
      </c>
      <c r="U38" s="171">
        <v>1</v>
      </c>
      <c r="V38" s="171">
        <f>T38*U38</f>
        <v>2.4999999999999996</v>
      </c>
      <c r="Y38" s="14" t="s">
        <v>995</v>
      </c>
      <c r="Z38" s="30">
        <f>V46</f>
        <v>29.56</v>
      </c>
      <c r="AA38" s="14" t="s">
        <v>996</v>
      </c>
      <c r="AB38" s="171">
        <f>IF(Z39&gt;25, 25,Z39)</f>
        <v>25</v>
      </c>
      <c r="AC38" s="171">
        <f>AC40+AC36</f>
        <v>293</v>
      </c>
      <c r="AD38" s="171">
        <f>AB38*AC38</f>
        <v>7325</v>
      </c>
    </row>
    <row r="39" spans="1:143" x14ac:dyDescent="0.25">
      <c r="A39" t="s">
        <v>997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21.9</v>
      </c>
      <c r="U39" s="171">
        <f>[1]Eco!$B$20/100</f>
        <v>1</v>
      </c>
      <c r="V39" s="171">
        <f t="shared" ref="V39:V41" si="18">T39*U39</f>
        <v>21.9</v>
      </c>
      <c r="Y39" s="14" t="s">
        <v>998</v>
      </c>
      <c r="Z39" s="30">
        <f>Z38/T25</f>
        <v>29.56</v>
      </c>
      <c r="AA39" s="14" t="s">
        <v>999</v>
      </c>
      <c r="AB39" s="171">
        <f>IF(Z39&gt;50,25,IF(Z39&gt;25,Z39-25,0))</f>
        <v>4.5599999999999987</v>
      </c>
      <c r="AC39" s="171">
        <f>AC40+0.66*AC36</f>
        <v>217.18</v>
      </c>
      <c r="AD39" s="171">
        <f t="shared" ref="AD39:AD40" si="19">AB39*AC39</f>
        <v>990.34079999999972</v>
      </c>
    </row>
    <row r="40" spans="1:143" x14ac:dyDescent="0.25">
      <c r="A40" t="s">
        <v>548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3</v>
      </c>
      <c r="U40" s="171">
        <f>[1]Eco!$B$21/100</f>
        <v>1</v>
      </c>
      <c r="V40" s="171">
        <f t="shared" si="18"/>
        <v>3</v>
      </c>
      <c r="AA40" s="14" t="s">
        <v>1000</v>
      </c>
      <c r="AB40" s="171">
        <f>IF(Z39&gt;75,25,IF(Z39&gt;50,Z39-50,0))</f>
        <v>0</v>
      </c>
      <c r="AC40" s="186">
        <f>[1]Eco!$B$34</f>
        <v>70</v>
      </c>
      <c r="AD40" s="171">
        <f t="shared" si="19"/>
        <v>0</v>
      </c>
    </row>
    <row r="41" spans="1:143" x14ac:dyDescent="0.25">
      <c r="A41" s="23" t="s">
        <v>1001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3.6</v>
      </c>
      <c r="U41" s="171">
        <f>[1]Eco!$B$22/100</f>
        <v>0.6</v>
      </c>
      <c r="V41" s="171">
        <f t="shared" si="18"/>
        <v>2.16</v>
      </c>
      <c r="AC41" s="40" t="s">
        <v>969</v>
      </c>
      <c r="AD41" s="62">
        <f>SUM(AD38:AD40)*T25</f>
        <v>8315.3407999999999</v>
      </c>
    </row>
    <row r="42" spans="1:143" x14ac:dyDescent="0.25">
      <c r="A42" t="s">
        <v>1002</v>
      </c>
      <c r="B42" s="30">
        <f>V46</f>
        <v>29.56</v>
      </c>
      <c r="C42" s="211">
        <f>[1]Eco!$B$24</f>
        <v>97</v>
      </c>
      <c r="J42" s="171">
        <f>B42*C42</f>
        <v>2867.3199999999997</v>
      </c>
      <c r="K42" s="171"/>
      <c r="L42" s="171"/>
      <c r="M42" s="171"/>
      <c r="N42" s="171"/>
      <c r="O42" s="206"/>
      <c r="R42" s="212"/>
      <c r="S42" s="207" t="s">
        <v>1003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1004</v>
      </c>
      <c r="AG42" s="213" t="s">
        <v>1005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1006</v>
      </c>
      <c r="B43" s="30">
        <f>IF(Z39&gt;52,52,Z39)*T25</f>
        <v>29.56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1448.4399999999998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1007</v>
      </c>
      <c r="B44" s="30">
        <f>B42</f>
        <v>29.56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1980.52</v>
      </c>
      <c r="K44" s="171"/>
      <c r="L44" s="171"/>
      <c r="M44" s="171"/>
      <c r="N44" s="171"/>
      <c r="O44" s="206"/>
      <c r="U44" s="40" t="s">
        <v>1008</v>
      </c>
      <c r="V44" s="62">
        <f>SUM(V38:V41)-T42</f>
        <v>29.56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1009</v>
      </c>
      <c r="J45" s="171">
        <f>IF(Scénario!K9=0,0,AD41)</f>
        <v>8315.3407999999999</v>
      </c>
      <c r="K45" s="171"/>
      <c r="L45" s="171"/>
      <c r="M45" s="171"/>
      <c r="N45" s="171"/>
      <c r="O45" s="206"/>
      <c r="U45" s="14" t="s">
        <v>1010</v>
      </c>
      <c r="V45" s="171">
        <f>S55</f>
        <v>0</v>
      </c>
      <c r="X45" s="213" t="s">
        <v>1011</v>
      </c>
      <c r="Y45" s="213"/>
      <c r="Z45" s="213"/>
      <c r="AA45" s="213"/>
      <c r="AB45" s="213"/>
      <c r="AC45" s="213"/>
      <c r="AD45" s="213"/>
      <c r="AE45" s="213"/>
      <c r="AF45" s="215" t="s">
        <v>558</v>
      </c>
      <c r="AG45" s="213"/>
      <c r="AH45" s="213" t="s">
        <v>1012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572</v>
      </c>
      <c r="BH45" s="213"/>
      <c r="BI45" s="213" t="s">
        <v>1012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579</v>
      </c>
      <c r="CJ45" s="215"/>
      <c r="CK45" s="215" t="s">
        <v>1012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1013</v>
      </c>
      <c r="DL45" s="215"/>
      <c r="DM45" s="215" t="s">
        <v>1012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1014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1015</v>
      </c>
      <c r="V46" s="62">
        <f>V44+V45</f>
        <v>29.56</v>
      </c>
      <c r="W46"/>
      <c r="X46" s="213"/>
      <c r="Y46" s="217" t="s">
        <v>906</v>
      </c>
      <c r="Z46" s="217" t="s">
        <v>922</v>
      </c>
      <c r="AA46" s="217" t="s">
        <v>923</v>
      </c>
      <c r="AB46" s="217" t="s">
        <v>924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447</v>
      </c>
      <c r="Y47" s="217">
        <f>IF(Troupeau!B$3="BV",Troupeau!B$49,0)</f>
        <v>65.199999999999989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65.199999999999989</v>
      </c>
      <c r="AD47" s="213"/>
      <c r="AE47" s="213"/>
      <c r="AF47" s="220" t="s">
        <v>1016</v>
      </c>
      <c r="AG47" s="213" t="str">
        <f>CdTrp1!A39</f>
        <v>Vaches lots principal</v>
      </c>
      <c r="AH47" s="217">
        <f>CdTrp1!B39</f>
        <v>39.520000000000003</v>
      </c>
      <c r="AI47" s="217">
        <f>CdTrp1!C39</f>
        <v>39.520000000000003</v>
      </c>
      <c r="AJ47" s="217">
        <f>CdTrp1!D39</f>
        <v>39.520000000000003</v>
      </c>
      <c r="AK47" s="217">
        <f>CdTrp1!E39</f>
        <v>39.520000000000003</v>
      </c>
      <c r="AL47" s="217">
        <f>CdTrp1!F39</f>
        <v>37.44</v>
      </c>
      <c r="AM47" s="217">
        <f>CdTrp1!G39</f>
        <v>35.36</v>
      </c>
      <c r="AN47" s="217">
        <f>CdTrp1!H39</f>
        <v>33.28</v>
      </c>
      <c r="AO47" s="217">
        <f>CdTrp1!I39</f>
        <v>31.2</v>
      </c>
      <c r="AP47" s="217">
        <f>CdTrp1!J39</f>
        <v>25.635999999999999</v>
      </c>
      <c r="AQ47" s="217">
        <f>CdTrp1!K39</f>
        <v>24.751999999999999</v>
      </c>
      <c r="AR47" s="217">
        <f>CdTrp1!L39</f>
        <v>23.867999999999999</v>
      </c>
      <c r="AS47" s="217">
        <f>CdTrp1!M39</f>
        <v>23.867999999999999</v>
      </c>
      <c r="AT47" s="217">
        <f>CdTrp1!N39</f>
        <v>23.867999999999999</v>
      </c>
      <c r="AU47" s="217">
        <f>CdTrp1!O39</f>
        <v>23.867999999999999</v>
      </c>
      <c r="AV47" s="217">
        <f>CdTrp1!P39</f>
        <v>22.983999999999998</v>
      </c>
      <c r="AW47" s="217">
        <f>CdTrp1!Q39</f>
        <v>22.983999999999998</v>
      </c>
      <c r="AX47" s="217">
        <f>CdTrp1!R39</f>
        <v>23.867999999999999</v>
      </c>
      <c r="AY47" s="217">
        <f>CdTrp1!S39</f>
        <v>24.751999999999999</v>
      </c>
      <c r="AZ47" s="217">
        <f>CdTrp1!T39</f>
        <v>31.2</v>
      </c>
      <c r="BA47" s="217">
        <f>CdTrp1!U39</f>
        <v>33.28</v>
      </c>
      <c r="BB47" s="217">
        <f>CdTrp1!V39</f>
        <v>36.4</v>
      </c>
      <c r="BC47" s="217">
        <f>CdTrp1!W39</f>
        <v>38.479999999999997</v>
      </c>
      <c r="BD47" s="217">
        <f>CdTrp1!X39</f>
        <v>39.520000000000003</v>
      </c>
      <c r="BE47" s="217">
        <f>CdTrp1!Y39</f>
        <v>39.520000000000003</v>
      </c>
      <c r="BF47" s="213"/>
      <c r="BG47" s="214" t="s">
        <v>1016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1016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1016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1017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61888.620799999997</v>
      </c>
      <c r="K48" s="222"/>
      <c r="L48" s="222"/>
      <c r="M48" s="222"/>
      <c r="N48" s="222"/>
      <c r="O48" s="223"/>
      <c r="X48" s="214" t="s">
        <v>489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17.471999999999998</v>
      </c>
      <c r="AI48" s="217">
        <f>CdTrp1!C40</f>
        <v>17.471999999999998</v>
      </c>
      <c r="AJ48" s="217">
        <f>CdTrp1!D40</f>
        <v>17.471999999999998</v>
      </c>
      <c r="AK48" s="217">
        <f>CdTrp1!E40</f>
        <v>17.471999999999998</v>
      </c>
      <c r="AL48" s="217">
        <f>CdTrp1!F40</f>
        <v>17.471999999999998</v>
      </c>
      <c r="AM48" s="217">
        <f>CdTrp1!G40</f>
        <v>17.471999999999998</v>
      </c>
      <c r="AN48" s="217">
        <f>CdTrp1!H40</f>
        <v>17.471999999999998</v>
      </c>
      <c r="AO48" s="217">
        <f>CdTrp1!I40</f>
        <v>17.471999999999998</v>
      </c>
      <c r="AP48" s="217">
        <f>CdTrp1!J40</f>
        <v>17.471999999999998</v>
      </c>
      <c r="AQ48" s="217">
        <f>CdTrp1!K40</f>
        <v>17.471999999999998</v>
      </c>
      <c r="AR48" s="217">
        <f>CdTrp1!L40</f>
        <v>17.471999999999998</v>
      </c>
      <c r="AS48" s="217">
        <f>CdTrp1!M40</f>
        <v>17.471999999999998</v>
      </c>
      <c r="AT48" s="217">
        <f>CdTrp1!N40</f>
        <v>17.471999999999998</v>
      </c>
      <c r="AU48" s="217">
        <f>CdTrp1!O40</f>
        <v>17.471999999999998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0</v>
      </c>
      <c r="BC48" s="217">
        <f>IF(CdTrp1!I76=1,1,IF(CdTrp1!I76=2,2,IF(CdTrp1!I76=3,2,0)))</f>
        <v>0</v>
      </c>
      <c r="BD48" s="217">
        <f>IF(CdTrp1!J76=1,1,IF(CdTrp1!J76=2,2,IF(CdTrp1!J76=3,2,0)))</f>
        <v>0</v>
      </c>
      <c r="BE48" s="217">
        <f>IF(CdTrp1!K76=1,1,IF(CdTrp1!K76=2,2,IF(CdTrp1!K76=3,2,0)))</f>
        <v>0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0</v>
      </c>
      <c r="BN48" s="217">
        <f>IF(CdTrp1!T76=1,1,IF(CdTrp1!T76=2,2,IF(CdTrp1!T76=3,2,0)))</f>
        <v>0</v>
      </c>
      <c r="BO48" s="217">
        <f>IF(CdTrp1!U76=1,1,IF(CdTrp1!U76=2,2,IF(CdTrp1!U76=3,2,0)))</f>
        <v>0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1018</v>
      </c>
      <c r="X49" s="214" t="s">
        <v>493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0.36399999999999999</v>
      </c>
      <c r="AL49" s="217">
        <f>CdTrp1!F41</f>
        <v>0.72799999999999998</v>
      </c>
      <c r="AM49" s="217">
        <f>CdTrp1!G41</f>
        <v>1.8199999999999998</v>
      </c>
      <c r="AN49" s="217">
        <f>CdTrp1!H41</f>
        <v>2.9119999999999999</v>
      </c>
      <c r="AO49" s="217">
        <f>CdTrp1!I41</f>
        <v>4.0039999999999996</v>
      </c>
      <c r="AP49" s="217">
        <f>CdTrp1!J41</f>
        <v>4.0039999999999996</v>
      </c>
      <c r="AQ49" s="217">
        <f>CdTrp1!K41</f>
        <v>4.0039999999999996</v>
      </c>
      <c r="AR49" s="217">
        <f>CdTrp1!L41</f>
        <v>4.3679999999999994</v>
      </c>
      <c r="AS49" s="217">
        <f>CdTrp1!M41</f>
        <v>4.3679999999999994</v>
      </c>
      <c r="AT49" s="217">
        <f>CdTrp1!N41</f>
        <v>4.3679999999999994</v>
      </c>
      <c r="AU49" s="217">
        <f>CdTrp1!O41</f>
        <v>4.3679999999999994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0</v>
      </c>
      <c r="BD49" s="217">
        <f>IF(CdTrp1!J77=1,1,IF(CdTrp1!J77=2,2,IF(CdTrp1!J77=3,2,0)))</f>
        <v>0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558</v>
      </c>
      <c r="R50" t="str">
        <f>Troupeau!B3</f>
        <v>BV</v>
      </c>
      <c r="S50" s="30">
        <f>Scénario!K54*Scénario!K55+Scénario!K76*Scénario!K77</f>
        <v>0</v>
      </c>
      <c r="X50" s="214" t="s">
        <v>975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1.768</v>
      </c>
      <c r="AM50" s="217">
        <f>CdTrp1!G42</f>
        <v>3.536</v>
      </c>
      <c r="AN50" s="217">
        <f>CdTrp1!H42</f>
        <v>5.3040000000000003</v>
      </c>
      <c r="AO50" s="217">
        <f>CdTrp1!I42</f>
        <v>7.0720000000000001</v>
      </c>
      <c r="AP50" s="217">
        <f>CdTrp1!J42</f>
        <v>7.9559999999999995</v>
      </c>
      <c r="AQ50" s="217">
        <f>CdTrp1!K42</f>
        <v>8.84</v>
      </c>
      <c r="AR50" s="217">
        <f>CdTrp1!L42</f>
        <v>9.7240000000000002</v>
      </c>
      <c r="AS50" s="217">
        <f>CdTrp1!M42</f>
        <v>9.7240000000000002</v>
      </c>
      <c r="AT50" s="217">
        <f>CdTrp1!N42</f>
        <v>9.7240000000000002</v>
      </c>
      <c r="AU50" s="217">
        <f>CdTrp1!O42</f>
        <v>9.7240000000000002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572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977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0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0</v>
      </c>
      <c r="BN51" s="217">
        <f>IF(CdTrp1!T79=1,1,IF(CdTrp1!T79=2,2,IF(CdTrp1!T79=3,2,0)))</f>
        <v>0</v>
      </c>
      <c r="BO51" s="217">
        <f>IF(CdTrp1!U79=1,1,IF(CdTrp1!U79=2,2,IF(CdTrp1!U79=3,2,0)))</f>
        <v>0</v>
      </c>
      <c r="BP51" s="217">
        <f>IF(CdTrp1!V79=1,1,IF(CdTrp1!V79=2,2,IF(CdTrp1!V79=3,2,0)))</f>
        <v>0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579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1019</v>
      </c>
      <c r="Y53" s="213">
        <f>ROUND(SUM(AC49:AC51)/SUM(AC47:AC51)*100,0)</f>
        <v>0</v>
      </c>
      <c r="Z53" s="213" t="s">
        <v>443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1020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1021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1022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1022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1022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1022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1023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1023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1023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1023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0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0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0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1025</v>
      </c>
      <c r="AG79" s="215">
        <f>SUM(AH69:BE78)</f>
        <v>0</v>
      </c>
      <c r="AH79" s="213" t="s">
        <v>1026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1025</v>
      </c>
      <c r="BH79" s="213">
        <f>SUM(BI69:CF78)</f>
        <v>0</v>
      </c>
      <c r="BI79" s="213" t="s">
        <v>1026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1025</v>
      </c>
      <c r="CJ79" s="213">
        <f>SUM(CK69:DH78)</f>
        <v>0</v>
      </c>
      <c r="CK79" s="213" t="s">
        <v>1026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1025</v>
      </c>
      <c r="DL79" s="213">
        <f>SUM(DM69:EJ78)</f>
        <v>0</v>
      </c>
      <c r="DM79" s="213" t="s">
        <v>1026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1027</v>
      </c>
      <c r="D80" s="33" t="s">
        <v>1028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1029</v>
      </c>
      <c r="C81" s="36" t="s">
        <v>1030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10.6</v>
      </c>
      <c r="E82" s="171">
        <f t="shared" ref="E82:F97" si="31">BZ89+CD89</f>
        <v>0</v>
      </c>
      <c r="F82" s="171">
        <f t="shared" si="31"/>
        <v>0</v>
      </c>
      <c r="J82" s="171">
        <f>SUM(K82:M82)</f>
        <v>2120</v>
      </c>
      <c r="K82" s="171">
        <f>$C82*D82</f>
        <v>2120</v>
      </c>
      <c r="L82" s="171">
        <f t="shared" ref="L82:M97" si="32">$C82*E82</f>
        <v>0</v>
      </c>
      <c r="M82" s="171">
        <f t="shared" si="32"/>
        <v>0</v>
      </c>
      <c r="X82" s="14" t="s">
        <v>1031</v>
      </c>
      <c r="Y82" s="171">
        <f>B14</f>
        <v>2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7.3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1204.5</v>
      </c>
      <c r="K83" s="171">
        <f t="shared" ref="K83:M106" si="35">$C83*D83</f>
        <v>1204.5</v>
      </c>
      <c r="L83" s="171">
        <f t="shared" si="32"/>
        <v>0</v>
      </c>
      <c r="M83" s="171">
        <f t="shared" si="32"/>
        <v>0</v>
      </c>
      <c r="Q83" s="2" t="s">
        <v>1032</v>
      </c>
      <c r="X83" s="14" t="s">
        <v>1033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0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1034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1035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5.0999999999999996</v>
      </c>
      <c r="E87" s="171">
        <f t="shared" si="31"/>
        <v>0</v>
      </c>
      <c r="F87" s="171">
        <f t="shared" si="31"/>
        <v>0</v>
      </c>
      <c r="J87" s="171">
        <f t="shared" si="34"/>
        <v>2080.7999999999997</v>
      </c>
      <c r="K87" s="171">
        <f t="shared" si="35"/>
        <v>2080.7999999999997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1036</v>
      </c>
      <c r="AB87" t="s">
        <v>86</v>
      </c>
      <c r="AL87"/>
      <c r="BG87"/>
      <c r="BY87" t="s">
        <v>932</v>
      </c>
      <c r="CC87" t="s">
        <v>1037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1038</v>
      </c>
      <c r="Z88" t="s">
        <v>709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906</v>
      </c>
      <c r="BZ88" s="169" t="s">
        <v>922</v>
      </c>
      <c r="CA88" s="169" t="s">
        <v>923</v>
      </c>
      <c r="CB88" s="169"/>
      <c r="CC88" s="169" t="s">
        <v>906</v>
      </c>
      <c r="CD88" s="169" t="s">
        <v>922</v>
      </c>
      <c r="CE88" s="169" t="s">
        <v>923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2 -grain céréales à paille</v>
      </c>
      <c r="X89" s="61">
        <f t="shared" ref="X89:X93" si="36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7">IF($X89=AB$88,ROUND($Z89/1000,1),0)</f>
        <v>0</v>
      </c>
      <c r="AC89" s="54">
        <f t="shared" si="37"/>
        <v>2.2999999999999998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0</v>
      </c>
      <c r="BZ89" s="171">
        <f>+AB$101</f>
        <v>0</v>
      </c>
      <c r="CA89" s="171">
        <f>+AB$108</f>
        <v>0</v>
      </c>
      <c r="CC89" s="171">
        <f>CdTrp1!AK$54</f>
        <v>10.6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0.6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2.2999999999999998</v>
      </c>
      <c r="BZ90" s="171">
        <f>+AC$101</f>
        <v>0</v>
      </c>
      <c r="CA90" s="171">
        <f>+AC$108</f>
        <v>0</v>
      </c>
      <c r="CC90" s="171">
        <f>CdTrp1!AL$54</f>
        <v>5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0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0</v>
      </c>
      <c r="AC94" s="227">
        <f t="shared" ref="AC94:BV94" si="40">SUM(AC89:AC93)</f>
        <v>2.2999999999999998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0.6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0.6</v>
      </c>
      <c r="BZ94" s="171">
        <f>+AG$101</f>
        <v>0</v>
      </c>
      <c r="CA94" s="171">
        <f>+AG$108</f>
        <v>0</v>
      </c>
      <c r="CC94" s="171">
        <f>CdTrp1!AP$54</f>
        <v>4.5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0</v>
      </c>
      <c r="E98" s="171">
        <f t="shared" si="33"/>
        <v>0</v>
      </c>
      <c r="F98" s="171">
        <f t="shared" si="33"/>
        <v>0</v>
      </c>
      <c r="J98" s="171">
        <f t="shared" si="34"/>
        <v>0</v>
      </c>
      <c r="K98" s="171">
        <f t="shared" si="35"/>
        <v>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0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1039</v>
      </c>
      <c r="J110" s="171">
        <f t="shared" ref="J110:J115" si="52">SUM(K110:N110)</f>
        <v>2860</v>
      </c>
      <c r="K110" s="175">
        <f t="shared" ref="K110:K115" si="53">ROUND(T132*U132,0)</f>
        <v>2860</v>
      </c>
      <c r="L110" s="175">
        <f>ROUND(V132*W132,0)</f>
        <v>0</v>
      </c>
      <c r="M110" s="175">
        <f t="shared" ref="M110:M115" si="54">ROUND(X132*Y132,0)</f>
        <v>0</v>
      </c>
      <c r="R110" s="40" t="s">
        <v>1040</v>
      </c>
      <c r="S110" s="169" t="str">
        <f>Troupeau!B3</f>
        <v>BV</v>
      </c>
      <c r="T110" s="61">
        <f>SUM(K82:K106)</f>
        <v>5405.2999999999993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1041</v>
      </c>
      <c r="J111" s="171">
        <f t="shared" si="52"/>
        <v>3744</v>
      </c>
      <c r="K111" s="175">
        <f t="shared" si="53"/>
        <v>3744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1042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1043</v>
      </c>
      <c r="J113" s="171">
        <f t="shared" si="52"/>
        <v>988</v>
      </c>
      <c r="K113" s="175">
        <f t="shared" si="53"/>
        <v>988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1044</v>
      </c>
      <c r="J114" s="171">
        <f t="shared" si="52"/>
        <v>1820</v>
      </c>
      <c r="K114" s="175">
        <f t="shared" si="53"/>
        <v>1820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1045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1046</v>
      </c>
      <c r="K116" s="62">
        <f>SUM(K110:K115)+SUM(K82:K106)</f>
        <v>14817.3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1047</v>
      </c>
      <c r="B118" s="175">
        <f>IF('Alim -Surf'!K27&lt;0,-'Alim -Surf'!K27,0)</f>
        <v>104.267</v>
      </c>
      <c r="C118" s="186">
        <f>IF(Scénario!$K$12="BV",[1]Eco!$B$78,IF(Scénario!$K$12="BL",[1]Eco!$B$77,[1]Eco!$B$76))</f>
        <v>150</v>
      </c>
      <c r="J118" s="171">
        <f>B118*C118</f>
        <v>15640.05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1048</v>
      </c>
      <c r="B119" s="175">
        <f>IF('Alim -Surf'!K9&lt;0,-'Alim -Surf'!K9,0)</f>
        <v>92.19</v>
      </c>
      <c r="C119" s="186">
        <f>[1]Eco!$B$79</f>
        <v>80</v>
      </c>
      <c r="J119" s="171">
        <f>B119*C119</f>
        <v>7375.2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1049</v>
      </c>
      <c r="B121" t="s">
        <v>1050</v>
      </c>
      <c r="C121" t="s">
        <v>37</v>
      </c>
      <c r="D121" t="s">
        <v>1051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4</v>
      </c>
      <c r="C122" s="171">
        <f>'Alim -Surf'!E34</f>
        <v>2.5</v>
      </c>
      <c r="D122" s="186">
        <f>IF(B122=0,0,VLOOKUP(A122,[1]Anx!$A$212:$CO$218,3+Troupeau!$J$17))</f>
        <v>562</v>
      </c>
      <c r="J122" s="171">
        <f>C122*D122</f>
        <v>1405</v>
      </c>
      <c r="K122" s="170"/>
      <c r="L122" s="170"/>
      <c r="M122" s="170"/>
      <c r="N122" s="170"/>
      <c r="T122" s="2" t="s">
        <v>558</v>
      </c>
      <c r="U122" s="2" t="s">
        <v>572</v>
      </c>
      <c r="V122" s="2" t="s">
        <v>579</v>
      </c>
      <c r="W122" s="2" t="s">
        <v>1013</v>
      </c>
      <c r="BG122"/>
      <c r="BH122" s="14"/>
    </row>
    <row r="123" spans="1:83" x14ac:dyDescent="0.25">
      <c r="A123" s="185" t="str">
        <f>LEFT('Alim -Surf'!B35,10)</f>
        <v>landes lit</v>
      </c>
      <c r="B123" s="171">
        <f>'Alim -Surf'!D35</f>
        <v>28</v>
      </c>
      <c r="C123" s="171">
        <f>'Alim -Surf'!E35</f>
        <v>3.6</v>
      </c>
      <c r="D123" s="186">
        <f>IF(B123=0,0,VLOOKUP(A123,[1]Anx!$A$212:$CO$218,3+Troupeau!$J$17))</f>
        <v>0</v>
      </c>
      <c r="J123" s="171">
        <f t="shared" ref="J123:J131" si="56">C123*D123</f>
        <v>0</v>
      </c>
      <c r="K123" s="170"/>
      <c r="L123" s="170"/>
      <c r="M123" s="170"/>
      <c r="N123" s="170"/>
      <c r="S123" s="14" t="s">
        <v>1052</v>
      </c>
      <c r="T123" s="169">
        <f>Troupeau!J17</f>
        <v>10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1053</v>
      </c>
      <c r="AL123"/>
      <c r="AM123" s="5"/>
      <c r="BG123"/>
      <c r="BH123" s="14"/>
    </row>
    <row r="124" spans="1:83" x14ac:dyDescent="0.25">
      <c r="A124" s="185" t="str">
        <f>LEFT('Alim -Surf'!B36,10)</f>
        <v>0</v>
      </c>
      <c r="B124" s="171">
        <f>'Alim -Surf'!D36</f>
        <v>0</v>
      </c>
      <c r="C124" s="171">
        <f>'Alim -Surf'!E36</f>
        <v>0</v>
      </c>
      <c r="D124" s="186">
        <f>IF(B124=0,0,VLOOKUP(A124,[1]Anx!$A$212:$CO$218,3+Troupeau!$J$17))</f>
        <v>0</v>
      </c>
      <c r="J124" s="171">
        <f t="shared" si="56"/>
        <v>0</v>
      </c>
      <c r="K124" s="170"/>
      <c r="L124" s="170"/>
      <c r="M124" s="170"/>
      <c r="N124" s="170"/>
      <c r="S124" s="14" t="s">
        <v>1054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558</v>
      </c>
      <c r="AG124" s="2" t="s">
        <v>572</v>
      </c>
      <c r="AH124" s="2" t="s">
        <v>579</v>
      </c>
      <c r="AI124" s="2" t="s">
        <v>1013</v>
      </c>
      <c r="AJ124" s="230" t="s">
        <v>1055</v>
      </c>
      <c r="AL124"/>
      <c r="AM124" s="5"/>
      <c r="BG124"/>
      <c r="BH124" s="14"/>
    </row>
    <row r="125" spans="1:83" x14ac:dyDescent="0.25">
      <c r="A125" s="185" t="str">
        <f>LEFT('Alim -Surf'!B37,10)</f>
        <v>0</v>
      </c>
      <c r="B125" s="171">
        <f>'Alim -Surf'!D37</f>
        <v>0</v>
      </c>
      <c r="C125" s="171">
        <f>'Alim -Surf'!E37</f>
        <v>0</v>
      </c>
      <c r="D125" s="186">
        <f>IF(B125=0,0,VLOOKUP(A125,[1]Anx!$A$212:$CO$218,3+Troupeau!$J$17))</f>
        <v>0</v>
      </c>
      <c r="J125" s="171">
        <f t="shared" si="56"/>
        <v>0</v>
      </c>
      <c r="K125" s="170"/>
      <c r="L125" s="170"/>
      <c r="M125" s="170"/>
      <c r="N125" s="170"/>
      <c r="S125" s="14" t="s">
        <v>1056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1057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1058</v>
      </c>
      <c r="T126">
        <f>ROUND(AF147/100,2)</f>
        <v>121.88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1059</v>
      </c>
      <c r="AE126" t="s">
        <v>1060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1061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1062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1063</v>
      </c>
      <c r="AE128" t="s">
        <v>1064</v>
      </c>
      <c r="AF128" s="30">
        <f>AF126*AF127</f>
        <v>4730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1065</v>
      </c>
      <c r="AE129" t="s">
        <v>1060</v>
      </c>
      <c r="AF129" s="30">
        <f>B10</f>
        <v>9.5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558</v>
      </c>
      <c r="U130" s="2"/>
      <c r="V130" s="2" t="s">
        <v>572</v>
      </c>
      <c r="W130" s="2"/>
      <c r="X130" s="2" t="s">
        <v>579</v>
      </c>
      <c r="Y130" s="2"/>
      <c r="Z130" s="2" t="s">
        <v>1013</v>
      </c>
      <c r="AA130" s="2"/>
      <c r="AB130" s="204"/>
      <c r="AE130" t="s">
        <v>1062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1066</v>
      </c>
      <c r="U131" s="169" t="s">
        <v>1067</v>
      </c>
      <c r="V131" s="169" t="s">
        <v>1066</v>
      </c>
      <c r="W131" s="169" t="s">
        <v>1067</v>
      </c>
      <c r="X131" s="169" t="s">
        <v>1066</v>
      </c>
      <c r="Y131" s="169" t="s">
        <v>1067</v>
      </c>
      <c r="Z131" s="169" t="s">
        <v>1066</v>
      </c>
      <c r="AA131" s="169" t="s">
        <v>1067</v>
      </c>
      <c r="AB131" s="204" t="s">
        <v>1068</v>
      </c>
      <c r="AE131" t="s">
        <v>1064</v>
      </c>
      <c r="AF131" s="30">
        <f>AF129*AF130</f>
        <v>1900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1069</v>
      </c>
      <c r="B132" s="5"/>
      <c r="C132" s="171">
        <f>AH228</f>
        <v>8.1999999999999993</v>
      </c>
      <c r="D132" s="186">
        <f>HLOOKUP(Troupeau!$J$17,[1]Anx!$D$170:$CN$186,'Calcul éco'!O132)</f>
        <v>45</v>
      </c>
      <c r="E132" s="231"/>
      <c r="F132" s="231"/>
      <c r="G132" s="18"/>
      <c r="J132" s="171">
        <f>D132*C132</f>
        <v>368.99999999999994</v>
      </c>
      <c r="K132" s="170"/>
      <c r="L132" s="170"/>
      <c r="M132" s="170"/>
      <c r="N132" s="170"/>
      <c r="O132" s="229">
        <v>10</v>
      </c>
      <c r="S132" s="14" t="s">
        <v>1039</v>
      </c>
      <c r="T132" s="169">
        <f>$T$127</f>
        <v>52</v>
      </c>
      <c r="U132" s="186">
        <f>HLOOKUP($T$123,[1]Anx!$D$170:$CN$1177,$AB132)</f>
        <v>55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1070</v>
      </c>
      <c r="AE132" t="s">
        <v>1060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1071</v>
      </c>
      <c r="B133" s="5"/>
      <c r="C133" s="171">
        <f>AI228</f>
        <v>0</v>
      </c>
      <c r="D133" s="186">
        <f>HLOOKUP(Troupeau!$J$17,[1]Anx!$D$170:$CN$186,'Calcul éco'!O133)</f>
        <v>60.51</v>
      </c>
      <c r="E133" s="231"/>
      <c r="F133" s="231"/>
      <c r="G133" s="18"/>
      <c r="J133" s="171">
        <f t="shared" ref="J133:J138" si="59">D133*C133</f>
        <v>0</v>
      </c>
      <c r="K133" s="170"/>
      <c r="L133" s="170"/>
      <c r="M133" s="170"/>
      <c r="N133" s="170"/>
      <c r="O133" s="229">
        <v>11</v>
      </c>
      <c r="S133" s="14" t="s">
        <v>1041</v>
      </c>
      <c r="T133" s="169">
        <f>$T$127</f>
        <v>52</v>
      </c>
      <c r="U133" s="186">
        <f>HLOOKUP($T$123,[1]Anx!$D$170:$CN$1177,$AB133)</f>
        <v>72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1062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1072</v>
      </c>
      <c r="B134" s="5"/>
      <c r="C134" s="171">
        <f>AJ228</f>
        <v>15.8</v>
      </c>
      <c r="D134" s="186">
        <f>HLOOKUP(Troupeau!$J$17,[1]Anx!$D$170:$CN$186,'Calcul éco'!O134)</f>
        <v>67.75</v>
      </c>
      <c r="E134" s="231"/>
      <c r="F134" s="231"/>
      <c r="G134" s="18"/>
      <c r="J134" s="171">
        <f t="shared" si="59"/>
        <v>1070.45</v>
      </c>
      <c r="K134" s="170"/>
      <c r="L134" s="170"/>
      <c r="M134" s="170"/>
      <c r="N134" s="170"/>
      <c r="O134" s="229">
        <v>12</v>
      </c>
      <c r="S134" s="14" t="s">
        <v>1042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1064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1073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1043</v>
      </c>
      <c r="T135" s="169">
        <f>$T$127</f>
        <v>52</v>
      </c>
      <c r="U135" s="186">
        <f>HLOOKUP($T$123,[1]Anx!$D$170:$CN$1177,$AB135)</f>
        <v>19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1074</v>
      </c>
      <c r="AE135" t="s">
        <v>1060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1075</v>
      </c>
      <c r="B136" s="5"/>
      <c r="C136" s="171">
        <f>AF228</f>
        <v>0</v>
      </c>
      <c r="D136" s="186">
        <f>HLOOKUP(Troupeau!$J$17,[1]Anx!$D$170:$CN$186,'Calcul éco'!O136)</f>
        <v>98.8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1076</v>
      </c>
      <c r="T136" s="169">
        <f>$T$127</f>
        <v>52</v>
      </c>
      <c r="U136" s="186">
        <f>HLOOKUP($T$123,[1]Anx!$D$170:$CN$1177,$AB136)</f>
        <v>35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1062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1077</v>
      </c>
      <c r="B137" s="5"/>
      <c r="C137" s="171">
        <f>AG228</f>
        <v>4.5</v>
      </c>
      <c r="D137" s="186">
        <f>HLOOKUP(Troupeau!$J$17,[1]Anx!$D$170:$CN$186,'Calcul éco'!O137)</f>
        <v>125.2</v>
      </c>
      <c r="E137" s="5"/>
      <c r="F137" s="5"/>
      <c r="G137" s="18"/>
      <c r="J137" s="171">
        <f t="shared" si="59"/>
        <v>563.4</v>
      </c>
      <c r="K137" s="170"/>
      <c r="L137" s="170"/>
      <c r="M137" s="170"/>
      <c r="N137" s="170"/>
      <c r="O137" s="229">
        <v>15</v>
      </c>
      <c r="S137" s="32" t="s">
        <v>1078</v>
      </c>
      <c r="T137" s="169">
        <f>Troupeau!B22</f>
        <v>12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1064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1079</v>
      </c>
      <c r="B138" s="5"/>
      <c r="C138" s="171">
        <f>AA228</f>
        <v>0</v>
      </c>
      <c r="D138" s="186">
        <f>HLOOKUP(Troupeau!$J$17,[1]Anx!$D$170:$CN$186,'Calcul éco'!O138)</f>
        <v>122.5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1080</v>
      </c>
      <c r="AE138" t="s">
        <v>1060</v>
      </c>
      <c r="AF138" s="30">
        <f>B13</f>
        <v>9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1062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1081</v>
      </c>
      <c r="J140" s="170"/>
      <c r="K140" s="170"/>
      <c r="L140" s="170"/>
      <c r="M140" s="170"/>
      <c r="N140" s="170"/>
      <c r="Y140" s="169"/>
      <c r="AE140" t="s">
        <v>1064</v>
      </c>
      <c r="AF140" s="30">
        <f>AF138*AF139</f>
        <v>5557.5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1082</v>
      </c>
      <c r="J141" s="171">
        <f>X245</f>
        <v>1809</v>
      </c>
      <c r="K141" s="170"/>
      <c r="L141" s="170"/>
      <c r="M141" s="170"/>
      <c r="N141" s="170"/>
      <c r="Y141" s="169"/>
      <c r="AD141" s="14" t="s">
        <v>1083</v>
      </c>
      <c r="AE141" t="s">
        <v>1060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1084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1062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1064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1085</v>
      </c>
      <c r="AE144" t="s">
        <v>1060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1086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43049.399999999994</v>
      </c>
      <c r="K145" s="222"/>
      <c r="L145" s="222"/>
      <c r="M145" s="222"/>
      <c r="N145" s="222"/>
      <c r="Y145" s="169"/>
      <c r="AE145" t="s">
        <v>1062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1064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1087</v>
      </c>
      <c r="AF147" s="46">
        <f>AF128+AF131+AF134+AF137+AF140+AF143+AF146</f>
        <v>12187.5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1088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1089</v>
      </c>
      <c r="B149" s="171">
        <f>B$154</f>
        <v>27.4</v>
      </c>
      <c r="C149" s="186">
        <f>HLOOKUP(Troupeau!J$17,[1]Anx!$A$170:$CN$220,'Calcul éco'!O149)</f>
        <v>107</v>
      </c>
      <c r="D149" s="5"/>
      <c r="G149" s="169"/>
      <c r="J149" s="171">
        <f t="shared" ref="J149:J154" si="65">B149*C149</f>
        <v>2931.7999999999997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1090</v>
      </c>
      <c r="B150" s="170">
        <v>1</v>
      </c>
      <c r="C150" s="186">
        <f>HLOOKUP(Troupeau!J$17,[1]Anx!$A$170:$CN$220,'Calcul éco'!O150)</f>
        <v>1085</v>
      </c>
      <c r="D150" s="5"/>
      <c r="G150" s="169"/>
      <c r="J150" s="171">
        <f t="shared" si="65"/>
        <v>1085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1091</v>
      </c>
      <c r="B151" s="170">
        <v>1</v>
      </c>
      <c r="C151" s="186">
        <f>HLOOKUP(Troupeau!J$17,[1]Anx!$A$170:$CN$220,'Calcul éco'!O151)</f>
        <v>2880</v>
      </c>
      <c r="D151" s="5"/>
      <c r="G151" s="169"/>
      <c r="J151" s="171">
        <f t="shared" si="65"/>
        <v>2880</v>
      </c>
      <c r="K151" s="171"/>
      <c r="L151" s="171"/>
      <c r="M151" s="171"/>
      <c r="N151" s="171"/>
      <c r="O151" s="229">
        <v>21</v>
      </c>
      <c r="Y151" t="s">
        <v>1092</v>
      </c>
    </row>
    <row r="152" spans="1:39" x14ac:dyDescent="0.25">
      <c r="A152" t="s">
        <v>1093</v>
      </c>
      <c r="B152" s="171">
        <f>+Scénario!K6</f>
        <v>0</v>
      </c>
      <c r="C152" s="186">
        <f>HLOOKUP(Troupeau!J$17,[1]Anx!$A$170:$CN$220,'Calcul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1094</v>
      </c>
    </row>
    <row r="153" spans="1:39" x14ac:dyDescent="0.25">
      <c r="A153" s="5" t="s">
        <v>1095</v>
      </c>
      <c r="B153" s="170">
        <v>1</v>
      </c>
      <c r="C153" s="186">
        <f>HLOOKUP(Troupeau!J$17,[1]Anx!$A$170:$CN$220,'Calcul éco'!O153)</f>
        <v>11000</v>
      </c>
      <c r="D153" s="5"/>
      <c r="E153" s="5"/>
      <c r="G153" s="169"/>
      <c r="J153" s="171">
        <f t="shared" si="65"/>
        <v>11000</v>
      </c>
      <c r="K153" s="171"/>
      <c r="L153" s="171"/>
      <c r="M153" s="171"/>
      <c r="N153" s="171"/>
      <c r="O153" s="229">
        <v>23</v>
      </c>
      <c r="V153" s="14" t="s">
        <v>1096</v>
      </c>
      <c r="W153" s="171">
        <f>U$228</f>
        <v>20.3</v>
      </c>
      <c r="X153" t="s">
        <v>51</v>
      </c>
      <c r="Y153" s="171">
        <f>W153-Scénario!K28</f>
        <v>0.10000000000000142</v>
      </c>
      <c r="Z153" s="171">
        <f>Y153-Y156</f>
        <v>0.10000000000000142</v>
      </c>
    </row>
    <row r="154" spans="1:39" x14ac:dyDescent="0.25">
      <c r="A154" t="s">
        <v>1097</v>
      </c>
      <c r="B154" s="171">
        <f>Scénario!K48</f>
        <v>27.4</v>
      </c>
      <c r="C154" s="186">
        <f>HLOOKUP(Troupeau!J$17,[1]Anx!$A$170:$CN$220,'Calcul éco'!O154)</f>
        <v>307</v>
      </c>
      <c r="D154" s="5"/>
      <c r="G154" s="169"/>
      <c r="J154" s="171">
        <f t="shared" si="65"/>
        <v>8411.7999999999993</v>
      </c>
      <c r="K154" s="171"/>
      <c r="L154" s="171"/>
      <c r="M154" s="171"/>
      <c r="N154" s="171"/>
      <c r="O154" s="229">
        <v>24</v>
      </c>
      <c r="V154" s="14" t="s">
        <v>1098</v>
      </c>
      <c r="W154" s="171">
        <f>V$228</f>
        <v>20.3</v>
      </c>
      <c r="X154" t="s">
        <v>51</v>
      </c>
      <c r="Y154" s="171">
        <f>W154-Scénario!K29</f>
        <v>12.8</v>
      </c>
      <c r="Z154" s="171">
        <f>Y154</f>
        <v>12.8</v>
      </c>
    </row>
    <row r="155" spans="1:39" x14ac:dyDescent="0.25">
      <c r="A155" s="17" t="s">
        <v>1099</v>
      </c>
      <c r="B155" s="234">
        <f>B154</f>
        <v>27.4</v>
      </c>
      <c r="C155" s="186">
        <f>HLOOKUP(Troupeau!J$17,[1]Anx!$A$170:$CN$220,'Calcul éco'!O155)</f>
        <v>66</v>
      </c>
      <c r="D155" s="86"/>
      <c r="E155" s="17"/>
      <c r="G155" s="169"/>
      <c r="H155" s="17"/>
      <c r="I155" s="234">
        <f>B155*C155</f>
        <v>1808.3999999999999</v>
      </c>
      <c r="O155" s="229">
        <v>25</v>
      </c>
      <c r="V155" s="14" t="s">
        <v>1100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1101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1102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1103</v>
      </c>
      <c r="B158" s="171">
        <f>Z153</f>
        <v>0.10000000000000142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3.6200000000000516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1104</v>
      </c>
      <c r="B159" s="171">
        <f t="shared" ref="B159:B161" si="67">Z154</f>
        <v>12.8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384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1105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1106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638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5</v>
      </c>
      <c r="S164" s="171">
        <f>'Alim -Surf'!R7</f>
        <v>7.8</v>
      </c>
      <c r="T164" s="171">
        <f>VLOOKUP($R164,[1]MEP!$A$4:$M$300,13)</f>
        <v>2</v>
      </c>
      <c r="U164" s="171">
        <f>IF($T164&gt;0,$S164,0)</f>
        <v>7.8</v>
      </c>
      <c r="V164" s="171">
        <f>IF($T164&gt;1,$S164,0)</f>
        <v>7.8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7.8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7.8</v>
      </c>
      <c r="AO164" s="169" t="s">
        <v>51</v>
      </c>
    </row>
    <row r="165" spans="1:41" x14ac:dyDescent="0.25">
      <c r="A165" s="5" t="s">
        <v>1107</v>
      </c>
      <c r="B165" s="5"/>
      <c r="C165" s="193" t="s">
        <v>1108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0</v>
      </c>
      <c r="S165" s="171">
        <f>'Alim -Surf'!R8</f>
        <v>4.5999999999999996</v>
      </c>
      <c r="T165" s="171">
        <f>VLOOKUP(R165,[1]MEP!$A$4:$M$300,13)</f>
        <v>0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4.5999999999999996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4.5999999999999996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656</v>
      </c>
      <c r="AO165" s="171">
        <f>SUM(AD164:AD183)</f>
        <v>17.399999999999999</v>
      </c>
    </row>
    <row r="166" spans="1:41" x14ac:dyDescent="0.25">
      <c r="A166" s="5" t="s">
        <v>1109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657</v>
      </c>
      <c r="AO166" s="171">
        <f>SUM(AC164:AC183)</f>
        <v>4.5</v>
      </c>
    </row>
    <row r="167" spans="1:41" x14ac:dyDescent="0.25">
      <c r="A167" s="5" t="s">
        <v>1110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5</v>
      </c>
      <c r="S167" s="171">
        <f>'Alim -Surf'!R10</f>
        <v>5</v>
      </c>
      <c r="T167" s="171">
        <f>VLOOKUP(R167,[1]MEP!$A$4:$M$300,13)</f>
        <v>2</v>
      </c>
      <c r="U167" s="171">
        <f t="shared" si="70"/>
        <v>5</v>
      </c>
      <c r="V167" s="171">
        <f t="shared" si="71"/>
        <v>5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5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0</v>
      </c>
      <c r="AJ167" s="171">
        <f t="shared" si="80"/>
        <v>5</v>
      </c>
      <c r="AN167" s="32" t="s">
        <v>658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65</v>
      </c>
      <c r="S168" s="171">
        <f>'Alim -Surf'!R11</f>
        <v>4.5</v>
      </c>
      <c r="T168" s="171">
        <f>VLOOKUP(R168,[1]MEP!$A$4:$M$300,13)</f>
        <v>2</v>
      </c>
      <c r="U168" s="171">
        <f t="shared" si="70"/>
        <v>4.5</v>
      </c>
      <c r="V168" s="171">
        <f t="shared" si="71"/>
        <v>4.5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68"/>
        <v>0</v>
      </c>
      <c r="AB168" s="171">
        <f t="shared" si="69"/>
        <v>0</v>
      </c>
      <c r="AC168" s="171">
        <f t="shared" si="73"/>
        <v>4.5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4.5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659</v>
      </c>
      <c r="AO168" s="171">
        <f>SUM(AD186:AD205)</f>
        <v>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0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0</v>
      </c>
      <c r="AI169" s="171">
        <f t="shared" si="79"/>
        <v>0</v>
      </c>
      <c r="AJ169" s="171">
        <f t="shared" si="80"/>
        <v>0</v>
      </c>
      <c r="AN169" s="32" t="s">
        <v>660</v>
      </c>
      <c r="AO169" s="171">
        <f>SUM(AC186:AC205)</f>
        <v>0</v>
      </c>
    </row>
    <row r="170" spans="1:41" x14ac:dyDescent="0.25">
      <c r="A170" s="221" t="s">
        <v>1111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26696.219999999998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661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662</v>
      </c>
      <c r="AO171" s="171">
        <f>'Alim -Surf'!O51</f>
        <v>3.6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1112</v>
      </c>
      <c r="B174" s="222">
        <f>J48-J145-J170</f>
        <v>-7856.9991999999947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1113</v>
      </c>
      <c r="B175" s="222">
        <f>ROUND(B174/Scénario!K4,0)</f>
        <v>-7857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1114</v>
      </c>
      <c r="B177" s="30">
        <f>HLOOKUP(Troupeau!J17,[1]Anx!$D$170:$CO$196,27)</f>
        <v>4750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1115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1116</v>
      </c>
      <c r="B180" s="222">
        <f>B174-B177-B178</f>
        <v>-12606.999199999995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1117</v>
      </c>
      <c r="B181" s="222">
        <f>ROUND(B180/Scénario!K4,0)</f>
        <v>-12607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70"/>
        <v>3</v>
      </c>
      <c r="V186" s="171">
        <f t="shared" si="71"/>
        <v>3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68"/>
        <v>0</v>
      </c>
      <c r="AB186" s="171">
        <f t="shared" si="69"/>
        <v>0</v>
      </c>
      <c r="AC186" s="171">
        <f t="shared" si="73"/>
        <v>0</v>
      </c>
      <c r="AD186" s="171">
        <f t="shared" si="74"/>
        <v>3</v>
      </c>
      <c r="AE186" s="171">
        <f t="shared" si="75"/>
        <v>0</v>
      </c>
      <c r="AF186" s="171">
        <f t="shared" si="76"/>
        <v>0</v>
      </c>
      <c r="AG186" s="171">
        <f t="shared" si="77"/>
        <v>0</v>
      </c>
      <c r="AH186" s="171">
        <f t="shared" si="78"/>
        <v>0</v>
      </c>
      <c r="AI186" s="171">
        <f t="shared" si="79"/>
        <v>0</v>
      </c>
      <c r="AJ186" s="171">
        <f t="shared" si="80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0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3.6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3.6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3.6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663</v>
      </c>
      <c r="R228" s="2"/>
      <c r="S228" s="62">
        <f t="shared" ref="S228" si="81">SUM(S164:S227)</f>
        <v>28.5</v>
      </c>
      <c r="U228" s="62">
        <f>SUM(U164:U227)</f>
        <v>20.3</v>
      </c>
      <c r="V228" s="62">
        <f t="shared" ref="V228:W228" si="82">SUM(V164:V227)</f>
        <v>20.3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4.5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4.5</v>
      </c>
      <c r="AH228" s="62">
        <f t="shared" si="84"/>
        <v>8.1999999999999993</v>
      </c>
      <c r="AI228" s="62">
        <f t="shared" si="84"/>
        <v>0</v>
      </c>
      <c r="AJ228" s="62">
        <f t="shared" si="84"/>
        <v>15.8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1118</v>
      </c>
      <c r="V232" t="s">
        <v>1119</v>
      </c>
      <c r="W232" t="s">
        <v>1120</v>
      </c>
      <c r="X232" t="s">
        <v>1121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1122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1123</v>
      </c>
      <c r="T234" s="30">
        <f>Protection!AK25</f>
        <v>0</v>
      </c>
      <c r="U234" t="s">
        <v>1124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1125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1126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1127</v>
      </c>
      <c r="AA236" t="s">
        <v>1128</v>
      </c>
      <c r="AB236" t="s">
        <v>1129</v>
      </c>
      <c r="AC236" t="s">
        <v>1130</v>
      </c>
      <c r="AD236" t="s">
        <v>1131</v>
      </c>
      <c r="AE236" t="s">
        <v>1132</v>
      </c>
      <c r="AF236" t="s">
        <v>1133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1135</v>
      </c>
      <c r="T240" s="30">
        <f>IF(Scénario!K87=3,Protection!AE33,0)</f>
        <v>0</v>
      </c>
      <c r="U240" t="s">
        <v>1124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1136</v>
      </c>
      <c r="W244" t="s">
        <v>1067</v>
      </c>
      <c r="X244" t="s">
        <v>958</v>
      </c>
    </row>
    <row r="245" spans="17:31" x14ac:dyDescent="0.25">
      <c r="Q245" s="15"/>
      <c r="S245" s="14" t="s">
        <v>1137</v>
      </c>
      <c r="T245" s="30">
        <f>IF(Scénario!K87=0,0,Protection!AJ8)</f>
        <v>2</v>
      </c>
      <c r="X245" s="171">
        <f>ROUND((([1]Protect!$B$5/[1]Protect!$B$11)+[1]Protect!$B$8)*T245,0)</f>
        <v>1809</v>
      </c>
    </row>
    <row r="246" spans="17:31" x14ac:dyDescent="0.25">
      <c r="Q246" s="15"/>
      <c r="S246" s="14" t="s">
        <v>1138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1139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1140</v>
      </c>
      <c r="X248" s="171">
        <f>SUM(X245:X247)</f>
        <v>1809</v>
      </c>
    </row>
    <row r="249" spans="17:31" x14ac:dyDescent="0.25">
      <c r="W249" s="14" t="s">
        <v>1416</v>
      </c>
      <c r="X249" s="171">
        <f>ROUND(X246+X247+Protection!AJ5*(([1]Protect!$B$5/[1]Protect!$B$11)+[1]Protect!$B$8),0)</f>
        <v>0</v>
      </c>
      <c r="AB249" t="s">
        <v>1141</v>
      </c>
    </row>
    <row r="250" spans="17:31" x14ac:dyDescent="0.25">
      <c r="AB250" t="s">
        <v>1142</v>
      </c>
    </row>
    <row r="254" spans="17:31" x14ac:dyDescent="0.25">
      <c r="S254" s="40" t="s">
        <v>1143</v>
      </c>
      <c r="T254" s="4">
        <f>IF(Scénario!K53="OL",Scénario!K55*(1/0.15)*Scénario!K56,0)</f>
        <v>0</v>
      </c>
      <c r="Y254" s="40" t="s">
        <v>1144</v>
      </c>
      <c r="Z254">
        <f>IF(Troupeau!B3="OL",Troupeau!B17,0)</f>
        <v>0</v>
      </c>
    </row>
    <row r="255" spans="17:31" x14ac:dyDescent="0.25">
      <c r="U255" t="s">
        <v>1145</v>
      </c>
      <c r="AA255" t="s">
        <v>1145</v>
      </c>
    </row>
    <row r="256" spans="17:31" x14ac:dyDescent="0.25">
      <c r="S256" s="14" t="s">
        <v>1146</v>
      </c>
      <c r="T256" s="30">
        <f>IF(T254&lt;151,1,0)</f>
        <v>1</v>
      </c>
      <c r="U256" s="171">
        <f>IF(T256=0,0,[1]Protect!$B76)</f>
        <v>7500</v>
      </c>
      <c r="Y256" s="14" t="s">
        <v>1147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1148</v>
      </c>
      <c r="T257" s="30">
        <f>IF(AND(150 &lt;T$254,T$254&lt;451),1,0)</f>
        <v>0</v>
      </c>
      <c r="U257" s="171">
        <f>IF(T257=0,0,[1]Protect!$B77)</f>
        <v>0</v>
      </c>
      <c r="Y257" s="14" t="s">
        <v>1149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1150</v>
      </c>
      <c r="T258" s="30">
        <f>IF(AND(540 &lt;T$254,T$254&lt;1201),1,0)</f>
        <v>0</v>
      </c>
      <c r="U258" s="171">
        <f>IF(T258=0,0,[1]Protect!$B78)</f>
        <v>0</v>
      </c>
      <c r="Y258" s="14" t="s">
        <v>1151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1152</v>
      </c>
      <c r="T259" s="30">
        <f>IF(AND(1200&lt;T$254,T$254&lt;1501),1,0)</f>
        <v>0</v>
      </c>
      <c r="U259" s="171">
        <f>IF(T259=0,0,[1]Protect!$B79)</f>
        <v>0</v>
      </c>
      <c r="Y259" s="14" t="s">
        <v>1153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1154</v>
      </c>
      <c r="T260" s="30">
        <f>IF(1500&lt;T$254,1,0)</f>
        <v>0</v>
      </c>
      <c r="U260" s="171">
        <f>IF(T260=0,0,[1]Protect!$B80)</f>
        <v>0</v>
      </c>
      <c r="Y260" s="14" t="s">
        <v>1155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1156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1157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1158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1159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1160</v>
      </c>
      <c r="U270" s="33"/>
      <c r="V270" s="33"/>
      <c r="W270" s="33" t="s">
        <v>1161</v>
      </c>
      <c r="X270" s="33" t="s">
        <v>1025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1162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1163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1164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1125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1126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2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473</v>
      </c>
      <c r="C1" s="253" t="str">
        <f>Scénario!K1</f>
        <v>Z3_BV_T2_s5</v>
      </c>
      <c r="D1" s="253" t="str">
        <f>CONCATENATE(C1,"_corr")</f>
        <v>Z3_BV_T2_s5_corr</v>
      </c>
    </row>
    <row r="2" spans="2:4" x14ac:dyDescent="0.25">
      <c r="B2" s="14" t="s">
        <v>474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477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480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482</v>
      </c>
      <c r="C5" s="175">
        <f>Scénario!K5</f>
        <v>0</v>
      </c>
      <c r="D5" s="175">
        <f t="shared" si="0"/>
        <v>0</v>
      </c>
    </row>
    <row r="6" spans="2:4" x14ac:dyDescent="0.25">
      <c r="B6" s="14" t="s">
        <v>485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491</v>
      </c>
      <c r="C7" s="175">
        <f>Scénario!K8</f>
        <v>3</v>
      </c>
      <c r="D7" s="175">
        <f t="shared" si="0"/>
        <v>3</v>
      </c>
    </row>
    <row r="8" spans="2:4" x14ac:dyDescent="0.25">
      <c r="B8" s="14" t="s">
        <v>495</v>
      </c>
      <c r="C8" s="175" t="str">
        <f>Scénario!K9</f>
        <v>M2</v>
      </c>
      <c r="D8" s="175" t="str">
        <f t="shared" si="0"/>
        <v>M2</v>
      </c>
    </row>
    <row r="9" spans="2:4" x14ac:dyDescent="0.25">
      <c r="B9" s="14" t="s">
        <v>499</v>
      </c>
      <c r="C9" s="175">
        <f>Scénario!K10</f>
        <v>1</v>
      </c>
      <c r="D9" s="175">
        <f t="shared" si="0"/>
        <v>1</v>
      </c>
    </row>
    <row r="10" spans="2:4" x14ac:dyDescent="0.25">
      <c r="B10" s="14" t="s">
        <v>503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506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484</v>
      </c>
      <c r="C12" s="175" t="str">
        <f>Scénario!K13</f>
        <v>T2</v>
      </c>
      <c r="D12" s="175" t="str">
        <f t="shared" si="0"/>
        <v>T2</v>
      </c>
    </row>
    <row r="13" spans="2:4" x14ac:dyDescent="0.25">
      <c r="B13" s="32" t="s">
        <v>516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519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522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524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525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538</v>
      </c>
      <c r="C18" s="175">
        <f>Scénario!K28</f>
        <v>20.2</v>
      </c>
      <c r="D18" s="175">
        <f t="shared" si="0"/>
        <v>20.2</v>
      </c>
    </row>
    <row r="19" spans="2:5" x14ac:dyDescent="0.25">
      <c r="B19" s="14" t="s">
        <v>539</v>
      </c>
      <c r="C19" s="175">
        <f>Scénario!K29</f>
        <v>7.5</v>
      </c>
      <c r="D19" s="175">
        <f t="shared" si="0"/>
        <v>7.5</v>
      </c>
    </row>
    <row r="20" spans="2:5" x14ac:dyDescent="0.25">
      <c r="B20" s="14" t="s">
        <v>540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541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1165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560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561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562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565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568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570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556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572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575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577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578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1166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581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582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583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584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585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586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587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1167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592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594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1168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597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598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1169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601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604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614</v>
      </c>
      <c r="C51" s="175">
        <f>Scénario!K87</f>
        <v>5</v>
      </c>
      <c r="D51" s="175">
        <f t="shared" si="0"/>
        <v>5</v>
      </c>
      <c r="E51" s="14"/>
    </row>
    <row r="52" spans="1:132" x14ac:dyDescent="0.25">
      <c r="B52" s="19" t="s">
        <v>591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602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619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619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600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1170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621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622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632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634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1171</v>
      </c>
      <c r="B62" s="14" t="s">
        <v>1172</v>
      </c>
      <c r="C62" s="171" t="str">
        <f>Scénario!K12</f>
        <v>BV</v>
      </c>
      <c r="D62" s="171" t="str">
        <f>C62</f>
        <v>BV</v>
      </c>
      <c r="AS62" s="40" t="s">
        <v>558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572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579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1173</v>
      </c>
      <c r="C63" s="171">
        <f>IF(Troupeau!B3="OL",Troupeau!B17,0)</f>
        <v>0</v>
      </c>
      <c r="D63" s="254">
        <f>ROUND(C63*$D$82/$C$82,3)</f>
        <v>0</v>
      </c>
      <c r="F63" s="255" t="s">
        <v>1174</v>
      </c>
      <c r="G63">
        <f>D82/C82</f>
        <v>0</v>
      </c>
      <c r="AT63" s="2" t="s">
        <v>766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766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766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1175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1176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1177</v>
      </c>
      <c r="C65" s="171">
        <f>IF(Troupeau!B3="BV",Troupeau!B17,0)+IF(Troupeau!C3="BV",Troupeau!C17,0)</f>
        <v>52</v>
      </c>
      <c r="D65" s="254">
        <f t="shared" si="1"/>
        <v>0</v>
      </c>
      <c r="F65" s="256" t="s">
        <v>1178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1179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1180</v>
      </c>
      <c r="C67" s="171">
        <f>CdTrp1!AA49</f>
        <v>56.443833333333323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1181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1182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1183</v>
      </c>
      <c r="C70" s="171">
        <f>SUM(C67:C69)</f>
        <v>56.443833333333323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1184</v>
      </c>
      <c r="C71" s="171">
        <f>Scénario!K33</f>
        <v>2.5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1185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1186</v>
      </c>
      <c r="C73" s="171">
        <f>'Calcul éco'!$AC$228</f>
        <v>4.5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1187</v>
      </c>
      <c r="C74" s="171">
        <f>C71+C73</f>
        <v>7</v>
      </c>
      <c r="D74" s="254">
        <f t="shared" si="3"/>
        <v>0</v>
      </c>
      <c r="AT74" s="2" t="s">
        <v>770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770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770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1188</v>
      </c>
      <c r="C75" s="171">
        <f>'Alim -Surf'!$O$7+'Alim -Surf'!$O$29-C72-C73</f>
        <v>20.399999999999999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1189</v>
      </c>
      <c r="C76" s="171">
        <f>'Calcul éco'!AO166</f>
        <v>4.5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1190</v>
      </c>
      <c r="C77" s="171">
        <f>'Calcul éco'!AO169</f>
        <v>0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1191</v>
      </c>
      <c r="C78" s="171">
        <f>'Calcul éco'!AO165</f>
        <v>17.399999999999999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1192</v>
      </c>
      <c r="C79" s="171">
        <f>'Calcul éco'!AO168</f>
        <v>3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1193</v>
      </c>
      <c r="C80" s="171">
        <f>'Calcul éco'!AO171</f>
        <v>3.6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1194</v>
      </c>
      <c r="C81" s="171">
        <f>C74+C75</f>
        <v>27.4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1195</v>
      </c>
      <c r="C82" s="171">
        <f>C81+C80</f>
        <v>31</v>
      </c>
      <c r="D82" s="80"/>
      <c r="E82" s="85" t="s">
        <v>1196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1197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1198</v>
      </c>
      <c r="C84" s="171">
        <f>ROUND(C70/C82,3)</f>
        <v>1.821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1199</v>
      </c>
      <c r="B85" s="14" t="s">
        <v>1200</v>
      </c>
      <c r="C85" s="171">
        <f>'Calcul éco'!$U$228</f>
        <v>20.3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1201</v>
      </c>
      <c r="C86" s="171">
        <f>'Calcul éco'!$V$228</f>
        <v>20.3</v>
      </c>
      <c r="D86" s="257">
        <f t="shared" ref="D86:D97" si="14">ROUND(C86*$D$82/$C$82,3)</f>
        <v>0</v>
      </c>
      <c r="AT86" s="187" t="s">
        <v>779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779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779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1202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780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553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628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542</v>
      </c>
      <c r="C89" s="171">
        <f>Scénario!K32</f>
        <v>3.6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629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1203</v>
      </c>
      <c r="B90" s="14" t="s">
        <v>305</v>
      </c>
      <c r="C90" s="171">
        <f>Scénario!K34</f>
        <v>2.5</v>
      </c>
      <c r="D90" s="257">
        <f t="shared" si="14"/>
        <v>0</v>
      </c>
      <c r="G90" s="85" t="s">
        <v>1204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545</v>
      </c>
      <c r="C91" s="171">
        <f>Scénario!K35</f>
        <v>0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546</v>
      </c>
      <c r="C92" s="171">
        <f>Scénario!K36</f>
        <v>0</v>
      </c>
      <c r="D92" s="257">
        <f t="shared" si="14"/>
        <v>0</v>
      </c>
      <c r="G92" s="2" t="s">
        <v>1205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547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548</v>
      </c>
      <c r="C94" s="171">
        <f>Scénario!K38</f>
        <v>0</v>
      </c>
      <c r="D94" s="257">
        <f t="shared" si="14"/>
        <v>0</v>
      </c>
      <c r="F94" s="14" t="s">
        <v>906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1206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549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1207</v>
      </c>
      <c r="B97" s="14" t="s">
        <v>1208</v>
      </c>
      <c r="C97" s="171">
        <f>C90+C75+C73</f>
        <v>27.4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741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741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741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1209</v>
      </c>
      <c r="B98" s="14" t="s">
        <v>1210</v>
      </c>
      <c r="C98" s="171">
        <f>MAX(H129:AE129)</f>
        <v>0</v>
      </c>
      <c r="D98" s="171">
        <f>C98</f>
        <v>0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3</v>
      </c>
      <c r="BC98" s="171">
        <f>IF(CdTrp1!I52=1,3,IF(CdTrp1!I52=0.5,2,IF(CdTrp1!I52=0,1,0)))</f>
        <v>3</v>
      </c>
      <c r="BD98" s="171">
        <f>IF(CdTrp1!J52=1,3,IF(CdTrp1!J52=0.5,2,IF(CdTrp1!J52=0,1,0)))</f>
        <v>3</v>
      </c>
      <c r="BE98" s="171">
        <f>IF(CdTrp1!K52=1,3,IF(CdTrp1!K52=0.5,2,IF(CdTrp1!K52=0,1,0)))</f>
        <v>3</v>
      </c>
      <c r="BF98" s="171">
        <f>IF(CdTrp1!L52=1,3,IF(CdTrp1!L52=0.5,2,IF(CdTrp1!L52=0,1,0)))</f>
        <v>3</v>
      </c>
      <c r="BG98" s="171">
        <f>IF(CdTrp1!M52=1,3,IF(CdTrp1!M52=0.5,2,IF(CdTrp1!M52=0,1,0)))</f>
        <v>3</v>
      </c>
      <c r="BH98" s="171">
        <f>IF(CdTrp1!N52=1,3,IF(CdTrp1!N52=0.5,2,IF(CdTrp1!N52=0,1,0)))</f>
        <v>3</v>
      </c>
      <c r="BI98" s="171">
        <f>IF(CdTrp1!O52=1,3,IF(CdTrp1!O52=0.5,2,IF(CdTrp1!O52=0,1,0)))</f>
        <v>3</v>
      </c>
      <c r="BJ98" s="171">
        <f>IF(CdTrp1!P52=1,3,IF(CdTrp1!P52=0.5,2,IF(CdTrp1!P52=0,1,0)))</f>
        <v>3</v>
      </c>
      <c r="BK98" s="171">
        <f>IF(CdTrp1!Q52=1,3,IF(CdTrp1!Q52=0.5,2,IF(CdTrp1!Q52=0,1,0)))</f>
        <v>3</v>
      </c>
      <c r="BL98" s="171">
        <f>IF(CdTrp1!R52=1,3,IF(CdTrp1!R52=0.5,2,IF(CdTrp1!R52=0,1,0)))</f>
        <v>3</v>
      </c>
      <c r="BM98" s="171">
        <f>IF(CdTrp1!S52=1,3,IF(CdTrp1!S52=0.5,2,IF(CdTrp1!S52=0,1,0)))</f>
        <v>3</v>
      </c>
      <c r="BN98" s="171">
        <f>IF(CdTrp1!T52=1,3,IF(CdTrp1!T52=0.5,2,IF(CdTrp1!T52=0,1,0)))</f>
        <v>3</v>
      </c>
      <c r="BO98" s="171">
        <f>IF(CdTrp1!U52=1,3,IF(CdTrp1!U52=0.5,2,IF(CdTrp1!U52=0,1,0)))</f>
        <v>3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788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1211</v>
      </c>
      <c r="B99" s="14" t="s">
        <v>1212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3</v>
      </c>
      <c r="BD99" s="171">
        <f>IF(CdTrp1!J53=1,3,IF(CdTrp1!J53=0.5,2,IF(CdTrp1!J53=0,1,0)))</f>
        <v>3</v>
      </c>
      <c r="BE99" s="171">
        <f>IF(CdTrp1!K53=1,3,IF(CdTrp1!K53=0.5,2,IF(CdTrp1!K53=0,1,0)))</f>
        <v>3</v>
      </c>
      <c r="BF99" s="171">
        <f>IF(CdTrp1!L53=1,3,IF(CdTrp1!L53=0.5,2,IF(CdTrp1!L53=0,1,0)))</f>
        <v>3</v>
      </c>
      <c r="BG99" s="171">
        <f>IF(CdTrp1!M53=1,3,IF(CdTrp1!M53=0.5,2,IF(CdTrp1!M53=0,1,0)))</f>
        <v>3</v>
      </c>
      <c r="BH99" s="171">
        <f>IF(CdTrp1!N53=1,3,IF(CdTrp1!N53=0.5,2,IF(CdTrp1!N53=0,1,0)))</f>
        <v>3</v>
      </c>
      <c r="BI99" s="171">
        <f>IF(CdTrp1!O53=1,3,IF(CdTrp1!O53=0.5,2,IF(CdTrp1!O53=0,1,0)))</f>
        <v>3</v>
      </c>
      <c r="BJ99" s="171">
        <f>IF(CdTrp1!P53=1,3,IF(CdTrp1!P53=0.5,2,IF(CdTrp1!P53=0,1,0)))</f>
        <v>3</v>
      </c>
      <c r="BK99" s="171">
        <f>IF(CdTrp1!Q53=1,3,IF(CdTrp1!Q53=0.5,2,IF(CdTrp1!Q53=0,1,0)))</f>
        <v>3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792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1213</v>
      </c>
      <c r="B100" s="14" t="s">
        <v>1214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3</v>
      </c>
      <c r="BI100" s="171">
        <f>IF(CdTrp1!O54=1,3,IF(CdTrp1!O54=0.5,2,IF(CdTrp1!O54=0,1,0)))</f>
        <v>3</v>
      </c>
      <c r="BJ100" s="171">
        <f>IF(CdTrp1!P54=1,3,IF(CdTrp1!P54=0.5,2,IF(CdTrp1!P54=0,1,0)))</f>
        <v>3</v>
      </c>
      <c r="BK100" s="171">
        <f>IF(CdTrp1!Q54=1,3,IF(CdTrp1!Q54=0.5,2,IF(CdTrp1!Q54=0,1,0)))</f>
        <v>3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793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1215</v>
      </c>
      <c r="C101" s="171">
        <f>MAX(H132:AE132)</f>
        <v>0</v>
      </c>
      <c r="D101" s="171">
        <f t="shared" si="25"/>
        <v>0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3</v>
      </c>
      <c r="BA101" s="171">
        <f>IF(CdTrp1!G55=1,3,IF(CdTrp1!G55=0.5,2,IF(CdTrp1!G55=0,1,0)))</f>
        <v>3</v>
      </c>
      <c r="BB101" s="171">
        <f>IF(CdTrp1!H55=1,3,IF(CdTrp1!H55=0.5,2,IF(CdTrp1!H55=0,1,0)))</f>
        <v>3</v>
      </c>
      <c r="BC101" s="171">
        <f>IF(CdTrp1!I55=1,3,IF(CdTrp1!I55=0.5,2,IF(CdTrp1!I55=0,1,0)))</f>
        <v>3</v>
      </c>
      <c r="BD101" s="171">
        <f>IF(CdTrp1!J55=1,3,IF(CdTrp1!J55=0.5,2,IF(CdTrp1!J55=0,1,0)))</f>
        <v>3</v>
      </c>
      <c r="BE101" s="171">
        <f>IF(CdTrp1!K55=1,3,IF(CdTrp1!K55=0.5,2,IF(CdTrp1!K55=0,1,0)))</f>
        <v>3</v>
      </c>
      <c r="BF101" s="171">
        <f>IF(CdTrp1!L55=1,3,IF(CdTrp1!L55=0.5,2,IF(CdTrp1!L55=0,1,0)))</f>
        <v>3</v>
      </c>
      <c r="BG101" s="171">
        <f>IF(CdTrp1!M55=1,3,IF(CdTrp1!M55=0.5,2,IF(CdTrp1!M55=0,1,0)))</f>
        <v>3</v>
      </c>
      <c r="BH101" s="171">
        <f>IF(CdTrp1!N55=1,3,IF(CdTrp1!N55=0.5,2,IF(CdTrp1!N55=0,1,0)))</f>
        <v>3</v>
      </c>
      <c r="BI101" s="171">
        <f>IF(CdTrp1!O55=1,3,IF(CdTrp1!O55=0.5,2,IF(CdTrp1!O55=0,1,0)))</f>
        <v>3</v>
      </c>
      <c r="BJ101" s="171">
        <f>IF(CdTrp1!P55=1,3,IF(CdTrp1!P55=0.5,2,IF(CdTrp1!P55=0,1,0)))</f>
        <v>3</v>
      </c>
      <c r="BK101" s="171">
        <f>IF(CdTrp1!Q55=1,3,IF(CdTrp1!Q55=0.5,2,IF(CdTrp1!Q55=0,1,0)))</f>
        <v>3</v>
      </c>
      <c r="BL101" s="171">
        <f>IF(CdTrp1!R55=1,3,IF(CdTrp1!R55=0.5,2,IF(CdTrp1!R55=0,1,0)))</f>
        <v>3</v>
      </c>
      <c r="BM101" s="171">
        <f>IF(CdTrp1!S55=1,3,IF(CdTrp1!S55=0.5,2,IF(CdTrp1!S55=0,1,0)))</f>
        <v>3</v>
      </c>
      <c r="BN101" s="171">
        <f>IF(CdTrp1!T55=1,3,IF(CdTrp1!T55=0.5,2,IF(CdTrp1!T55=0,1,0)))</f>
        <v>3</v>
      </c>
      <c r="BO101" s="171">
        <f>IF(CdTrp1!U55=1,3,IF(CdTrp1!U55=0.5,2,IF(CdTrp1!U55=0,1,0)))</f>
        <v>3</v>
      </c>
      <c r="BP101" s="171">
        <f>IF(CdTrp1!V55=1,3,IF(CdTrp1!V55=0.5,2,IF(CdTrp1!V55=0,1,0)))</f>
        <v>3</v>
      </c>
      <c r="BQ101" s="171">
        <f>IF(CdTrp1!W55=1,3,IF(CdTrp1!W55=0.5,2,IF(CdTrp1!W55=0,1,0)))</f>
        <v>3</v>
      </c>
      <c r="BR101" s="171">
        <f>IF(CdTrp1!X55=1,3,IF(CdTrp1!X55=0.5,2,IF(CdTrp1!X55=0,1,0)))</f>
        <v>3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1216</v>
      </c>
      <c r="C102" s="171">
        <f>(24-COUNTIF(H129:AE129,0))/2</f>
        <v>0</v>
      </c>
      <c r="D102" s="171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1217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1218</v>
      </c>
      <c r="C104" s="171">
        <f>(24-COUNTIF(H131:AE131,0))/2</f>
        <v>0</v>
      </c>
      <c r="D104" s="171">
        <f t="shared" si="25"/>
        <v>0</v>
      </c>
      <c r="F104" s="14" t="s">
        <v>922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1219</v>
      </c>
      <c r="C105" s="171">
        <f>(24-COUNTIF(H132:AE132,0))/2</f>
        <v>0</v>
      </c>
      <c r="D105" s="171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1220</v>
      </c>
      <c r="C106" s="171">
        <f>SUM(H129:AE129)/2</f>
        <v>0</v>
      </c>
      <c r="D106" s="171">
        <f t="shared" si="25"/>
        <v>0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1221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1222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795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795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795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1223</v>
      </c>
      <c r="C109" s="171">
        <f>SUM(H132:AE132)/2</f>
        <v>0</v>
      </c>
      <c r="D109" s="171">
        <f t="shared" si="25"/>
        <v>0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0</v>
      </c>
      <c r="BC109" s="171">
        <f>IF(CdTrp1!I76=1,1,IF(CdTrp1!I76=2,2,IF(CdTrp1!I76=3,2,IF(CdTrp1!I76=4,4,0))))</f>
        <v>0</v>
      </c>
      <c r="BD109" s="171">
        <f>IF(CdTrp1!J76=1,1,IF(CdTrp1!J76=2,2,IF(CdTrp1!J76=3,2,IF(CdTrp1!J76=4,4,0))))</f>
        <v>0</v>
      </c>
      <c r="BE109" s="171">
        <f>IF(CdTrp1!K76=1,1,IF(CdTrp1!K76=2,2,IF(CdTrp1!K76=3,2,IF(CdTrp1!K76=4,4,0))))</f>
        <v>0</v>
      </c>
      <c r="BF109" s="171">
        <f>IF(CdTrp1!L76=1,1,IF(CdTrp1!L76=2,2,IF(CdTrp1!L76=3,2,IF(CdTrp1!L76=4,4,0))))</f>
        <v>0</v>
      </c>
      <c r="BG109" s="171">
        <f>IF(CdTrp1!M76=1,1,IF(CdTrp1!M76=2,2,IF(CdTrp1!M76=3,2,IF(CdTrp1!M76=4,4,0))))</f>
        <v>0</v>
      </c>
      <c r="BH109" s="171">
        <v>2</v>
      </c>
      <c r="BI109" s="171">
        <f>IF(CdTrp1!O76=1,1,IF(CdTrp1!O76=2,2,IF(CdTrp1!O76=3,2,IF(CdTrp1!O76=4,4,0))))</f>
        <v>0</v>
      </c>
      <c r="BJ109" s="171">
        <f>IF(CdTrp1!P76=1,1,IF(CdTrp1!P76=2,2,IF(CdTrp1!P76=3,2,IF(CdTrp1!P76=4,4,0))))</f>
        <v>0</v>
      </c>
      <c r="BK109" s="171">
        <f>IF(CdTrp1!Q76=1,1,IF(CdTrp1!Q76=2,2,IF(CdTrp1!Q76=3,2,IF(CdTrp1!Q76=4,4,0))))</f>
        <v>0</v>
      </c>
      <c r="BL109" s="171">
        <f>IF(CdTrp1!R76=1,1,IF(CdTrp1!R76=2,2,IF(CdTrp1!R76=3,2,IF(CdTrp1!R76=4,4,0))))</f>
        <v>0</v>
      </c>
      <c r="BM109" s="171">
        <f>IF(CdTrp1!S76=1,1,IF(CdTrp1!S76=2,2,IF(CdTrp1!S76=3,2,IF(CdTrp1!S76=4,4,0))))</f>
        <v>0</v>
      </c>
      <c r="BN109" s="171">
        <f>IF(CdTrp1!T76=1,1,IF(CdTrp1!T76=2,2,IF(CdTrp1!T76=3,2,IF(CdTrp1!T76=4,4,0))))</f>
        <v>0</v>
      </c>
      <c r="BO109" s="171">
        <f>IF(CdTrp1!U76=1,1,IF(CdTrp1!U76=2,2,IF(CdTrp1!U76=3,2,IF(CdTrp1!U76=4,4,0))))</f>
        <v>0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1224</v>
      </c>
      <c r="C110" s="171">
        <f>COUNTIF($H$94:$AE$103,1)/2</f>
        <v>0</v>
      </c>
      <c r="D110" s="171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0</v>
      </c>
      <c r="BD110" s="171">
        <f>IF(CdTrp1!J77=1,1,IF(CdTrp1!J77=2,2,IF(CdTrp1!J77=3,2,IF(CdTrp1!J77=4,4,0))))</f>
        <v>0</v>
      </c>
      <c r="BE110" s="171">
        <f>IF(CdTrp1!K77=1,1,IF(CdTrp1!K77=2,2,IF(CdTrp1!K77=3,2,IF(CdTrp1!K77=4,4,0))))</f>
        <v>0</v>
      </c>
      <c r="BF110" s="171">
        <f>IF(CdTrp1!L77=1,1,IF(CdTrp1!L77=2,2,IF(CdTrp1!L77=3,2,IF(CdTrp1!L77=4,4,0))))</f>
        <v>0</v>
      </c>
      <c r="BG110" s="171">
        <f>IF(CdTrp1!M77=1,1,IF(CdTrp1!M77=2,2,IF(CdTrp1!M77=3,2,IF(CdTrp1!M77=4,4,0))))</f>
        <v>0</v>
      </c>
      <c r="BH110" s="171">
        <f>IF(CdTrp1!N77=1,1,IF(CdTrp1!N77=2,2,IF(CdTrp1!N77=3,2,IF(CdTrp1!N77=4,4,0))))</f>
        <v>0</v>
      </c>
      <c r="BI110" s="171">
        <f>IF(CdTrp1!O77=1,1,IF(CdTrp1!O77=2,2,IF(CdTrp1!O77=3,2,IF(CdTrp1!O77=4,4,0))))</f>
        <v>0</v>
      </c>
      <c r="BJ110" s="171">
        <f>IF(CdTrp1!P77=1,1,IF(CdTrp1!P77=2,2,IF(CdTrp1!P77=3,2,IF(CdTrp1!P77=4,4,0))))</f>
        <v>0</v>
      </c>
      <c r="BK110" s="171">
        <f>IF(CdTrp1!Q77=1,1,IF(CdTrp1!Q77=2,2,IF(CdTrp1!Q77=3,2,IF(CdTrp1!Q77=4,4,0))))</f>
        <v>0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799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1225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0</v>
      </c>
      <c r="BI111" s="171">
        <f>IF(CdTrp1!O78=1,1,IF(CdTrp1!O78=2,2,IF(CdTrp1!O78=3,2,IF(CdTrp1!O78=4,4,0))))</f>
        <v>0</v>
      </c>
      <c r="BJ111" s="171">
        <f>IF(CdTrp1!P78=1,1,IF(CdTrp1!P78=2,2,IF(CdTrp1!P78=3,2,IF(CdTrp1!P78=4,4,0))))</f>
        <v>0</v>
      </c>
      <c r="BK111" s="171">
        <f>IF(CdTrp1!Q78=1,1,IF(CdTrp1!Q78=2,2,IF(CdTrp1!Q78=3,2,IF(CdTrp1!Q78=4,4,0))))</f>
        <v>0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801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1226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0</v>
      </c>
      <c r="BA112" s="171">
        <f>IF(CdTrp1!G79=1,1,IF(CdTrp1!G79=2,2,IF(CdTrp1!G79=3,2,IF(CdTrp1!G79=4,4,0))))</f>
        <v>0</v>
      </c>
      <c r="BB112" s="171">
        <f>IF(CdTrp1!H79=1,1,IF(CdTrp1!H79=2,2,IF(CdTrp1!H79=3,2,IF(CdTrp1!H79=4,4,0))))</f>
        <v>0</v>
      </c>
      <c r="BC112" s="171">
        <f>IF(CdTrp1!I79=1,1,IF(CdTrp1!I79=2,2,IF(CdTrp1!I79=3,2,IF(CdTrp1!I79=4,4,0))))</f>
        <v>0</v>
      </c>
      <c r="BD112" s="171">
        <f>IF(CdTrp1!J79=1,1,IF(CdTrp1!J79=2,2,IF(CdTrp1!J79=3,2,IF(CdTrp1!J79=4,4,0))))</f>
        <v>0</v>
      </c>
      <c r="BE112" s="171">
        <f>IF(CdTrp1!K79=1,1,IF(CdTrp1!K79=2,2,IF(CdTrp1!K79=3,2,IF(CdTrp1!K79=4,4,0))))</f>
        <v>0</v>
      </c>
      <c r="BF112" s="171">
        <f>IF(CdTrp1!L79=1,1,IF(CdTrp1!L79=2,2,IF(CdTrp1!L79=3,2,IF(CdTrp1!L79=4,4,0))))</f>
        <v>0</v>
      </c>
      <c r="BG112" s="171">
        <f>IF(CdTrp1!M79=1,1,IF(CdTrp1!M79=2,2,IF(CdTrp1!M79=3,2,IF(CdTrp1!M79=4,4,0))))</f>
        <v>0</v>
      </c>
      <c r="BH112" s="171">
        <f>IF(CdTrp1!N79=1,1,IF(CdTrp1!N79=2,2,IF(CdTrp1!N79=3,2,IF(CdTrp1!N79=4,4,0))))</f>
        <v>0</v>
      </c>
      <c r="BI112" s="171">
        <f>IF(CdTrp1!O79=1,1,IF(CdTrp1!O79=2,2,IF(CdTrp1!O79=3,2,IF(CdTrp1!O79=4,4,0))))</f>
        <v>0</v>
      </c>
      <c r="BJ112" s="171">
        <f>IF(CdTrp1!P79=1,1,IF(CdTrp1!P79=2,2,IF(CdTrp1!P79=3,2,IF(CdTrp1!P79=4,4,0))))</f>
        <v>0</v>
      </c>
      <c r="BK112" s="171">
        <f>IF(CdTrp1!Q79=1,1,IF(CdTrp1!Q79=2,2,IF(CdTrp1!Q79=3,2,IF(CdTrp1!Q79=4,4,0))))</f>
        <v>0</v>
      </c>
      <c r="BL112" s="171">
        <f>IF(CdTrp1!R79=1,1,IF(CdTrp1!R79=2,2,IF(CdTrp1!R79=3,2,IF(CdTrp1!R79=4,4,0))))</f>
        <v>0</v>
      </c>
      <c r="BM112" s="171">
        <f>IF(CdTrp1!S79=1,1,IF(CdTrp1!S79=2,2,IF(CdTrp1!S79=3,2,IF(CdTrp1!S79=4,4,0))))</f>
        <v>0</v>
      </c>
      <c r="BN112" s="171">
        <f>IF(CdTrp1!T79=1,1,IF(CdTrp1!T79=2,2,IF(CdTrp1!T79=3,2,IF(CdTrp1!T79=4,4,0))))</f>
        <v>0</v>
      </c>
      <c r="BO112" s="171">
        <f>IF(CdTrp1!U79=1,1,IF(CdTrp1!U79=2,2,IF(CdTrp1!U79=3,2,IF(CdTrp1!U79=4,4,0))))</f>
        <v>0</v>
      </c>
      <c r="BP112" s="171">
        <f>IF(CdTrp1!V79=1,1,IF(CdTrp1!V79=2,2,IF(CdTrp1!V79=3,2,IF(CdTrp1!V79=4,4,0))))</f>
        <v>0</v>
      </c>
      <c r="BQ112" s="171">
        <f>IF(CdTrp1!W79=1,1,IF(CdTrp1!W79=2,2,IF(CdTrp1!W79=3,2,IF(CdTrp1!W79=4,4,0))))</f>
        <v>0</v>
      </c>
      <c r="BR112" s="171">
        <f>IF(CdTrp1!X79=1,1,IF(CdTrp1!X79=2,2,IF(CdTrp1!X79=3,2,IF(CdTrp1!X79=4,4,0))))</f>
        <v>0</v>
      </c>
      <c r="BS112" s="171">
        <f>IF(CdTrp1!Y79=1,1,IF(CdTrp1!Y79=2,2,IF(CdTrp1!Y79=3,2,IF(CdTrp1!Y79=4,4,0))))</f>
        <v>0</v>
      </c>
      <c r="BU112">
        <v>0</v>
      </c>
      <c r="BV112" t="s">
        <v>803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1227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1228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1229</v>
      </c>
      <c r="C115" s="171">
        <f>COUNTIF($H$116:$AE$125,2)/2</f>
        <v>0</v>
      </c>
      <c r="D115" s="171">
        <f t="shared" si="25"/>
        <v>0</v>
      </c>
      <c r="F115" s="14" t="s">
        <v>923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1230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1231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1232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1233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811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811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811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1234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813</v>
      </c>
      <c r="AU120" s="30">
        <f>VALUE(CONCATENATE(Scénario!K8,Travail!AU2))</f>
        <v>32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813</v>
      </c>
      <c r="CA120" s="30">
        <f>VALUE(CONCATENATE(Scénario!K8,Travail!CA2))</f>
        <v>30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813</v>
      </c>
      <c r="DD120" s="30">
        <f>VALUE(CONCATENATE(Scénario!K8,Travail!DD2))</f>
        <v>30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1235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815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1236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1237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1238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1239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1240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1241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1242</v>
      </c>
      <c r="C128" s="171">
        <f t="shared" si="34"/>
        <v>0</v>
      </c>
      <c r="D128" s="171">
        <f t="shared" si="25"/>
        <v>0</v>
      </c>
      <c r="F128" s="14" t="s">
        <v>1243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1244</v>
      </c>
      <c r="C129" s="171">
        <f t="shared" si="34"/>
        <v>0</v>
      </c>
      <c r="D129" s="171">
        <f t="shared" si="25"/>
        <v>0</v>
      </c>
      <c r="F129" s="14" t="s">
        <v>906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1245</v>
      </c>
      <c r="C130" s="171">
        <f t="shared" si="34"/>
        <v>0</v>
      </c>
      <c r="D130" s="171">
        <f t="shared" si="25"/>
        <v>0</v>
      </c>
      <c r="F130" s="14" t="s">
        <v>922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1246</v>
      </c>
      <c r="C131" s="171">
        <f t="shared" si="34"/>
        <v>0</v>
      </c>
      <c r="D131" s="171">
        <f t="shared" si="25"/>
        <v>0</v>
      </c>
      <c r="F131" s="14" t="s">
        <v>923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824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824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824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1247</v>
      </c>
      <c r="C132" s="171">
        <f t="shared" si="34"/>
        <v>0</v>
      </c>
      <c r="D132" s="171">
        <f t="shared" si="25"/>
        <v>0</v>
      </c>
      <c r="F132" s="14" t="s">
        <v>1248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1249</v>
      </c>
      <c r="C133" s="260">
        <f>IF(C110&gt;0,C110/(C110+C113+C116),0)</f>
        <v>0</v>
      </c>
      <c r="D133" s="260">
        <f t="shared" si="25"/>
        <v>0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1250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1252</v>
      </c>
      <c r="C135" s="260">
        <f t="shared" si="45"/>
        <v>0</v>
      </c>
      <c r="D135" s="260">
        <f t="shared" si="25"/>
        <v>0</v>
      </c>
      <c r="F135" s="14" t="s">
        <v>1253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1254</v>
      </c>
      <c r="C136" s="260" t="e">
        <f>SUM(C110:C112)/SUM(C110:C118)</f>
        <v>#DIV/0!</v>
      </c>
      <c r="D136" s="260" t="e">
        <f t="shared" si="25"/>
        <v>#DIV/0!</v>
      </c>
      <c r="F136" s="14" t="s">
        <v>1255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1256</v>
      </c>
      <c r="B137" s="32" t="s">
        <v>1257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1259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1261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1263</v>
      </c>
      <c r="C140" s="171">
        <f>IF(Troupeau!B$3="VL",('Calcul éco'!B13),0)</f>
        <v>0</v>
      </c>
      <c r="D140" s="261">
        <f t="shared" si="50"/>
        <v>0</v>
      </c>
      <c r="F140" s="14" t="s">
        <v>1264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1265</v>
      </c>
      <c r="C141" s="171">
        <f>IF(Troupeau!B$3="VL",('Calcul éco'!B14),0)</f>
        <v>0</v>
      </c>
      <c r="D141" s="261">
        <f t="shared" si="50"/>
        <v>0</v>
      </c>
      <c r="F141" s="14" t="s">
        <v>1266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1267</v>
      </c>
      <c r="C142" s="171">
        <f>SUM(G147:G150)</f>
        <v>31</v>
      </c>
      <c r="D142" s="261">
        <f t="shared" si="50"/>
        <v>0</v>
      </c>
      <c r="AT142" s="19" t="s">
        <v>836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836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836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1268</v>
      </c>
      <c r="C143" s="171">
        <f>G151+G153</f>
        <v>9</v>
      </c>
      <c r="D143" s="261">
        <f t="shared" si="50"/>
        <v>0</v>
      </c>
      <c r="AT143" s="19" t="s">
        <v>839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839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839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1269</v>
      </c>
      <c r="C144" s="171">
        <f>G152+G154</f>
        <v>2</v>
      </c>
      <c r="D144" s="261">
        <f t="shared" si="50"/>
        <v>0</v>
      </c>
      <c r="AT144" s="19" t="s">
        <v>841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841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841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1270</v>
      </c>
      <c r="C145" s="171">
        <f>G155+G156</f>
        <v>0</v>
      </c>
      <c r="D145" s="261">
        <f t="shared" si="50"/>
        <v>0</v>
      </c>
      <c r="AT145" s="19" t="s">
        <v>843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843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843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1271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1272</v>
      </c>
      <c r="AT146" s="40" t="s">
        <v>845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845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845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1273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1274</v>
      </c>
      <c r="G147">
        <f>IF(Troupeau!B$3="BV",'Calcul éco'!B9,0)</f>
        <v>21.5</v>
      </c>
      <c r="AT147" s="40" t="s">
        <v>847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847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847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1275</v>
      </c>
      <c r="B148" s="14" t="s">
        <v>1276</v>
      </c>
      <c r="C148" s="171">
        <f>IF(Troupeau!B3="OL",'Calcul éco'!B5,0)</f>
        <v>0</v>
      </c>
      <c r="D148" s="261">
        <f t="shared" si="50"/>
        <v>0</v>
      </c>
      <c r="F148" s="14" t="s">
        <v>1277</v>
      </c>
      <c r="G148">
        <f>IF(Troupeau!B$3="BV",'Calcul éco'!B10,0)</f>
        <v>9.5</v>
      </c>
      <c r="AT148" s="40" t="s">
        <v>849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849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849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1278</v>
      </c>
      <c r="C149" s="171">
        <f>IF(Troupeau!B3="OL",'Calcul éco'!B6,0)</f>
        <v>0</v>
      </c>
      <c r="D149" s="261">
        <f t="shared" si="50"/>
        <v>0</v>
      </c>
      <c r="F149" s="14" t="s">
        <v>1279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850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1280</v>
      </c>
      <c r="C150" s="171">
        <f>IF(Troupeau!B3="BL",'Calcul éco'!B5,0)</f>
        <v>0</v>
      </c>
      <c r="D150" s="261">
        <f t="shared" si="50"/>
        <v>0</v>
      </c>
      <c r="F150" s="14" t="s">
        <v>1281</v>
      </c>
      <c r="G150">
        <f>IF(Troupeau!C$3="BV",'Calcul éco'!C10,0)</f>
        <v>0</v>
      </c>
      <c r="AT150" s="40" t="s">
        <v>850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850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1282</v>
      </c>
      <c r="B151" s="14" t="s">
        <v>1283</v>
      </c>
      <c r="C151" s="171">
        <f>'Calcul éco'!C19</f>
        <v>0</v>
      </c>
      <c r="D151" s="261">
        <f t="shared" si="50"/>
        <v>0</v>
      </c>
      <c r="F151" s="14" t="s">
        <v>1284</v>
      </c>
      <c r="G151">
        <f>IF(Troupeau!B$3="BV",'Calcul éco'!B13,0)</f>
        <v>9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1285</v>
      </c>
      <c r="C152" s="171">
        <f>'Calcul éco'!C20</f>
        <v>0</v>
      </c>
      <c r="D152" s="261">
        <f t="shared" si="50"/>
        <v>0</v>
      </c>
      <c r="F152" s="14" t="s">
        <v>1286</v>
      </c>
      <c r="G152">
        <f>IF(Troupeau!B$3="BV",'Calcul éco'!B14,0)</f>
        <v>2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1287</v>
      </c>
      <c r="C153" s="171">
        <f>'Calcul éco'!C21</f>
        <v>0</v>
      </c>
      <c r="D153" s="261">
        <f t="shared" si="50"/>
        <v>0</v>
      </c>
      <c r="F153" s="14" t="s">
        <v>1288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1289</v>
      </c>
      <c r="C154" s="171">
        <f>'Calcul éco'!D19</f>
        <v>0</v>
      </c>
      <c r="D154" s="261">
        <f t="shared" si="50"/>
        <v>0</v>
      </c>
      <c r="F154" s="14" t="s">
        <v>1290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1291</v>
      </c>
      <c r="C155" s="171">
        <f>'Calcul éco'!D20</f>
        <v>0</v>
      </c>
      <c r="D155" s="261">
        <f t="shared" si="50"/>
        <v>0</v>
      </c>
      <c r="F155" s="14" t="s">
        <v>1292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1293</v>
      </c>
      <c r="C156" s="171">
        <f>'Calcul éco'!D21</f>
        <v>0</v>
      </c>
      <c r="D156" s="261">
        <f t="shared" si="50"/>
        <v>0</v>
      </c>
      <c r="F156" s="14" t="s">
        <v>1294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1295</v>
      </c>
      <c r="C157" s="171">
        <f>C151+C154</f>
        <v>0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1296</v>
      </c>
      <c r="C158" s="171">
        <f t="shared" ref="C158:C159" si="82">C152+C155</f>
        <v>0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1297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1298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1299</v>
      </c>
      <c r="B161" s="14" t="s">
        <v>1300</v>
      </c>
      <c r="C161" s="260">
        <f>IF(Troupeau!$B$3="OL",CdTrp1!$AA$159,0)</f>
        <v>0</v>
      </c>
      <c r="D161" s="261">
        <f t="shared" si="50"/>
        <v>0</v>
      </c>
      <c r="AT161" s="185" t="s">
        <v>864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864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864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1301</v>
      </c>
      <c r="B162" s="14" t="s">
        <v>1302</v>
      </c>
      <c r="C162" s="260">
        <f>IF(Troupeau!$B$3="OL",CdTrp1!$AA$147,0)</f>
        <v>0</v>
      </c>
      <c r="D162" s="261">
        <f t="shared" si="50"/>
        <v>0</v>
      </c>
      <c r="AT162" s="185" t="s">
        <v>866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866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866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1303</v>
      </c>
      <c r="C163" s="260">
        <f>IF(Troupeau!$B$3="BL",CdTrp1!$AA$159,0)</f>
        <v>0</v>
      </c>
      <c r="D163" s="261">
        <f t="shared" si="50"/>
        <v>0</v>
      </c>
      <c r="AT163" s="40" t="s">
        <v>868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868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1304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1305</v>
      </c>
      <c r="C165" s="260">
        <f>IF(Troupeau!$B$3="BV",CdTrp1!$AA$159,0)+IF(Troupeau!$C$3="BV",CdTrp2!$AA$159,0)</f>
        <v>0</v>
      </c>
      <c r="D165" s="261">
        <f t="shared" si="50"/>
        <v>0</v>
      </c>
      <c r="AT165" s="40" t="s">
        <v>871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1306</v>
      </c>
      <c r="C166" s="260">
        <f>IF(Troupeau!$B$3="BV",CdTrp1!$AA$147,0)+IF(Troupeau!$C$3="BV",CdTrp2!$AA$147,0)</f>
        <v>265.68253283000007</v>
      </c>
      <c r="D166" s="261">
        <f t="shared" si="50"/>
        <v>0</v>
      </c>
      <c r="AT166" s="147" t="s">
        <v>873</v>
      </c>
      <c r="AU166" s="17">
        <f>VLOOKUP(AU120,[1]Trav!$B$12:$C$31,2)</f>
        <v>11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873</v>
      </c>
      <c r="CA166" s="17">
        <f>VLOOKUP(CA120,[1]Trav!$B$12:$C$31,2)</f>
        <v>9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873</v>
      </c>
      <c r="DD166" s="17">
        <f>VLOOKUP(DD120,[1]Trav!$B$12:$C$31,2)</f>
        <v>9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1307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1308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1309</v>
      </c>
      <c r="C169" s="171">
        <f>SUM('Alim -Surf'!D24:H24)</f>
        <v>0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1310</v>
      </c>
      <c r="C170" s="171">
        <f>SUM('Alim -Surf'!D25:H25)</f>
        <v>0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1311</v>
      </c>
      <c r="C171" s="171">
        <f>'Alim -Surf'!K24</f>
        <v>126.733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1312</v>
      </c>
      <c r="C172" s="171">
        <f>'Alim -Surf'!K25</f>
        <v>231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1313</v>
      </c>
      <c r="C173" s="171">
        <f>C169-C170</f>
        <v>0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1314</v>
      </c>
      <c r="C174" s="194" t="e">
        <f>ROUND((1 -(C173/C169))*100,1)</f>
        <v>#DIV/0!</v>
      </c>
      <c r="D174" s="261" t="e">
        <f t="shared" si="50"/>
        <v>#DIV/0!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1315</v>
      </c>
      <c r="C175" s="171">
        <f>C171-C172</f>
        <v>-104.267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1316</v>
      </c>
      <c r="C176" s="171">
        <f>'Calcul éco'!B118</f>
        <v>104.267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1317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1318</v>
      </c>
      <c r="C178" s="171">
        <f>ROUND((C170+C171)/(C170+C172),2)*100</f>
        <v>55.000000000000007</v>
      </c>
      <c r="D178" s="171" t="e">
        <f>ROUND((D170+D171)/(D170+D172),2)*100</f>
        <v>#DIV/0!</v>
      </c>
      <c r="AT178" s="40" t="s">
        <v>885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885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885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1319</v>
      </c>
      <c r="C179" s="171">
        <f>SUM('Calcul éco'!D82:F106)</f>
        <v>23</v>
      </c>
      <c r="D179" s="261">
        <f>C179*$D$82/$C$82</f>
        <v>0</v>
      </c>
    </row>
    <row r="180" spans="1:132" x14ac:dyDescent="0.25">
      <c r="B180" s="14" t="s">
        <v>1320</v>
      </c>
      <c r="C180" s="171">
        <f>SUM('Calcul éco'!D19:D21)</f>
        <v>0</v>
      </c>
      <c r="D180" s="261">
        <f>C180*$D$82/$C$82</f>
        <v>0</v>
      </c>
    </row>
    <row r="181" spans="1:132" x14ac:dyDescent="0.25">
      <c r="B181" s="14" t="s">
        <v>1321</v>
      </c>
      <c r="C181" s="171">
        <f>ROUND(C180/C179,2)*100</f>
        <v>0</v>
      </c>
      <c r="D181" s="171" t="e">
        <f>ROUND(D180/D179,2)*100</f>
        <v>#DIV/0!</v>
      </c>
    </row>
    <row r="182" spans="1:132" x14ac:dyDescent="0.25">
      <c r="A182" s="2" t="s">
        <v>1322</v>
      </c>
      <c r="B182" s="14" t="s">
        <v>1323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1324</v>
      </c>
      <c r="C183" s="171">
        <f>Protection!AK25</f>
        <v>0</v>
      </c>
      <c r="D183" s="262">
        <f>ROUND(D184*D185,0)</f>
        <v>0</v>
      </c>
      <c r="E183" s="17" t="s">
        <v>1325</v>
      </c>
    </row>
    <row r="184" spans="1:132" x14ac:dyDescent="0.25">
      <c r="B184" s="14" t="s">
        <v>1326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1327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1328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1329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1330</v>
      </c>
      <c r="C188" s="171">
        <f>'Calcul éco'!T236</f>
        <v>0</v>
      </c>
      <c r="D188" s="171">
        <f t="shared" ref="D188:D189" si="101">C188</f>
        <v>0</v>
      </c>
      <c r="AK188" s="40" t="s">
        <v>1136</v>
      </c>
    </row>
    <row r="189" spans="1:132" x14ac:dyDescent="0.25">
      <c r="B189" s="14" t="s">
        <v>1331</v>
      </c>
      <c r="C189" s="171">
        <f>'Calcul éco'!T245</f>
        <v>2</v>
      </c>
      <c r="D189" s="171">
        <f t="shared" si="101"/>
        <v>2</v>
      </c>
      <c r="AH189" s="15"/>
      <c r="AJ189" s="14" t="s">
        <v>1137</v>
      </c>
      <c r="AK189" s="30">
        <f>D189</f>
        <v>2</v>
      </c>
      <c r="AO189" s="171">
        <f>ROUND((([1]Protect!$B$5/[1]Protect!$B$11)+[1]Protect!$B$8)*AK189,0)</f>
        <v>1809</v>
      </c>
    </row>
    <row r="190" spans="1:132" x14ac:dyDescent="0.25">
      <c r="B190" s="14" t="s">
        <v>1332</v>
      </c>
      <c r="C190" s="171">
        <f>'Calcul éco'!T246*(30)</f>
        <v>0</v>
      </c>
      <c r="D190" s="171">
        <f>C190</f>
        <v>0</v>
      </c>
      <c r="AH190" s="15"/>
      <c r="AJ190" s="14" t="s">
        <v>1138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1333</v>
      </c>
      <c r="C191" s="194">
        <f>ROUND(SUM(Travail!F69:F74)/8,1)</f>
        <v>0</v>
      </c>
      <c r="D191" s="171">
        <f>C191</f>
        <v>0</v>
      </c>
      <c r="E191" s="17" t="s">
        <v>1334</v>
      </c>
      <c r="G191" t="s">
        <v>1335</v>
      </c>
      <c r="N191" t="s">
        <v>1336</v>
      </c>
      <c r="U191" t="s">
        <v>950</v>
      </c>
      <c r="AJ191" s="14" t="s">
        <v>1139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1337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1338</v>
      </c>
      <c r="I192" s="5"/>
      <c r="AN192" s="14" t="s">
        <v>1140</v>
      </c>
      <c r="AO192" s="171">
        <f>SUM(AO189:AO191)</f>
        <v>1809</v>
      </c>
    </row>
    <row r="193" spans="1:43" x14ac:dyDescent="0.25">
      <c r="B193" s="14" t="s">
        <v>1339</v>
      </c>
      <c r="C193" s="171">
        <f>(Travail!F75+Travail!F76+Travail!F81)/8</f>
        <v>1.125</v>
      </c>
      <c r="D193" s="171">
        <f>C193</f>
        <v>1.125</v>
      </c>
      <c r="I193" s="32" t="s">
        <v>1340</v>
      </c>
      <c r="J193" s="5">
        <f>D65</f>
        <v>0</v>
      </c>
      <c r="P193" s="32" t="s">
        <v>1341</v>
      </c>
      <c r="Q193" s="5">
        <f>D64</f>
        <v>0</v>
      </c>
      <c r="V193" s="32" t="s">
        <v>1342</v>
      </c>
      <c r="W193" s="5">
        <f>D63</f>
        <v>0</v>
      </c>
    </row>
    <row r="194" spans="1:43" x14ac:dyDescent="0.25">
      <c r="A194" s="2" t="s">
        <v>1343</v>
      </c>
      <c r="B194" s="14" t="s">
        <v>1344</v>
      </c>
      <c r="C194" s="171">
        <f>ROUND(SUM('Calcul éco'!J5:J30),0)</f>
        <v>38735</v>
      </c>
      <c r="D194" s="257">
        <f>ROUND(C194*D$82/C$82,0)</f>
        <v>0</v>
      </c>
      <c r="I194" s="32" t="s">
        <v>1345</v>
      </c>
      <c r="J194" s="5">
        <f>J193/IF(Scénario!K2="Exploit. Ind.",1,Scénario!K3)</f>
        <v>0</v>
      </c>
      <c r="P194" s="32" t="s">
        <v>1346</v>
      </c>
      <c r="Q194" s="5">
        <f>Q193/IF(Scénario!K2="Exploit. Ind.",1,Scénario!K3)</f>
        <v>0</v>
      </c>
      <c r="V194" s="32" t="s">
        <v>1347</v>
      </c>
      <c r="W194" s="5">
        <f>W193/IF(Scénario!K2="Exploit. Ind.",1,Scénario!K3)</f>
        <v>0</v>
      </c>
    </row>
    <row r="195" spans="1:43" x14ac:dyDescent="0.25">
      <c r="A195" s="2"/>
      <c r="B195" s="14" t="s">
        <v>1348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1349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1350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958</v>
      </c>
      <c r="I197" s="169" t="s">
        <v>959</v>
      </c>
      <c r="J197" s="169" t="s">
        <v>709</v>
      </c>
      <c r="O197" s="169" t="s">
        <v>958</v>
      </c>
      <c r="P197" s="169" t="s">
        <v>962</v>
      </c>
      <c r="Q197" s="169" t="s">
        <v>709</v>
      </c>
      <c r="T197" s="5"/>
      <c r="U197" s="169" t="s">
        <v>958</v>
      </c>
      <c r="V197" s="169" t="s">
        <v>960</v>
      </c>
      <c r="W197" s="169" t="s">
        <v>709</v>
      </c>
    </row>
    <row r="198" spans="1:43" x14ac:dyDescent="0.25">
      <c r="A198" s="2"/>
      <c r="B198" s="14" t="s">
        <v>1351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964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966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965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1143</v>
      </c>
      <c r="AJ198" s="4">
        <f>IF(Troupeau!B3="OL",L223,0)*Scénario!K56</f>
        <v>0</v>
      </c>
      <c r="AO198" s="40" t="s">
        <v>1144</v>
      </c>
      <c r="AP198">
        <f>IF(Troupeau!B3="OL",D63,0)</f>
        <v>0</v>
      </c>
    </row>
    <row r="199" spans="1:43" x14ac:dyDescent="0.25">
      <c r="A199" s="2"/>
      <c r="B199" s="14" t="s">
        <v>1352</v>
      </c>
      <c r="C199" s="171">
        <f>IF(Troupeau!B3="BV",SUM('Calcul éco'!K9:K15)-'Calcul éco'!K16,0)+IF(Troupeau!C3="BV",SUM('Calcul éco'!L9:L15)-'Calcul éco'!L16,0)</f>
        <v>38735</v>
      </c>
      <c r="D199" s="257">
        <f t="shared" si="102"/>
        <v>0</v>
      </c>
      <c r="G199" s="14" t="s">
        <v>967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970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968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1145</v>
      </c>
      <c r="AQ199" t="s">
        <v>1145</v>
      </c>
    </row>
    <row r="200" spans="1:43" x14ac:dyDescent="0.25">
      <c r="A200" s="2"/>
      <c r="B200" s="14" t="s">
        <v>1353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972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969</v>
      </c>
      <c r="Q200" s="62">
        <f>IF(Scénario!K10=1,Q198,Q199)*IF(Scénario!K2="Exploit. Ind.",1,Scénario!K3)</f>
        <v>0</v>
      </c>
      <c r="V200" s="40" t="s">
        <v>969</v>
      </c>
      <c r="W200" s="62">
        <f>SUM(W198:W199)*IF(Scénario!K2="Exploit. Ind.",1,Scénario!K3)</f>
        <v>0</v>
      </c>
      <c r="AI200" s="14" t="s">
        <v>1146</v>
      </c>
      <c r="AJ200" s="30">
        <f>IF(AJ198&lt;151,1,0)</f>
        <v>1</v>
      </c>
      <c r="AK200" s="171">
        <f>IF(AJ200=0,0,[1]Protect!B76)</f>
        <v>7500</v>
      </c>
      <c r="AO200" s="14" t="s">
        <v>1147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71">
        <f>'Calcul éco'!J34</f>
        <v>8542</v>
      </c>
      <c r="D201" s="262">
        <f>J201</f>
        <v>0</v>
      </c>
      <c r="E201" s="17" t="s">
        <v>1354</v>
      </c>
      <c r="I201" s="40" t="s">
        <v>969</v>
      </c>
      <c r="J201" s="62">
        <f>SUM(J198:J200)*IF(Scénario!K2="Exploit. Ind.",1,Scénario!K3)</f>
        <v>0</v>
      </c>
      <c r="AI201" s="14" t="s">
        <v>1148</v>
      </c>
      <c r="AJ201" s="30">
        <f>IF(AND(150 &lt;AJ$198,AJ$198&lt;451),1,0)</f>
        <v>0</v>
      </c>
      <c r="AK201" s="171">
        <f>IF(AJ201=0,0,[1]Protect!B77)</f>
        <v>0</v>
      </c>
      <c r="AO201" s="14" t="s">
        <v>1149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981</v>
      </c>
      <c r="C202" s="171">
        <f>+'Calcul éco'!J35</f>
        <v>0</v>
      </c>
      <c r="D202" s="262">
        <f>ROUND(Q200,0)</f>
        <v>0</v>
      </c>
      <c r="E202" s="17" t="s">
        <v>1354</v>
      </c>
      <c r="AI202" s="14" t="s">
        <v>1150</v>
      </c>
      <c r="AJ202" s="30">
        <f>IF(AND(540 &lt;AJ$198,AJ$198&lt;1201),1,0)</f>
        <v>0</v>
      </c>
      <c r="AK202" s="171">
        <f>IF(AJ202=0,0,[1]Protect!B78)</f>
        <v>0</v>
      </c>
      <c r="AO202" s="14" t="s">
        <v>1151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987</v>
      </c>
      <c r="C203" s="171">
        <f>'Calcul éco'!J37</f>
        <v>0</v>
      </c>
      <c r="D203" s="262">
        <f>ROUND(W200,0)</f>
        <v>0</v>
      </c>
      <c r="E203" s="17" t="s">
        <v>1354</v>
      </c>
      <c r="AI203" s="14" t="s">
        <v>1152</v>
      </c>
      <c r="AJ203" s="30">
        <f>IF(AND(1200&lt;AJ$198,AJ$198&lt;1501),1,0)</f>
        <v>0</v>
      </c>
      <c r="AK203" s="171">
        <f>IF(AJ203=0,0,[1]Protect!B79)</f>
        <v>0</v>
      </c>
      <c r="AO203" s="14" t="s">
        <v>1153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997</v>
      </c>
      <c r="C204" s="171">
        <f>'Calcul éco'!J39</f>
        <v>0</v>
      </c>
      <c r="D204" s="257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982</v>
      </c>
      <c r="U204" s="14"/>
      <c r="V204" s="36"/>
      <c r="AI204" s="14" t="s">
        <v>1154</v>
      </c>
      <c r="AJ204" s="30">
        <f>IF(1500&lt;AJ$198,1,0)</f>
        <v>0</v>
      </c>
      <c r="AK204" s="171">
        <f>IF(AJ204=0,0,[1]Protect!B80)</f>
        <v>0</v>
      </c>
      <c r="AO204" s="14" t="s">
        <v>1155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548</v>
      </c>
      <c r="C205" s="171">
        <f>'Calcul éco'!J40</f>
        <v>0</v>
      </c>
      <c r="D205" s="257">
        <f>ROUND(C205*D$82/C$82,0)</f>
        <v>0</v>
      </c>
      <c r="I205" s="14" t="s">
        <v>1355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986</v>
      </c>
      <c r="Y205" s="186">
        <f>'Calcul éco'!AC36</f>
        <v>223</v>
      </c>
      <c r="Z205" s="5"/>
    </row>
    <row r="206" spans="1:43" x14ac:dyDescent="0.25">
      <c r="A206" s="2" t="s">
        <v>1001</v>
      </c>
      <c r="B206" s="19" t="s">
        <v>1002</v>
      </c>
      <c r="C206" s="171">
        <f>ROUND('Calcul éco'!J42,0)</f>
        <v>2867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992</v>
      </c>
      <c r="Y206" s="169" t="s">
        <v>958</v>
      </c>
      <c r="Z206" s="169" t="s">
        <v>709</v>
      </c>
    </row>
    <row r="207" spans="1:43" x14ac:dyDescent="0.25">
      <c r="B207" s="207" t="s">
        <v>1006</v>
      </c>
      <c r="C207" s="171">
        <f>ROUND('Calcul éco'!J43,0)</f>
        <v>1448</v>
      </c>
      <c r="D207" s="262">
        <f>IF(L212&gt;52,52,L212)*IF(Scénario!K2="Exploit. Ind.",1,Scénario!K3)*'Calcul éco'!C43</f>
        <v>0</v>
      </c>
      <c r="E207" s="17" t="s">
        <v>1356</v>
      </c>
      <c r="W207" s="14" t="s">
        <v>996</v>
      </c>
      <c r="X207" s="171">
        <f>IF(T208&gt;25, 25,T208)</f>
        <v>0</v>
      </c>
      <c r="Y207" s="171">
        <f>Y209+Y205</f>
        <v>293</v>
      </c>
      <c r="Z207" s="171">
        <f>X207*Y207</f>
        <v>0</v>
      </c>
      <c r="AF207" s="23" t="s">
        <v>1156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1007</v>
      </c>
      <c r="C208" s="171">
        <f>ROUND('Calcul éco'!J44,0)</f>
        <v>1981</v>
      </c>
      <c r="D208" s="257">
        <f>ROUND(C208*D$82/C$82,0)</f>
        <v>0</v>
      </c>
      <c r="S208" s="14" t="s">
        <v>998</v>
      </c>
      <c r="T208" s="30">
        <f>L212</f>
        <v>0</v>
      </c>
      <c r="W208" s="14" t="s">
        <v>999</v>
      </c>
      <c r="X208" s="171">
        <f>IF(T208&gt;50,25,IF(T208&gt;25,T208-25,0))</f>
        <v>0</v>
      </c>
      <c r="Y208" s="171">
        <f>Y209+0.66*Y205</f>
        <v>217.18</v>
      </c>
      <c r="Z208" s="171">
        <f t="shared" ref="Z208:Z209" si="105">X208*Y208</f>
        <v>0</v>
      </c>
      <c r="AF208" s="5"/>
      <c r="AK208" s="14" t="s">
        <v>1157</v>
      </c>
      <c r="AL208" s="171">
        <f>IF(AO192&lt;SUM(AK200:AK204),AO192,SUM(AK200:AK204))</f>
        <v>1809</v>
      </c>
      <c r="AQ208" s="240"/>
    </row>
    <row r="209" spans="1:43" x14ac:dyDescent="0.25">
      <c r="B209" s="19" t="s">
        <v>1009</v>
      </c>
      <c r="C209" s="171">
        <f>ROUND('Calcul éco'!J45,0)</f>
        <v>8315</v>
      </c>
      <c r="D209" s="262">
        <f>IF(Scénario!K9=0,0,ROUND(Z210,0))</f>
        <v>0</v>
      </c>
      <c r="E209" s="17" t="s">
        <v>1357</v>
      </c>
      <c r="K209" s="40" t="s">
        <v>1008</v>
      </c>
      <c r="L209" s="62">
        <f>SUM(L205:L206)</f>
        <v>0</v>
      </c>
      <c r="W209" s="14" t="s">
        <v>1000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1158</v>
      </c>
      <c r="AL209" s="171">
        <f>IF(AO192&lt;SUM(AQ200:AQ204),AO192,SUM(AQ200:AQ204))</f>
        <v>1809</v>
      </c>
      <c r="AP209" s="240"/>
      <c r="AQ209" s="240"/>
    </row>
    <row r="210" spans="1:43" x14ac:dyDescent="0.25">
      <c r="B210" s="19" t="s">
        <v>1358</v>
      </c>
      <c r="C210" s="171">
        <f>ROUND('Calcul éco'!J46,0)</f>
        <v>0</v>
      </c>
      <c r="D210" s="262">
        <f>ROUND(AL207,0)</f>
        <v>0</v>
      </c>
      <c r="E210" s="17" t="s">
        <v>1359</v>
      </c>
      <c r="K210" s="14" t="s">
        <v>1010</v>
      </c>
      <c r="L210" s="171">
        <f>J221</f>
        <v>0</v>
      </c>
      <c r="Y210" s="40" t="s">
        <v>969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1360</v>
      </c>
      <c r="C211" s="171">
        <f>SUM(C201:C210)</f>
        <v>23153</v>
      </c>
      <c r="D211" s="262">
        <f>ROUND(SUM(D201:D210),0)</f>
        <v>0</v>
      </c>
      <c r="E211" s="17" t="s">
        <v>1361</v>
      </c>
      <c r="K211" s="40" t="s">
        <v>1015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1362</v>
      </c>
      <c r="B212" s="14" t="s">
        <v>1363</v>
      </c>
      <c r="C212" s="171">
        <f>IF(Troupeau!B3="OL",'Calcul éco'!K116,0)</f>
        <v>0</v>
      </c>
      <c r="D212" s="257">
        <f>ROUND(C212*D$82/C$82,0)</f>
        <v>0</v>
      </c>
      <c r="K212" s="40" t="s">
        <v>1364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1365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1159</v>
      </c>
      <c r="AP213" s="241"/>
      <c r="AQ213" s="240"/>
    </row>
    <row r="214" spans="1:43" x14ac:dyDescent="0.25">
      <c r="B214" s="14" t="s">
        <v>1366</v>
      </c>
      <c r="C214" s="171">
        <f>IF(Troupeau!B3="BV",'Calcul éco'!K116,0)+IF(Troupeau!C3="BV",'Calcul éco'!L116,0)</f>
        <v>14817.3</v>
      </c>
      <c r="D214" s="257">
        <f t="shared" si="106"/>
        <v>0</v>
      </c>
      <c r="H214" s="2" t="s">
        <v>1018</v>
      </c>
      <c r="AF214" s="5"/>
      <c r="AJ214" s="33" t="s">
        <v>1160</v>
      </c>
      <c r="AK214" s="33"/>
      <c r="AL214" s="33"/>
      <c r="AM214" s="33" t="s">
        <v>1161</v>
      </c>
      <c r="AN214" s="33" t="s">
        <v>1025</v>
      </c>
      <c r="AP214" s="241"/>
      <c r="AQ214" s="240"/>
    </row>
    <row r="215" spans="1:43" x14ac:dyDescent="0.25">
      <c r="B215" s="14" t="s">
        <v>1367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1368</v>
      </c>
      <c r="J215" t="s">
        <v>1369</v>
      </c>
      <c r="AF215" s="5"/>
      <c r="AI215" s="14" t="s">
        <v>1162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1370</v>
      </c>
      <c r="C216" s="171">
        <f>ROUND(SUM(C212:C215),0)</f>
        <v>14817</v>
      </c>
      <c r="D216" s="257">
        <f t="shared" si="106"/>
        <v>0</v>
      </c>
      <c r="G216" s="14" t="s">
        <v>558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1163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1371</v>
      </c>
      <c r="C217" s="171">
        <f>SUM('Calcul éco'!J122:J138)</f>
        <v>3407.85</v>
      </c>
      <c r="D217" s="257">
        <f t="shared" si="106"/>
        <v>0</v>
      </c>
      <c r="G217" s="19" t="s">
        <v>572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1164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1372</v>
      </c>
      <c r="C218" s="171">
        <f>SUM('Calcul éco'!J118:J119)</f>
        <v>23015.25</v>
      </c>
      <c r="D218" s="257">
        <f t="shared" si="106"/>
        <v>0</v>
      </c>
      <c r="G218" s="14" t="s">
        <v>579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1125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1373</v>
      </c>
      <c r="C219" s="171">
        <f>'Calcul éco'!J141</f>
        <v>1809</v>
      </c>
      <c r="D219" s="257">
        <f t="shared" si="106"/>
        <v>0</v>
      </c>
      <c r="K219" s="4"/>
      <c r="AF219" s="5"/>
      <c r="AG219" s="242"/>
      <c r="AI219" s="14" t="s">
        <v>1126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1374</v>
      </c>
      <c r="C220" s="171">
        <f>'Calcul éco'!J142</f>
        <v>0</v>
      </c>
      <c r="D220" s="262">
        <f>SUM(AN215:AN219)</f>
        <v>0</v>
      </c>
      <c r="E220" s="17" t="s">
        <v>1375</v>
      </c>
      <c r="H220" s="14" t="s">
        <v>1020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1376</v>
      </c>
      <c r="C221" s="171">
        <f>ROUND(SUM(C216:C220),0)</f>
        <v>43049</v>
      </c>
      <c r="D221" s="262">
        <f>ROUND(SUM(D216:D220),0)</f>
        <v>0</v>
      </c>
      <c r="E221" s="17" t="s">
        <v>1375</v>
      </c>
      <c r="H221" s="14" t="s">
        <v>1021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1088</v>
      </c>
      <c r="B222" s="14" t="s">
        <v>1377</v>
      </c>
      <c r="C222" s="171">
        <f>'Calcul éco'!J149</f>
        <v>2931.7999999999997</v>
      </c>
      <c r="D222" s="257">
        <f>ROUND(C222*D$82/C$82,0)</f>
        <v>0</v>
      </c>
      <c r="K222" t="s">
        <v>1368</v>
      </c>
      <c r="L222" t="s">
        <v>1378</v>
      </c>
    </row>
    <row r="223" spans="1:43" x14ac:dyDescent="0.25">
      <c r="B223" s="14" t="s">
        <v>1090</v>
      </c>
      <c r="C223" s="171">
        <f>'Calcul éco'!J150</f>
        <v>1085</v>
      </c>
      <c r="D223" s="171">
        <f>C223</f>
        <v>1085</v>
      </c>
      <c r="J223" s="14" t="s">
        <v>1379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1118</v>
      </c>
      <c r="AM223" t="s">
        <v>1119</v>
      </c>
      <c r="AN223" t="s">
        <v>1120</v>
      </c>
      <c r="AO223" t="s">
        <v>1121</v>
      </c>
    </row>
    <row r="224" spans="1:43" x14ac:dyDescent="0.25">
      <c r="B224" s="14" t="s">
        <v>1091</v>
      </c>
      <c r="C224" s="171">
        <f>'Calcul éco'!J151</f>
        <v>2880</v>
      </c>
      <c r="D224" s="171">
        <f>C224</f>
        <v>2880</v>
      </c>
      <c r="G224" s="14"/>
      <c r="H224" s="14"/>
      <c r="J224" s="14" t="s">
        <v>1380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1122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1093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1381</v>
      </c>
      <c r="K225" s="30">
        <f>Scénario!K66</f>
        <v>0</v>
      </c>
      <c r="L225" s="30">
        <f>K225*'Synthèse résultats'!D$82/'Synthèse résultats'!C$82</f>
        <v>0</v>
      </c>
      <c r="AJ225" s="14" t="s">
        <v>1123</v>
      </c>
      <c r="AK225" s="30">
        <f>D183</f>
        <v>0</v>
      </c>
      <c r="AL225" t="s">
        <v>1124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1095</v>
      </c>
      <c r="C226" s="171">
        <f>'Calcul éco'!J153</f>
        <v>11000</v>
      </c>
      <c r="D226" s="257">
        <f>ROUND(C226*D$82/C$82,0)</f>
        <v>0</v>
      </c>
      <c r="G226" s="14"/>
      <c r="H226" s="14"/>
      <c r="AJ226" s="14" t="s">
        <v>1125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1097</v>
      </c>
      <c r="C227" s="171">
        <f>'Calcul éco'!J154</f>
        <v>8411.7999999999993</v>
      </c>
      <c r="D227" s="257">
        <f t="shared" ref="D227:D233" si="109">ROUND(C227*D$82/C$82,0)</f>
        <v>0</v>
      </c>
      <c r="AJ227" s="14" t="s">
        <v>1126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1127</v>
      </c>
      <c r="AR227" t="s">
        <v>1128</v>
      </c>
      <c r="AS227" t="s">
        <v>1129</v>
      </c>
      <c r="AT227" t="s">
        <v>1130</v>
      </c>
      <c r="AU227" t="s">
        <v>1131</v>
      </c>
      <c r="AV227" t="s">
        <v>1132</v>
      </c>
      <c r="AW227" t="s">
        <v>1133</v>
      </c>
    </row>
    <row r="228" spans="1:49" x14ac:dyDescent="0.25">
      <c r="B228" s="14" t="s">
        <v>1099</v>
      </c>
      <c r="C228" s="171"/>
      <c r="D228" s="257">
        <f t="shared" si="109"/>
        <v>0</v>
      </c>
      <c r="AN228" s="14" t="s">
        <v>1134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1102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1103</v>
      </c>
      <c r="C230" s="171">
        <f>'Calcul éco'!J158</f>
        <v>3.6200000000000516</v>
      </c>
      <c r="D230" s="257">
        <f t="shared" si="109"/>
        <v>0</v>
      </c>
    </row>
    <row r="231" spans="1:49" x14ac:dyDescent="0.25">
      <c r="B231" s="14" t="s">
        <v>1104</v>
      </c>
      <c r="C231" s="171">
        <f>'Calcul éco'!J159</f>
        <v>384</v>
      </c>
      <c r="D231" s="257">
        <f t="shared" si="109"/>
        <v>0</v>
      </c>
      <c r="AJ231" s="14" t="s">
        <v>1135</v>
      </c>
      <c r="AK231" s="30">
        <f>D186</f>
        <v>0</v>
      </c>
      <c r="AL231" t="s">
        <v>1124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1105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1106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1382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1383</v>
      </c>
      <c r="C235" s="171">
        <f>'Calcul éco'!J167</f>
        <v>0</v>
      </c>
      <c r="D235" s="262">
        <f>(D191+D192)*8*[1]Eco!$B$106</f>
        <v>0</v>
      </c>
      <c r="E235" s="17" t="s">
        <v>1375</v>
      </c>
    </row>
    <row r="236" spans="1:49" x14ac:dyDescent="0.25">
      <c r="B236" s="14" t="s">
        <v>1384</v>
      </c>
      <c r="C236" s="171">
        <f>ROUND(SUM(C222:C235),0)</f>
        <v>26696</v>
      </c>
      <c r="D236" s="262">
        <f>ROUND(SUM(D222:D235),0)</f>
        <v>3965</v>
      </c>
      <c r="E236" s="17" t="s">
        <v>1385</v>
      </c>
    </row>
    <row r="237" spans="1:49" x14ac:dyDescent="0.25">
      <c r="A237" s="2" t="s">
        <v>1386</v>
      </c>
      <c r="B237" s="207" t="s">
        <v>1112</v>
      </c>
      <c r="C237" s="171">
        <f>C194+C211-C221-C236</f>
        <v>-7857</v>
      </c>
      <c r="D237" s="262">
        <f>D194+D211-D221-D236</f>
        <v>-3965</v>
      </c>
    </row>
    <row r="238" spans="1:49" x14ac:dyDescent="0.25">
      <c r="B238" s="207" t="s">
        <v>1113</v>
      </c>
      <c r="C238" s="171">
        <f>ROUND(C237/Scénario!$K$4,0)</f>
        <v>-7857</v>
      </c>
      <c r="D238" s="262" t="e">
        <f>ROUND(D237/D83,0)</f>
        <v>#DIV/0!</v>
      </c>
    </row>
    <row r="239" spans="1:49" x14ac:dyDescent="0.25">
      <c r="B239" s="207" t="s">
        <v>1114</v>
      </c>
      <c r="C239" s="171">
        <f>'Calcul éco'!B177</f>
        <v>4750</v>
      </c>
      <c r="D239" s="262">
        <f>C239</f>
        <v>4750</v>
      </c>
    </row>
    <row r="240" spans="1:49" x14ac:dyDescent="0.25">
      <c r="B240" s="207" t="s">
        <v>1115</v>
      </c>
      <c r="C240" s="265">
        <f>'Calcul éco'!B178</f>
        <v>0</v>
      </c>
      <c r="D240" s="266">
        <f>AW228+AW231</f>
        <v>0</v>
      </c>
      <c r="E240" s="17" t="s">
        <v>1375</v>
      </c>
    </row>
    <row r="241" spans="1:15" x14ac:dyDescent="0.25">
      <c r="B241" s="207" t="s">
        <v>1116</v>
      </c>
      <c r="C241" s="267">
        <f>ROUND(C237-C239-C240,0)</f>
        <v>-12607</v>
      </c>
      <c r="D241" s="266">
        <f>ROUND(D237-D239-D240,0)</f>
        <v>-8715</v>
      </c>
    </row>
    <row r="242" spans="1:15" x14ac:dyDescent="0.25">
      <c r="B242" s="207" t="s">
        <v>1117</v>
      </c>
      <c r="C242" s="171">
        <f>ROUND(C241/Scénario!K4,0)</f>
        <v>-12607</v>
      </c>
      <c r="D242" s="262" t="e">
        <f>ROUND(D241/D83,0)</f>
        <v>#DIV/0!</v>
      </c>
    </row>
    <row r="243" spans="1:15" x14ac:dyDescent="0.25">
      <c r="B243" s="207" t="s">
        <v>1387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1388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1389</v>
      </c>
      <c r="B245" s="14" t="s">
        <v>558</v>
      </c>
      <c r="C245" s="268">
        <f>Travail!F5</f>
        <v>0</v>
      </c>
      <c r="D245" s="171">
        <f>C245</f>
        <v>0</v>
      </c>
    </row>
    <row r="246" spans="1:15" x14ac:dyDescent="0.25">
      <c r="B246" s="14" t="s">
        <v>572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579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768</v>
      </c>
      <c r="B248" s="14" t="s">
        <v>558</v>
      </c>
      <c r="C248" s="268">
        <f>Travail!F9</f>
        <v>1350.9004319999999</v>
      </c>
      <c r="D248" s="262">
        <f>ROUND(SUM(AV163:BS163),1)</f>
        <v>0</v>
      </c>
    </row>
    <row r="249" spans="1:15" x14ac:dyDescent="0.25">
      <c r="B249" s="14" t="s">
        <v>572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579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771</v>
      </c>
      <c r="B251" s="14" t="s">
        <v>558</v>
      </c>
      <c r="C251" s="268">
        <f>Travail!F16</f>
        <v>0</v>
      </c>
      <c r="D251" s="171">
        <f>C251</f>
        <v>0</v>
      </c>
      <c r="J251" s="40" t="s">
        <v>796</v>
      </c>
      <c r="M251" s="5"/>
      <c r="N251" s="5"/>
      <c r="O251" s="169"/>
    </row>
    <row r="252" spans="1:15" x14ac:dyDescent="0.25">
      <c r="A252" s="43"/>
      <c r="B252" s="14" t="s">
        <v>572</v>
      </c>
      <c r="C252" s="268">
        <f>Travail!F17</f>
        <v>0</v>
      </c>
      <c r="D252" s="171">
        <f t="shared" ref="D252:D253" si="113">C252</f>
        <v>0</v>
      </c>
      <c r="J252" s="37" t="s">
        <v>797</v>
      </c>
      <c r="K252" s="169" t="s">
        <v>51</v>
      </c>
      <c r="L252" t="s">
        <v>798</v>
      </c>
      <c r="M252" s="5"/>
      <c r="N252" s="5"/>
      <c r="O252" s="169"/>
    </row>
    <row r="253" spans="1:15" x14ac:dyDescent="0.25">
      <c r="A253" s="43"/>
      <c r="B253" s="14" t="s">
        <v>579</v>
      </c>
      <c r="C253" s="268">
        <f>Travail!F18</f>
        <v>0</v>
      </c>
      <c r="D253" s="171">
        <f t="shared" si="113"/>
        <v>0</v>
      </c>
      <c r="J253" s="14" t="s">
        <v>800</v>
      </c>
      <c r="K253" s="171">
        <f>C91+C92</f>
        <v>0</v>
      </c>
      <c r="L253" s="186">
        <f>IF(K253&gt;[1]Trav!$E$116,[1]Trav!C116,[1]Trav!B116)</f>
        <v>11</v>
      </c>
      <c r="M253" s="5"/>
      <c r="N253" s="170"/>
      <c r="O253">
        <f>K253*L253</f>
        <v>0</v>
      </c>
    </row>
    <row r="254" spans="1:15" x14ac:dyDescent="0.25">
      <c r="A254" s="43" t="s">
        <v>778</v>
      </c>
      <c r="B254" s="14" t="s">
        <v>558</v>
      </c>
      <c r="C254" s="268">
        <f>Travail!F20</f>
        <v>0</v>
      </c>
      <c r="D254" s="171">
        <f>Travail!G20</f>
        <v>0</v>
      </c>
      <c r="J254" s="14" t="s">
        <v>802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572</v>
      </c>
      <c r="C255" s="268">
        <f>Travail!F21</f>
        <v>0</v>
      </c>
      <c r="D255" s="171">
        <f>Travail!G21</f>
        <v>0</v>
      </c>
      <c r="J255" s="32" t="s">
        <v>804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579</v>
      </c>
      <c r="C256" s="268">
        <f>Travail!F22</f>
        <v>0</v>
      </c>
      <c r="D256" s="171">
        <f>Travail!G22</f>
        <v>0</v>
      </c>
      <c r="J256" s="32" t="s">
        <v>805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781</v>
      </c>
      <c r="B257" s="14" t="s">
        <v>558</v>
      </c>
      <c r="C257" s="268">
        <f>Travail!F31</f>
        <v>276</v>
      </c>
      <c r="D257" s="257">
        <f>ROUND(C257*D$82/C$82,0)</f>
        <v>0</v>
      </c>
      <c r="E257" s="17" t="s">
        <v>1390</v>
      </c>
      <c r="J257" s="32" t="s">
        <v>806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572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807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579</v>
      </c>
      <c r="C259" s="268">
        <f>Travail!F33</f>
        <v>0</v>
      </c>
      <c r="D259" s="257">
        <f t="shared" si="115"/>
        <v>0</v>
      </c>
      <c r="J259" s="32" t="s">
        <v>808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784</v>
      </c>
      <c r="B260" s="14" t="s">
        <v>558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1391</v>
      </c>
      <c r="J260" s="32" t="s">
        <v>809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789</v>
      </c>
      <c r="B261" s="14" t="s">
        <v>558</v>
      </c>
      <c r="C261" s="268">
        <f>Travail!F39</f>
        <v>0</v>
      </c>
      <c r="D261" s="257">
        <f>ROUND(C261*G63,0)</f>
        <v>0</v>
      </c>
      <c r="E261" s="17" t="s">
        <v>1392</v>
      </c>
      <c r="J261" s="32" t="s">
        <v>810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1393</v>
      </c>
      <c r="B262" s="14" t="s">
        <v>800</v>
      </c>
      <c r="C262" s="268">
        <f>Travail!F50</f>
        <v>0</v>
      </c>
      <c r="D262" s="262">
        <f t="shared" ref="D262:D271" si="116">ROUND(K253*L253,0)</f>
        <v>0</v>
      </c>
      <c r="E262" s="17" t="s">
        <v>1394</v>
      </c>
      <c r="J262" s="32" t="s">
        <v>812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802</v>
      </c>
      <c r="C263" s="268">
        <f>Travail!F51</f>
        <v>39</v>
      </c>
      <c r="D263" s="262">
        <f t="shared" si="116"/>
        <v>0</v>
      </c>
    </row>
    <row r="264" spans="1:15" x14ac:dyDescent="0.25">
      <c r="B264" s="32" t="s">
        <v>804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805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806</v>
      </c>
      <c r="C266" s="268">
        <f>Travail!F54</f>
        <v>35</v>
      </c>
      <c r="D266" s="262">
        <f t="shared" si="116"/>
        <v>0</v>
      </c>
    </row>
    <row r="267" spans="1:15" x14ac:dyDescent="0.25">
      <c r="B267" s="32" t="s">
        <v>807</v>
      </c>
      <c r="C267" s="268">
        <f>Travail!F55</f>
        <v>146</v>
      </c>
      <c r="D267" s="262">
        <f t="shared" si="116"/>
        <v>0</v>
      </c>
    </row>
    <row r="268" spans="1:15" x14ac:dyDescent="0.25">
      <c r="B268" s="32" t="s">
        <v>808</v>
      </c>
      <c r="C268" s="268">
        <f>Travail!F56</f>
        <v>146</v>
      </c>
      <c r="D268" s="262">
        <f t="shared" si="116"/>
        <v>0</v>
      </c>
    </row>
    <row r="269" spans="1:15" x14ac:dyDescent="0.25">
      <c r="B269" s="32" t="s">
        <v>809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810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812</v>
      </c>
      <c r="C271" s="268">
        <f>Travail!F59</f>
        <v>26</v>
      </c>
      <c r="D271" s="262">
        <f t="shared" si="116"/>
        <v>0</v>
      </c>
    </row>
    <row r="272" spans="1:15" x14ac:dyDescent="0.25">
      <c r="A272" s="23" t="s">
        <v>1395</v>
      </c>
      <c r="B272" s="32" t="s">
        <v>816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817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1396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1397</v>
      </c>
      <c r="B275" s="32" t="s">
        <v>1398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1399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1400</v>
      </c>
      <c r="C277" s="268">
        <f>Travail!F75+Travail!F81</f>
        <v>9</v>
      </c>
      <c r="D277" s="171">
        <f>C277</f>
        <v>9</v>
      </c>
    </row>
    <row r="278" spans="1:4" x14ac:dyDescent="0.25">
      <c r="B278" s="32" t="s">
        <v>1401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1403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1404</v>
      </c>
      <c r="B281" s="14" t="s">
        <v>1405</v>
      </c>
      <c r="C281" s="171">
        <f>ROUND(C245+C248+C251+C254+C257+C260+C261,0)</f>
        <v>1627</v>
      </c>
      <c r="D281" s="262">
        <f>ROUND(D245+D248+D251+D254+D257+D260+D261,0)</f>
        <v>0</v>
      </c>
    </row>
    <row r="282" spans="1:4" x14ac:dyDescent="0.25">
      <c r="B282" s="14" t="s">
        <v>1406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1407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1408</v>
      </c>
      <c r="C284" s="171">
        <f>ROUND(C281/Troupeau!$B$17,2)</f>
        <v>31.29</v>
      </c>
      <c r="D284" s="171" t="e">
        <f>ROUND(D281/(Troupeau!$B$17*G63),2)</f>
        <v>#DIV/0!</v>
      </c>
    </row>
    <row r="285" spans="1:4" x14ac:dyDescent="0.25">
      <c r="B285" s="14" t="s">
        <v>1409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1410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1411</v>
      </c>
      <c r="C287" s="171">
        <f>SUM(C281:C283)</f>
        <v>1627</v>
      </c>
      <c r="D287" s="262">
        <f>SUM(D281:D283)</f>
        <v>0</v>
      </c>
    </row>
    <row r="288" spans="1:4" x14ac:dyDescent="0.25">
      <c r="B288" s="14" t="s">
        <v>1412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1413</v>
      </c>
      <c r="C289" s="171">
        <f>SUM(C262:C271)</f>
        <v>393</v>
      </c>
      <c r="D289" s="262">
        <f>SUM(D262:D271)</f>
        <v>0</v>
      </c>
    </row>
    <row r="290" spans="2:4" x14ac:dyDescent="0.25">
      <c r="B290" s="14" t="s">
        <v>1414</v>
      </c>
      <c r="C290" s="268">
        <f>C275+C276+C277</f>
        <v>9</v>
      </c>
      <c r="D290" s="269">
        <f>D275+D276+D277</f>
        <v>9</v>
      </c>
    </row>
    <row r="291" spans="2:4" x14ac:dyDescent="0.25">
      <c r="B291" s="14" t="s">
        <v>1415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893</v>
      </c>
      <c r="C292" s="171">
        <f>ROUND(SUM(C287:C291),0)</f>
        <v>2429</v>
      </c>
      <c r="D292" s="262">
        <f>ROUND(SUM(D287:D291),0)</f>
        <v>409</v>
      </c>
    </row>
    <row r="293" spans="2:4" x14ac:dyDescent="0.25">
      <c r="B293" s="14" t="s">
        <v>894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895</v>
      </c>
      <c r="C294" s="171">
        <f>ROUND((C292-C293)/C83,0)</f>
        <v>2429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4.5999999999999996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0</v>
      </c>
    </row>
    <row r="301" spans="2:4" x14ac:dyDescent="0.25">
      <c r="B301" s="14" t="s">
        <v>1438</v>
      </c>
      <c r="C301" s="171">
        <f>IF(Troupeau!$B$3="BV",CdTrp1!AA221,0)+IF(Troupeau!$C$3="BV",CdTrp2!AA221,0)</f>
        <v>0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35</v>
      </c>
    </row>
    <row r="304" spans="2:4" x14ac:dyDescent="0.25">
      <c r="B304" s="14" t="s">
        <v>1441</v>
      </c>
      <c r="C304" s="171">
        <f>Protection!BL31+Protection!BK31</f>
        <v>23.9</v>
      </c>
    </row>
    <row r="305" spans="2:3" x14ac:dyDescent="0.25">
      <c r="B305" s="14" t="s">
        <v>1442</v>
      </c>
      <c r="C305" s="171">
        <f>Protection!BJ31</f>
        <v>1.6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447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448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52</v>
      </c>
      <c r="C17" s="60"/>
      <c r="D17" s="60"/>
      <c r="E17" s="60"/>
      <c r="H17" s="2" t="s">
        <v>151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12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11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65.199999999999989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9.6000000000000014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33.106666666666662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34.761999999999993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10608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3536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5040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1008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1" activePane="bottomLeft" state="frozen"/>
      <selection pane="bottomLeft" activeCell="B123" sqref="B123:Y12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21"/>
      <c r="AA1" t="s">
        <v>175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50</v>
      </c>
      <c r="AK2" s="50" t="s">
        <v>449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454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6">
        <f>+Troupeau!J17</f>
        <v>10</v>
      </c>
      <c r="AK4" s="50" t="s">
        <v>455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1421</v>
      </c>
    </row>
    <row r="14" spans="1:61" x14ac:dyDescent="0.25">
      <c r="A14" s="44" t="s">
        <v>171</v>
      </c>
      <c r="AK14" s="52" t="s">
        <v>1422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449</v>
      </c>
      <c r="B15" s="60">
        <f>CdTrp1!AL2*Troupeau!$B$17/CdTrp1!$AI$2</f>
        <v>39.520000000000003</v>
      </c>
      <c r="C15" s="60">
        <f>CdTrp1!AM2*Troupeau!$B$17/CdTrp1!$AI$2</f>
        <v>39.520000000000003</v>
      </c>
      <c r="D15" s="60">
        <f>CdTrp1!AN2*Troupeau!$B$17/CdTrp1!$AI$2</f>
        <v>39.520000000000003</v>
      </c>
      <c r="E15" s="60">
        <f>CdTrp1!AO2*Troupeau!$B$17/CdTrp1!$AI$2</f>
        <v>39.520000000000003</v>
      </c>
      <c r="F15" s="60">
        <f>CdTrp1!AP2*Troupeau!$B$17/CdTrp1!$AI$2</f>
        <v>37.44</v>
      </c>
      <c r="G15" s="60">
        <f>CdTrp1!AQ2*Troupeau!$B$17/CdTrp1!$AI$2</f>
        <v>35.36</v>
      </c>
      <c r="H15" s="60">
        <f>CdTrp1!AR2*Troupeau!$B$17/CdTrp1!$AI$2</f>
        <v>33.28</v>
      </c>
      <c r="I15" s="60">
        <f>CdTrp1!AS2*Troupeau!$B$17/CdTrp1!$AI$2</f>
        <v>31.2</v>
      </c>
      <c r="J15" s="60">
        <f>CdTrp1!AT2*Troupeau!$B$17/CdTrp1!$AI$2</f>
        <v>30.16</v>
      </c>
      <c r="K15" s="60">
        <f>CdTrp1!AU2*Troupeau!$B$17/CdTrp1!$AI$2</f>
        <v>29.12</v>
      </c>
      <c r="L15" s="60">
        <f>CdTrp1!AV2*Troupeau!$B$17/CdTrp1!$AI$2</f>
        <v>28.08</v>
      </c>
      <c r="M15" s="60">
        <f>CdTrp1!AW2*Troupeau!$B$17/CdTrp1!$AI$2</f>
        <v>28.08</v>
      </c>
      <c r="N15" s="60">
        <f>CdTrp1!AX2*Troupeau!$B$17/CdTrp1!$AI$2</f>
        <v>28.08</v>
      </c>
      <c r="O15" s="60">
        <f>CdTrp1!AY2*Troupeau!$B$17/CdTrp1!$AI$2</f>
        <v>28.08</v>
      </c>
      <c r="P15" s="60">
        <f>CdTrp1!AZ2*Troupeau!$B$17/CdTrp1!$AI$2</f>
        <v>27.04</v>
      </c>
      <c r="Q15" s="60">
        <f>CdTrp1!BA2*Troupeau!$B$17/CdTrp1!$AI$2</f>
        <v>27.04</v>
      </c>
      <c r="R15" s="60">
        <f>CdTrp1!BB2*Troupeau!$B$17/CdTrp1!$AI$2</f>
        <v>28.08</v>
      </c>
      <c r="S15" s="60">
        <f>CdTrp1!BC2*Troupeau!$B$17/CdTrp1!$AI$2</f>
        <v>29.12</v>
      </c>
      <c r="T15" s="60">
        <f>CdTrp1!BD2*Troupeau!$B$17/CdTrp1!$AI$2</f>
        <v>31.2</v>
      </c>
      <c r="U15" s="60">
        <f>CdTrp1!BE2*Troupeau!$B$17/CdTrp1!$AI$2</f>
        <v>33.28</v>
      </c>
      <c r="V15" s="60">
        <f>CdTrp1!BF2*Troupeau!$B$17/CdTrp1!$AI$2</f>
        <v>36.4</v>
      </c>
      <c r="W15" s="60">
        <f>CdTrp1!BG2*Troupeau!$B$17/CdTrp1!$AI$2</f>
        <v>38.479999999999997</v>
      </c>
      <c r="X15" s="60">
        <f>CdTrp1!BH2*Troupeau!$B$17/CdTrp1!$AI$2</f>
        <v>39.520000000000003</v>
      </c>
      <c r="Y15" s="60">
        <f>CdTrp1!BI2*Troupeau!$B$17/CdTrp1!$AI$2</f>
        <v>39.520000000000003</v>
      </c>
      <c r="Z15" s="52"/>
    </row>
    <row r="16" spans="1:61" x14ac:dyDescent="0.25">
      <c r="A16" s="50" t="s">
        <v>454</v>
      </c>
      <c r="B16" s="60">
        <f>CdTrp1!AL3*Troupeau!$B$17/CdTrp1!$AI$2</f>
        <v>24.96</v>
      </c>
      <c r="C16" s="60">
        <f>CdTrp1!AM3*Troupeau!$B$17/CdTrp1!$AI$2</f>
        <v>24.96</v>
      </c>
      <c r="D16" s="60">
        <f>CdTrp1!AN3*Troupeau!$B$17/CdTrp1!$AI$2</f>
        <v>24.96</v>
      </c>
      <c r="E16" s="60">
        <f>CdTrp1!AO3*Troupeau!$B$17/CdTrp1!$AI$2</f>
        <v>24.96</v>
      </c>
      <c r="F16" s="60">
        <f>CdTrp1!AP3*Troupeau!$B$17/CdTrp1!$AI$2</f>
        <v>24.96</v>
      </c>
      <c r="G16" s="60">
        <f>CdTrp1!AQ3*Troupeau!$B$17/CdTrp1!$AI$2</f>
        <v>24.96</v>
      </c>
      <c r="H16" s="60">
        <f>CdTrp1!AR3*Troupeau!$B$17/CdTrp1!$AI$2</f>
        <v>24.96</v>
      </c>
      <c r="I16" s="60">
        <f>CdTrp1!AS3*Troupeau!$B$17/CdTrp1!$AI$2</f>
        <v>24.96</v>
      </c>
      <c r="J16" s="60">
        <f>CdTrp1!AT3*Troupeau!$B$17/CdTrp1!$AI$2</f>
        <v>24.96</v>
      </c>
      <c r="K16" s="60">
        <f>CdTrp1!AU3*Troupeau!$B$17/CdTrp1!$AI$2</f>
        <v>24.96</v>
      </c>
      <c r="L16" s="60">
        <f>CdTrp1!AV3*Troupeau!$B$17/CdTrp1!$AI$2</f>
        <v>24.96</v>
      </c>
      <c r="M16" s="60">
        <f>CdTrp1!AW3*Troupeau!$B$17/CdTrp1!$AI$2</f>
        <v>24.96</v>
      </c>
      <c r="N16" s="60">
        <f>CdTrp1!AX3*Troupeau!$B$17/CdTrp1!$AI$2</f>
        <v>24.96</v>
      </c>
      <c r="O16" s="60">
        <f>CdTrp1!AY3*Troupeau!$B$17/CdTrp1!$AI$2</f>
        <v>24.96</v>
      </c>
      <c r="P16" s="60">
        <f>CdTrp1!AZ3*Troupeau!$B$17/CdTrp1!$AI$2</f>
        <v>24.96</v>
      </c>
      <c r="Q16" s="60">
        <f>CdTrp1!BA3*Troupeau!$B$17/CdTrp1!$AI$2</f>
        <v>24.96</v>
      </c>
      <c r="R16" s="60">
        <f>CdTrp1!BB3*Troupeau!$B$17/CdTrp1!$AI$2</f>
        <v>24.96</v>
      </c>
      <c r="S16" s="60">
        <f>CdTrp1!BC3*Troupeau!$B$17/CdTrp1!$AI$2</f>
        <v>24.96</v>
      </c>
      <c r="T16" s="60">
        <f>CdTrp1!BD3*Troupeau!$B$17/CdTrp1!$AI$2</f>
        <v>24.96</v>
      </c>
      <c r="U16" s="60">
        <f>CdTrp1!BE3*Troupeau!$B$17/CdTrp1!$AI$2</f>
        <v>24.96</v>
      </c>
      <c r="V16" s="60">
        <f>CdTrp1!BF3*Troupeau!$B$17/CdTrp1!$AI$2</f>
        <v>24.96</v>
      </c>
      <c r="W16" s="60">
        <f>CdTrp1!BG3*Troupeau!$B$17/CdTrp1!$AI$2</f>
        <v>24.96</v>
      </c>
      <c r="X16" s="60">
        <f>CdTrp1!BH3*Troupeau!$B$17/CdTrp1!$AI$2</f>
        <v>24.96</v>
      </c>
      <c r="Y16" s="60">
        <f>CdTrp1!BI3*Troupeau!$B$17/CdTrp1!$AI$2</f>
        <v>24.96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455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1.04</v>
      </c>
      <c r="F17" s="60">
        <f>CdTrp1!AP4*Troupeau!$B$17/CdTrp1!$AI$2</f>
        <v>2.08</v>
      </c>
      <c r="G17" s="60">
        <f>CdTrp1!AQ4*Troupeau!$B$17/CdTrp1!$AI$2</f>
        <v>5.2</v>
      </c>
      <c r="H17" s="60">
        <f>CdTrp1!AR4*Troupeau!$B$17/CdTrp1!$AI$2</f>
        <v>8.32</v>
      </c>
      <c r="I17" s="60">
        <f>CdTrp1!AS4*Troupeau!$B$17/CdTrp1!$AI$2</f>
        <v>11.44</v>
      </c>
      <c r="J17" s="60">
        <f>CdTrp1!AT4*Troupeau!$B$17/CdTrp1!$AI$2</f>
        <v>11.44</v>
      </c>
      <c r="K17" s="60">
        <f>CdTrp1!AU4*Troupeau!$B$17/CdTrp1!$AI$2</f>
        <v>11.44</v>
      </c>
      <c r="L17" s="60">
        <f>CdTrp1!AV4*Troupeau!$B$17/CdTrp1!$AI$2</f>
        <v>12.48</v>
      </c>
      <c r="M17" s="60">
        <f>CdTrp1!AW4*Troupeau!$B$17/CdTrp1!$AI$2</f>
        <v>12.48</v>
      </c>
      <c r="N17" s="60">
        <f>CdTrp1!AX4*Troupeau!$B$17/CdTrp1!$AI$2</f>
        <v>12.48</v>
      </c>
      <c r="O17" s="60">
        <f>CdTrp1!AY4*Troupeau!$B$17/CdTrp1!$AI$2</f>
        <v>12.48</v>
      </c>
      <c r="P17" s="60">
        <f>CdTrp1!AZ4*Troupeau!$B$17/CdTrp1!$AI$2</f>
        <v>12.48</v>
      </c>
      <c r="Q17" s="60">
        <f>CdTrp1!BA4*Troupeau!$B$17/CdTrp1!$AI$2</f>
        <v>12.48</v>
      </c>
      <c r="R17" s="60">
        <f>CdTrp1!BB4*Troupeau!$B$17/CdTrp1!$AI$2</f>
        <v>11.44</v>
      </c>
      <c r="S17" s="60">
        <f>CdTrp1!BC4*Troupeau!$B$17/CdTrp1!$AI$2</f>
        <v>10.4</v>
      </c>
      <c r="T17" s="60">
        <f>CdTrp1!BD4*Troupeau!$B$17/CdTrp1!$AI$2</f>
        <v>8.32</v>
      </c>
      <c r="U17" s="60">
        <f>CdTrp1!BE4*Troupeau!$B$17/CdTrp1!$AI$2</f>
        <v>6.24</v>
      </c>
      <c r="V17" s="60">
        <f>CdTrp1!BF4*Troupeau!$B$17/CdTrp1!$AI$2</f>
        <v>3.12</v>
      </c>
      <c r="W17" s="60">
        <f>CdTrp1!BG4*Troupeau!$B$17/CdTrp1!$AI$2</f>
        <v>1.04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2.08</v>
      </c>
      <c r="G18" s="60">
        <f>CdTrp1!AQ5*Troupeau!$B$17/CdTrp1!$AI$2</f>
        <v>4.16</v>
      </c>
      <c r="H18" s="60">
        <f>CdTrp1!AR5*Troupeau!$B$17/CdTrp1!$AI$2</f>
        <v>6.24</v>
      </c>
      <c r="I18" s="60">
        <f>CdTrp1!AS5*Troupeau!$B$17/CdTrp1!$AI$2</f>
        <v>8.32</v>
      </c>
      <c r="J18" s="60">
        <f>CdTrp1!AT5*Troupeau!$B$17/CdTrp1!$AI$2</f>
        <v>9.36</v>
      </c>
      <c r="K18" s="60">
        <f>CdTrp1!AU5*Troupeau!$B$17/CdTrp1!$AI$2</f>
        <v>10.4</v>
      </c>
      <c r="L18" s="60">
        <f>CdTrp1!AV5*Troupeau!$B$17/CdTrp1!$AI$2</f>
        <v>11.44</v>
      </c>
      <c r="M18" s="60">
        <f>CdTrp1!AW5*Troupeau!$B$17/CdTrp1!$AI$2</f>
        <v>11.44</v>
      </c>
      <c r="N18" s="60">
        <f>CdTrp1!AX5*Troupeau!$B$17/CdTrp1!$AI$2</f>
        <v>11.44</v>
      </c>
      <c r="O18" s="60">
        <f>CdTrp1!AY5*Troupeau!$B$17/CdTrp1!$AI$2</f>
        <v>11.44</v>
      </c>
      <c r="P18" s="60">
        <f>CdTrp1!AZ5*Troupeau!$B$17/CdTrp1!$AI$2</f>
        <v>11.44</v>
      </c>
      <c r="Q18" s="60">
        <f>CdTrp1!BA5*Troupeau!$B$17/CdTrp1!$AI$2</f>
        <v>10.4</v>
      </c>
      <c r="R18" s="60">
        <f>CdTrp1!BB5*Troupeau!$B$17/CdTrp1!$AI$2</f>
        <v>9.36</v>
      </c>
      <c r="S18" s="60">
        <f>CdTrp1!BC5*Troupeau!$B$17/CdTrp1!$AI$2</f>
        <v>9.36</v>
      </c>
      <c r="T18" s="60">
        <f>CdTrp1!BD5*Troupeau!$B$17/CdTrp1!$AI$2</f>
        <v>6.24</v>
      </c>
      <c r="U18" s="60">
        <f>CdTrp1!BE5*Troupeau!$B$17/CdTrp1!$AI$2</f>
        <v>5.2</v>
      </c>
      <c r="V18" s="60">
        <f>CdTrp1!BF5*Troupeau!$B$17/CdTrp1!$AI$2</f>
        <v>3.12</v>
      </c>
      <c r="W18" s="60">
        <f>CdTrp1!BG5*Troupeau!$B$17/CdTrp1!$AI$2</f>
        <v>2.08</v>
      </c>
      <c r="X18" s="60">
        <f>CdTrp1!BH5*Troupeau!$B$17/CdTrp1!$AI$2</f>
        <v>1.04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10608</v>
      </c>
      <c r="AK18" s="54">
        <f>IF($AH18=AK$17,ROUND($AI18/1000,1),0)</f>
        <v>10.6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3536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5040</v>
      </c>
      <c r="AK23" s="54">
        <f t="shared" si="3"/>
        <v>0</v>
      </c>
      <c r="AL23" s="54">
        <f t="shared" si="4"/>
        <v>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1008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39.520000000000003</v>
      </c>
      <c r="C39" s="61">
        <f t="shared" ref="C39:Y48" si="11">C15*C27</f>
        <v>39.520000000000003</v>
      </c>
      <c r="D39" s="61">
        <f t="shared" si="11"/>
        <v>39.520000000000003</v>
      </c>
      <c r="E39" s="61">
        <f t="shared" si="11"/>
        <v>39.520000000000003</v>
      </c>
      <c r="F39" s="61">
        <f t="shared" si="11"/>
        <v>37.44</v>
      </c>
      <c r="G39" s="61">
        <f t="shared" si="11"/>
        <v>35.36</v>
      </c>
      <c r="H39" s="61">
        <f t="shared" si="11"/>
        <v>33.28</v>
      </c>
      <c r="I39" s="61">
        <f t="shared" si="11"/>
        <v>31.2</v>
      </c>
      <c r="J39" s="61">
        <f t="shared" si="11"/>
        <v>25.635999999999999</v>
      </c>
      <c r="K39" s="61">
        <f t="shared" si="11"/>
        <v>24.751999999999999</v>
      </c>
      <c r="L39" s="61">
        <f t="shared" si="11"/>
        <v>23.867999999999999</v>
      </c>
      <c r="M39" s="61">
        <f t="shared" si="11"/>
        <v>23.867999999999999</v>
      </c>
      <c r="N39" s="61">
        <f t="shared" si="11"/>
        <v>23.867999999999999</v>
      </c>
      <c r="O39" s="61">
        <f t="shared" si="11"/>
        <v>23.867999999999999</v>
      </c>
      <c r="P39" s="61">
        <f t="shared" si="11"/>
        <v>22.983999999999998</v>
      </c>
      <c r="Q39" s="61">
        <f t="shared" si="11"/>
        <v>22.983999999999998</v>
      </c>
      <c r="R39" s="61">
        <f t="shared" si="11"/>
        <v>23.867999999999999</v>
      </c>
      <c r="S39" s="61">
        <f t="shared" si="11"/>
        <v>24.751999999999999</v>
      </c>
      <c r="T39" s="61">
        <f t="shared" si="11"/>
        <v>31.2</v>
      </c>
      <c r="U39" s="61">
        <f t="shared" si="11"/>
        <v>33.28</v>
      </c>
      <c r="V39" s="61">
        <f t="shared" si="11"/>
        <v>36.4</v>
      </c>
      <c r="W39" s="61">
        <f t="shared" si="11"/>
        <v>38.479999999999997</v>
      </c>
      <c r="X39" s="61">
        <f t="shared" si="11"/>
        <v>39.520000000000003</v>
      </c>
      <c r="Y39" s="61">
        <f t="shared" si="11"/>
        <v>39.520000000000003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17.471999999999998</v>
      </c>
      <c r="C40" s="61">
        <f t="shared" si="12"/>
        <v>17.471999999999998</v>
      </c>
      <c r="D40" s="61">
        <f t="shared" si="12"/>
        <v>17.471999999999998</v>
      </c>
      <c r="E40" s="61">
        <f t="shared" si="12"/>
        <v>17.471999999999998</v>
      </c>
      <c r="F40" s="61">
        <f t="shared" si="12"/>
        <v>17.471999999999998</v>
      </c>
      <c r="G40" s="61">
        <f t="shared" si="12"/>
        <v>17.471999999999998</v>
      </c>
      <c r="H40" s="61">
        <f t="shared" si="12"/>
        <v>17.471999999999998</v>
      </c>
      <c r="I40" s="61">
        <f t="shared" si="12"/>
        <v>17.471999999999998</v>
      </c>
      <c r="J40" s="61">
        <f t="shared" si="12"/>
        <v>17.471999999999998</v>
      </c>
      <c r="K40" s="61">
        <f t="shared" si="12"/>
        <v>17.471999999999998</v>
      </c>
      <c r="L40" s="61">
        <f t="shared" si="12"/>
        <v>17.471999999999998</v>
      </c>
      <c r="M40" s="61">
        <f t="shared" si="12"/>
        <v>17.471999999999998</v>
      </c>
      <c r="N40" s="61">
        <f t="shared" si="12"/>
        <v>17.471999999999998</v>
      </c>
      <c r="O40" s="61">
        <f t="shared" si="12"/>
        <v>17.471999999999998</v>
      </c>
      <c r="P40" s="61">
        <f t="shared" si="12"/>
        <v>17.471999999999998</v>
      </c>
      <c r="Q40" s="61">
        <f t="shared" si="12"/>
        <v>17.471999999999998</v>
      </c>
      <c r="R40" s="61">
        <f t="shared" si="11"/>
        <v>17.471999999999998</v>
      </c>
      <c r="S40" s="61">
        <f t="shared" si="11"/>
        <v>17.471999999999998</v>
      </c>
      <c r="T40" s="61">
        <f t="shared" si="11"/>
        <v>17.471999999999998</v>
      </c>
      <c r="U40" s="61">
        <f t="shared" si="11"/>
        <v>17.471999999999998</v>
      </c>
      <c r="V40" s="61">
        <f t="shared" si="11"/>
        <v>17.471999999999998</v>
      </c>
      <c r="W40" s="61">
        <f t="shared" si="11"/>
        <v>17.471999999999998</v>
      </c>
      <c r="X40" s="61">
        <f t="shared" si="11"/>
        <v>17.471999999999998</v>
      </c>
      <c r="Y40" s="61">
        <f t="shared" si="11"/>
        <v>17.471999999999998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0.36399999999999999</v>
      </c>
      <c r="F41" s="61">
        <f t="shared" si="11"/>
        <v>0.72799999999999998</v>
      </c>
      <c r="G41" s="61">
        <f t="shared" si="11"/>
        <v>1.8199999999999998</v>
      </c>
      <c r="H41" s="61">
        <f t="shared" si="11"/>
        <v>2.9119999999999999</v>
      </c>
      <c r="I41" s="61">
        <f t="shared" si="11"/>
        <v>4.0039999999999996</v>
      </c>
      <c r="J41" s="61">
        <f t="shared" si="11"/>
        <v>4.0039999999999996</v>
      </c>
      <c r="K41" s="61">
        <f t="shared" si="11"/>
        <v>4.0039999999999996</v>
      </c>
      <c r="L41" s="61">
        <f t="shared" si="11"/>
        <v>4.3679999999999994</v>
      </c>
      <c r="M41" s="61">
        <f t="shared" si="11"/>
        <v>4.3679999999999994</v>
      </c>
      <c r="N41" s="61">
        <f t="shared" si="11"/>
        <v>4.3679999999999994</v>
      </c>
      <c r="O41" s="61">
        <f t="shared" si="11"/>
        <v>4.3679999999999994</v>
      </c>
      <c r="P41" s="61">
        <f t="shared" si="11"/>
        <v>4.3679999999999994</v>
      </c>
      <c r="Q41" s="61">
        <f t="shared" si="11"/>
        <v>4.3679999999999994</v>
      </c>
      <c r="R41" s="61">
        <f t="shared" si="11"/>
        <v>4.0039999999999996</v>
      </c>
      <c r="S41" s="61">
        <f t="shared" si="11"/>
        <v>3.6399999999999997</v>
      </c>
      <c r="T41" s="61">
        <f t="shared" si="11"/>
        <v>2.9119999999999999</v>
      </c>
      <c r="U41" s="61">
        <f t="shared" si="11"/>
        <v>2.1839999999999997</v>
      </c>
      <c r="V41" s="61">
        <f t="shared" si="11"/>
        <v>1.0919999999999999</v>
      </c>
      <c r="W41" s="61">
        <f t="shared" si="11"/>
        <v>0.36399999999999999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1.768</v>
      </c>
      <c r="G42" s="61">
        <f t="shared" si="11"/>
        <v>3.536</v>
      </c>
      <c r="H42" s="61">
        <f t="shared" si="11"/>
        <v>5.3040000000000003</v>
      </c>
      <c r="I42" s="61">
        <f t="shared" si="11"/>
        <v>7.0720000000000001</v>
      </c>
      <c r="J42" s="61">
        <f t="shared" si="11"/>
        <v>7.9559999999999995</v>
      </c>
      <c r="K42" s="61">
        <f t="shared" si="11"/>
        <v>8.84</v>
      </c>
      <c r="L42" s="61">
        <f t="shared" si="11"/>
        <v>9.7240000000000002</v>
      </c>
      <c r="M42" s="61">
        <f t="shared" si="11"/>
        <v>9.7240000000000002</v>
      </c>
      <c r="N42" s="61">
        <f t="shared" si="11"/>
        <v>9.7240000000000002</v>
      </c>
      <c r="O42" s="61">
        <f t="shared" si="11"/>
        <v>9.7240000000000002</v>
      </c>
      <c r="P42" s="61">
        <f t="shared" si="11"/>
        <v>9.7240000000000002</v>
      </c>
      <c r="Q42" s="61">
        <f t="shared" si="11"/>
        <v>8.84</v>
      </c>
      <c r="R42" s="61">
        <f t="shared" si="11"/>
        <v>7.9559999999999995</v>
      </c>
      <c r="S42" s="61">
        <f t="shared" si="11"/>
        <v>7.9559999999999995</v>
      </c>
      <c r="T42" s="61">
        <f t="shared" si="11"/>
        <v>5.3040000000000003</v>
      </c>
      <c r="U42" s="61">
        <f t="shared" si="11"/>
        <v>4.42</v>
      </c>
      <c r="V42" s="61">
        <f t="shared" si="11"/>
        <v>2.6520000000000001</v>
      </c>
      <c r="W42" s="61">
        <f t="shared" si="11"/>
        <v>1.768</v>
      </c>
      <c r="X42" s="61">
        <f t="shared" si="11"/>
        <v>0.88400000000000001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56.992000000000004</v>
      </c>
      <c r="C49" s="62">
        <f t="shared" ref="C49:Y49" si="13">SUM(C39:C48)</f>
        <v>56.992000000000004</v>
      </c>
      <c r="D49" s="62">
        <f t="shared" si="13"/>
        <v>56.992000000000004</v>
      </c>
      <c r="E49" s="62">
        <f t="shared" si="13"/>
        <v>57.356000000000002</v>
      </c>
      <c r="F49" s="62">
        <f t="shared" si="13"/>
        <v>57.407999999999994</v>
      </c>
      <c r="G49" s="62">
        <f t="shared" si="13"/>
        <v>58.187999999999995</v>
      </c>
      <c r="H49" s="62">
        <f t="shared" si="13"/>
        <v>58.967999999999996</v>
      </c>
      <c r="I49" s="62">
        <f t="shared" si="13"/>
        <v>59.747999999999998</v>
      </c>
      <c r="J49" s="62">
        <f t="shared" si="13"/>
        <v>55.067999999999998</v>
      </c>
      <c r="K49" s="62">
        <f t="shared" si="13"/>
        <v>55.067999999999998</v>
      </c>
      <c r="L49" s="62">
        <f t="shared" si="13"/>
        <v>55.432000000000002</v>
      </c>
      <c r="M49" s="62">
        <f t="shared" si="13"/>
        <v>55.432000000000002</v>
      </c>
      <c r="N49" s="62">
        <f t="shared" si="13"/>
        <v>55.432000000000002</v>
      </c>
      <c r="O49" s="62">
        <f t="shared" si="13"/>
        <v>55.432000000000002</v>
      </c>
      <c r="P49" s="62">
        <f t="shared" si="13"/>
        <v>54.548000000000002</v>
      </c>
      <c r="Q49" s="62">
        <f t="shared" si="13"/>
        <v>53.664000000000001</v>
      </c>
      <c r="R49" s="62">
        <f t="shared" si="13"/>
        <v>53.3</v>
      </c>
      <c r="S49" s="62">
        <f t="shared" si="13"/>
        <v>53.819999999999993</v>
      </c>
      <c r="T49" s="62">
        <f t="shared" si="13"/>
        <v>56.887999999999998</v>
      </c>
      <c r="U49" s="62">
        <f t="shared" si="13"/>
        <v>57.355999999999995</v>
      </c>
      <c r="V49" s="62">
        <f t="shared" si="13"/>
        <v>57.616</v>
      </c>
      <c r="W49" s="62">
        <f t="shared" si="13"/>
        <v>58.083999999999996</v>
      </c>
      <c r="X49" s="62">
        <f t="shared" si="13"/>
        <v>57.876000000000005</v>
      </c>
      <c r="Y49" s="62">
        <f t="shared" si="13"/>
        <v>56.992000000000004</v>
      </c>
      <c r="Z49" s="23"/>
      <c r="AA49" s="46">
        <f>AVERAGE(B49:Y49)</f>
        <v>56.443833333333323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10.6</v>
      </c>
      <c r="AL54" s="84">
        <f t="shared" si="16"/>
        <v>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4.5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102.99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612.56000000000006</v>
      </c>
      <c r="C63" s="61">
        <f t="shared" si="17"/>
        <v>612.56000000000006</v>
      </c>
      <c r="D63" s="61">
        <f t="shared" si="17"/>
        <v>553.28000000000009</v>
      </c>
      <c r="E63" s="61">
        <f t="shared" si="17"/>
        <v>553.28000000000009</v>
      </c>
      <c r="F63" s="61">
        <f t="shared" si="17"/>
        <v>580.31999999999994</v>
      </c>
      <c r="G63" s="61">
        <f t="shared" si="17"/>
        <v>548.08000000000004</v>
      </c>
      <c r="H63" s="61">
        <f t="shared" si="17"/>
        <v>499.20000000000005</v>
      </c>
      <c r="I63" s="61">
        <f t="shared" si="17"/>
        <v>468</v>
      </c>
      <c r="J63" s="61">
        <f t="shared" si="17"/>
        <v>397.358</v>
      </c>
      <c r="K63" s="61">
        <f t="shared" si="17"/>
        <v>383.65600000000001</v>
      </c>
      <c r="L63" s="61">
        <f t="shared" si="17"/>
        <v>358.02</v>
      </c>
      <c r="M63" s="61">
        <f t="shared" si="17"/>
        <v>358.02</v>
      </c>
      <c r="N63" s="61">
        <f t="shared" si="17"/>
        <v>369.95399999999995</v>
      </c>
      <c r="O63" s="61">
        <f t="shared" si="17"/>
        <v>369.95399999999995</v>
      </c>
      <c r="P63" s="61">
        <f t="shared" si="17"/>
        <v>356.25199999999995</v>
      </c>
      <c r="Q63" s="61">
        <f t="shared" si="17"/>
        <v>356.25199999999995</v>
      </c>
      <c r="R63" s="61">
        <f t="shared" si="17"/>
        <v>358.02</v>
      </c>
      <c r="S63" s="61">
        <f t="shared" si="17"/>
        <v>371.28</v>
      </c>
      <c r="T63" s="61">
        <f t="shared" si="17"/>
        <v>483.59999999999997</v>
      </c>
      <c r="U63" s="61">
        <f t="shared" si="17"/>
        <v>515.84</v>
      </c>
      <c r="V63" s="61">
        <f t="shared" si="17"/>
        <v>546</v>
      </c>
      <c r="W63" s="61">
        <f t="shared" si="17"/>
        <v>577.19999999999993</v>
      </c>
      <c r="X63" s="61">
        <f t="shared" si="17"/>
        <v>612.56000000000006</v>
      </c>
      <c r="Y63" s="61">
        <f t="shared" si="17"/>
        <v>612.56000000000006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270.81599999999997</v>
      </c>
      <c r="C64" s="61">
        <f t="shared" si="18"/>
        <v>270.81599999999997</v>
      </c>
      <c r="D64" s="61">
        <f t="shared" si="18"/>
        <v>244.60799999999998</v>
      </c>
      <c r="E64" s="61">
        <f t="shared" si="18"/>
        <v>244.60799999999998</v>
      </c>
      <c r="F64" s="61">
        <f t="shared" si="18"/>
        <v>270.81599999999997</v>
      </c>
      <c r="G64" s="61">
        <f t="shared" si="18"/>
        <v>270.81599999999997</v>
      </c>
      <c r="H64" s="61">
        <f t="shared" si="18"/>
        <v>262.08</v>
      </c>
      <c r="I64" s="61">
        <f t="shared" si="18"/>
        <v>262.08</v>
      </c>
      <c r="J64" s="61">
        <f t="shared" si="18"/>
        <v>270.81599999999997</v>
      </c>
      <c r="K64" s="61">
        <f t="shared" si="18"/>
        <v>270.81599999999997</v>
      </c>
      <c r="L64" s="61">
        <f t="shared" si="18"/>
        <v>262.08</v>
      </c>
      <c r="M64" s="61">
        <f t="shared" si="18"/>
        <v>262.08</v>
      </c>
      <c r="N64" s="61">
        <f t="shared" si="18"/>
        <v>270.81599999999997</v>
      </c>
      <c r="O64" s="61">
        <f t="shared" si="18"/>
        <v>270.81599999999997</v>
      </c>
      <c r="P64" s="61">
        <f t="shared" si="18"/>
        <v>270.81599999999997</v>
      </c>
      <c r="Q64" s="61">
        <f t="shared" si="18"/>
        <v>270.81599999999997</v>
      </c>
      <c r="R64" s="61">
        <f t="shared" si="18"/>
        <v>262.08</v>
      </c>
      <c r="S64" s="61">
        <f t="shared" si="18"/>
        <v>262.08</v>
      </c>
      <c r="T64" s="61">
        <f t="shared" si="18"/>
        <v>270.81599999999997</v>
      </c>
      <c r="U64" s="61">
        <f t="shared" si="18"/>
        <v>270.81599999999997</v>
      </c>
      <c r="V64" s="61">
        <f t="shared" si="18"/>
        <v>262.08</v>
      </c>
      <c r="W64" s="61">
        <f t="shared" si="18"/>
        <v>262.08</v>
      </c>
      <c r="X64" s="61">
        <f t="shared" si="18"/>
        <v>270.81599999999997</v>
      </c>
      <c r="Y64" s="61">
        <f t="shared" si="18"/>
        <v>270.81599999999997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5.0960000000000001</v>
      </c>
      <c r="F65" s="61">
        <f t="shared" si="19"/>
        <v>11.283999999999999</v>
      </c>
      <c r="G65" s="61">
        <f t="shared" si="19"/>
        <v>28.209999999999997</v>
      </c>
      <c r="H65" s="61">
        <f t="shared" si="19"/>
        <v>43.68</v>
      </c>
      <c r="I65" s="61">
        <f t="shared" si="19"/>
        <v>60.059999999999995</v>
      </c>
      <c r="J65" s="61">
        <f t="shared" si="19"/>
        <v>62.061999999999991</v>
      </c>
      <c r="K65" s="61">
        <f t="shared" si="19"/>
        <v>62.061999999999991</v>
      </c>
      <c r="L65" s="61">
        <f t="shared" si="19"/>
        <v>65.52</v>
      </c>
      <c r="M65" s="61">
        <f t="shared" si="19"/>
        <v>65.52</v>
      </c>
      <c r="N65" s="61">
        <f t="shared" si="19"/>
        <v>67.703999999999994</v>
      </c>
      <c r="O65" s="61">
        <f t="shared" si="19"/>
        <v>67.703999999999994</v>
      </c>
      <c r="P65" s="61">
        <f t="shared" si="19"/>
        <v>67.703999999999994</v>
      </c>
      <c r="Q65" s="61">
        <f t="shared" si="19"/>
        <v>67.703999999999994</v>
      </c>
      <c r="R65" s="61">
        <f t="shared" si="19"/>
        <v>60.059999999999995</v>
      </c>
      <c r="S65" s="61">
        <f t="shared" si="19"/>
        <v>54.599999999999994</v>
      </c>
      <c r="T65" s="61">
        <f t="shared" si="19"/>
        <v>45.135999999999996</v>
      </c>
      <c r="U65" s="61">
        <f t="shared" si="19"/>
        <v>33.851999999999997</v>
      </c>
      <c r="V65" s="61">
        <f t="shared" si="19"/>
        <v>16.38</v>
      </c>
      <c r="W65" s="61">
        <f t="shared" si="19"/>
        <v>5.46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27.404</v>
      </c>
      <c r="G66" s="61">
        <f t="shared" si="20"/>
        <v>54.808</v>
      </c>
      <c r="H66" s="61">
        <f t="shared" si="20"/>
        <v>79.56</v>
      </c>
      <c r="I66" s="61">
        <f t="shared" si="20"/>
        <v>106.08</v>
      </c>
      <c r="J66" s="61">
        <f t="shared" si="20"/>
        <v>123.318</v>
      </c>
      <c r="K66" s="61">
        <f t="shared" si="20"/>
        <v>137.02000000000001</v>
      </c>
      <c r="L66" s="61">
        <f t="shared" si="20"/>
        <v>145.86000000000001</v>
      </c>
      <c r="M66" s="61">
        <f t="shared" si="20"/>
        <v>145.86000000000001</v>
      </c>
      <c r="N66" s="61">
        <f t="shared" si="20"/>
        <v>150.72200000000001</v>
      </c>
      <c r="O66" s="61">
        <f t="shared" si="20"/>
        <v>150.72200000000001</v>
      </c>
      <c r="P66" s="61">
        <f t="shared" si="20"/>
        <v>150.72200000000001</v>
      </c>
      <c r="Q66" s="61">
        <f t="shared" si="20"/>
        <v>137.02000000000001</v>
      </c>
      <c r="R66" s="61">
        <f t="shared" si="20"/>
        <v>119.33999999999999</v>
      </c>
      <c r="S66" s="61">
        <f t="shared" si="20"/>
        <v>119.33999999999999</v>
      </c>
      <c r="T66" s="61">
        <f t="shared" si="20"/>
        <v>82.212000000000003</v>
      </c>
      <c r="U66" s="61">
        <f t="shared" si="20"/>
        <v>68.510000000000005</v>
      </c>
      <c r="V66" s="61">
        <f t="shared" si="20"/>
        <v>39.78</v>
      </c>
      <c r="W66" s="61">
        <f t="shared" si="20"/>
        <v>26.52</v>
      </c>
      <c r="X66" s="61">
        <f t="shared" si="20"/>
        <v>13.702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883</v>
      </c>
      <c r="C73" s="64">
        <f t="shared" ref="C73:Y73" si="27">ROUND(SUM(C63:C72),0)</f>
        <v>883</v>
      </c>
      <c r="D73" s="64">
        <f t="shared" si="27"/>
        <v>798</v>
      </c>
      <c r="E73" s="64">
        <f t="shared" si="27"/>
        <v>803</v>
      </c>
      <c r="F73" s="64">
        <f t="shared" si="27"/>
        <v>890</v>
      </c>
      <c r="G73" s="64">
        <f t="shared" si="27"/>
        <v>902</v>
      </c>
      <c r="H73" s="64">
        <f t="shared" si="27"/>
        <v>885</v>
      </c>
      <c r="I73" s="64">
        <f t="shared" si="27"/>
        <v>896</v>
      </c>
      <c r="J73" s="64">
        <f t="shared" si="27"/>
        <v>854</v>
      </c>
      <c r="K73" s="64">
        <f t="shared" si="27"/>
        <v>854</v>
      </c>
      <c r="L73" s="64">
        <f t="shared" si="27"/>
        <v>831</v>
      </c>
      <c r="M73" s="64">
        <f t="shared" si="27"/>
        <v>831</v>
      </c>
      <c r="N73" s="64">
        <f t="shared" si="27"/>
        <v>859</v>
      </c>
      <c r="O73" s="64">
        <f t="shared" si="27"/>
        <v>859</v>
      </c>
      <c r="P73" s="64">
        <f t="shared" si="27"/>
        <v>845</v>
      </c>
      <c r="Q73" s="64">
        <f t="shared" si="27"/>
        <v>832</v>
      </c>
      <c r="R73" s="64">
        <f t="shared" si="27"/>
        <v>800</v>
      </c>
      <c r="S73" s="64">
        <f t="shared" si="27"/>
        <v>807</v>
      </c>
      <c r="T73" s="64">
        <f t="shared" si="27"/>
        <v>882</v>
      </c>
      <c r="U73" s="64">
        <f t="shared" si="27"/>
        <v>889</v>
      </c>
      <c r="V73" s="64">
        <f t="shared" si="27"/>
        <v>864</v>
      </c>
      <c r="W73" s="64">
        <f t="shared" si="27"/>
        <v>871</v>
      </c>
      <c r="X73" s="64">
        <f t="shared" si="27"/>
        <v>897</v>
      </c>
      <c r="Y73" s="64">
        <f t="shared" si="27"/>
        <v>883</v>
      </c>
      <c r="Z73" s="52"/>
      <c r="AA73" s="56">
        <f>ROUND(SUM(B73:Y73),0)</f>
        <v>20598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468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10.8</v>
      </c>
      <c r="C99" s="61">
        <f t="shared" ref="C99:X99" si="29">VLOOKUP(C88,$AD$6:$AF$10,3)</f>
        <v>10.8</v>
      </c>
      <c r="D99" s="61">
        <f t="shared" si="29"/>
        <v>10.8</v>
      </c>
      <c r="E99" s="61">
        <f t="shared" si="29"/>
        <v>10.8</v>
      </c>
      <c r="F99" s="61">
        <f t="shared" si="29"/>
        <v>10.8</v>
      </c>
      <c r="G99" s="61">
        <f t="shared" si="29"/>
        <v>10.8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10.8</v>
      </c>
      <c r="W99" s="61">
        <f t="shared" si="29"/>
        <v>10.8</v>
      </c>
      <c r="X99" s="61">
        <f t="shared" si="29"/>
        <v>10.8</v>
      </c>
      <c r="Y99" s="61">
        <f>VLOOKUP(Y88,$AD$6:$AF$10,3)</f>
        <v>10.8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10.8</v>
      </c>
      <c r="C100" s="61">
        <f t="shared" si="30"/>
        <v>10.8</v>
      </c>
      <c r="D100" s="61">
        <f t="shared" si="30"/>
        <v>10.8</v>
      </c>
      <c r="E100" s="61">
        <f t="shared" si="30"/>
        <v>10.8</v>
      </c>
      <c r="F100" s="61">
        <f t="shared" si="30"/>
        <v>10.8</v>
      </c>
      <c r="G100" s="61">
        <f t="shared" si="30"/>
        <v>10.8</v>
      </c>
      <c r="H100" s="61">
        <f t="shared" si="30"/>
        <v>10.8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10.8</v>
      </c>
      <c r="S100" s="61">
        <f t="shared" si="30"/>
        <v>10.8</v>
      </c>
      <c r="T100" s="61">
        <f t="shared" si="30"/>
        <v>10.8</v>
      </c>
      <c r="U100" s="61">
        <f t="shared" si="30"/>
        <v>10.8</v>
      </c>
      <c r="V100" s="61">
        <f t="shared" si="30"/>
        <v>10.8</v>
      </c>
      <c r="W100" s="61">
        <f t="shared" si="30"/>
        <v>10.8</v>
      </c>
      <c r="X100" s="61">
        <f t="shared" si="30"/>
        <v>10.8</v>
      </c>
      <c r="Y100" s="61">
        <f t="shared" si="30"/>
        <v>10.8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10.8</v>
      </c>
      <c r="C101" s="61">
        <f t="shared" si="31"/>
        <v>10.8</v>
      </c>
      <c r="D101" s="61">
        <f t="shared" si="31"/>
        <v>10.8</v>
      </c>
      <c r="E101" s="61">
        <f t="shared" si="31"/>
        <v>10.8</v>
      </c>
      <c r="F101" s="61">
        <f t="shared" si="31"/>
        <v>10.8</v>
      </c>
      <c r="G101" s="61">
        <f t="shared" si="31"/>
        <v>10.8</v>
      </c>
      <c r="H101" s="61">
        <f t="shared" si="31"/>
        <v>10.8</v>
      </c>
      <c r="I101" s="61">
        <f t="shared" si="31"/>
        <v>10.8</v>
      </c>
      <c r="J101" s="61">
        <f t="shared" si="31"/>
        <v>10.8</v>
      </c>
      <c r="K101" s="61">
        <f t="shared" si="31"/>
        <v>10.8</v>
      </c>
      <c r="L101" s="61">
        <f t="shared" si="31"/>
        <v>10.8</v>
      </c>
      <c r="M101" s="61">
        <f t="shared" si="31"/>
        <v>10.8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10.8</v>
      </c>
      <c r="S101" s="61">
        <f t="shared" si="31"/>
        <v>10.8</v>
      </c>
      <c r="T101" s="61">
        <f t="shared" si="31"/>
        <v>10.8</v>
      </c>
      <c r="U101" s="61">
        <f t="shared" si="31"/>
        <v>10.8</v>
      </c>
      <c r="V101" s="61">
        <f t="shared" si="31"/>
        <v>10.8</v>
      </c>
      <c r="W101" s="61">
        <f t="shared" si="31"/>
        <v>10.8</v>
      </c>
      <c r="X101" s="61">
        <f t="shared" si="31"/>
        <v>10.8</v>
      </c>
      <c r="Y101" s="61">
        <f t="shared" si="31"/>
        <v>10.8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6.6156480000000011</v>
      </c>
      <c r="C110" s="61">
        <f t="shared" si="39"/>
        <v>6.6156480000000011</v>
      </c>
      <c r="D110" s="61">
        <f t="shared" si="39"/>
        <v>5.9754240000000012</v>
      </c>
      <c r="E110" s="61">
        <f t="shared" si="39"/>
        <v>5.9754240000000012</v>
      </c>
      <c r="F110" s="61">
        <f t="shared" si="39"/>
        <v>6.2674560000000001</v>
      </c>
      <c r="G110" s="61">
        <f t="shared" si="39"/>
        <v>5.919264000000001</v>
      </c>
      <c r="H110" s="61">
        <f t="shared" si="39"/>
        <v>6.1152000000000006</v>
      </c>
      <c r="I110" s="61">
        <f t="shared" si="39"/>
        <v>5.7329999999999997</v>
      </c>
      <c r="J110" s="61">
        <f t="shared" si="39"/>
        <v>4.8676355000000004</v>
      </c>
      <c r="K110" s="61">
        <f t="shared" si="39"/>
        <v>4.6997860000000005</v>
      </c>
      <c r="L110" s="61">
        <f t="shared" si="39"/>
        <v>4.385745</v>
      </c>
      <c r="M110" s="61">
        <f t="shared" si="39"/>
        <v>4.385745</v>
      </c>
      <c r="N110" s="61">
        <f t="shared" si="39"/>
        <v>4.5319364999999996</v>
      </c>
      <c r="O110" s="61">
        <f t="shared" si="39"/>
        <v>4.5319364999999996</v>
      </c>
      <c r="P110" s="61">
        <f t="shared" si="39"/>
        <v>4.3640869999999996</v>
      </c>
      <c r="Q110" s="61">
        <f t="shared" si="39"/>
        <v>4.3640869999999996</v>
      </c>
      <c r="R110" s="61">
        <f t="shared" si="39"/>
        <v>3.9382199999999998</v>
      </c>
      <c r="S110" s="61">
        <f t="shared" si="39"/>
        <v>4.0840800000000002</v>
      </c>
      <c r="T110" s="61">
        <f t="shared" si="39"/>
        <v>6.7703999999999995</v>
      </c>
      <c r="U110" s="61">
        <f t="shared" si="39"/>
        <v>7.2217600000000006</v>
      </c>
      <c r="V110" s="61">
        <f t="shared" si="39"/>
        <v>5.8967999999999998</v>
      </c>
      <c r="W110" s="61">
        <f t="shared" si="39"/>
        <v>6.2337599999999993</v>
      </c>
      <c r="X110" s="61">
        <f t="shared" si="39"/>
        <v>6.6156480000000011</v>
      </c>
      <c r="Y110" s="61">
        <f t="shared" si="39"/>
        <v>6.6156480000000011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2.9248127999999998</v>
      </c>
      <c r="C111" s="61">
        <f t="shared" si="40"/>
        <v>2.9248127999999998</v>
      </c>
      <c r="D111" s="61">
        <f t="shared" si="40"/>
        <v>2.6417663999999998</v>
      </c>
      <c r="E111" s="61">
        <f t="shared" si="40"/>
        <v>2.6417663999999998</v>
      </c>
      <c r="F111" s="61">
        <f t="shared" si="40"/>
        <v>2.9248127999999998</v>
      </c>
      <c r="G111" s="61">
        <f t="shared" si="40"/>
        <v>2.9248127999999998</v>
      </c>
      <c r="H111" s="61">
        <f t="shared" si="40"/>
        <v>2.8304640000000001</v>
      </c>
      <c r="I111" s="61">
        <f t="shared" si="40"/>
        <v>3.4070399999999998</v>
      </c>
      <c r="J111" s="61">
        <f t="shared" si="40"/>
        <v>3.5206079999999997</v>
      </c>
      <c r="K111" s="61">
        <f t="shared" si="40"/>
        <v>3.5206079999999997</v>
      </c>
      <c r="L111" s="61">
        <f t="shared" si="40"/>
        <v>3.4070399999999998</v>
      </c>
      <c r="M111" s="61">
        <f t="shared" si="40"/>
        <v>3.4070399999999998</v>
      </c>
      <c r="N111" s="61">
        <f t="shared" si="40"/>
        <v>3.5206079999999997</v>
      </c>
      <c r="O111" s="61">
        <f t="shared" si="40"/>
        <v>3.5206079999999997</v>
      </c>
      <c r="P111" s="61">
        <f t="shared" si="40"/>
        <v>3.5206079999999997</v>
      </c>
      <c r="Q111" s="61">
        <f t="shared" si="40"/>
        <v>3.5206079999999997</v>
      </c>
      <c r="R111" s="61">
        <f t="shared" si="40"/>
        <v>2.8304640000000001</v>
      </c>
      <c r="S111" s="61">
        <f t="shared" si="40"/>
        <v>2.8304640000000001</v>
      </c>
      <c r="T111" s="61">
        <f t="shared" si="40"/>
        <v>2.9248127999999998</v>
      </c>
      <c r="U111" s="61">
        <f t="shared" si="40"/>
        <v>2.9248127999999998</v>
      </c>
      <c r="V111" s="61">
        <f t="shared" si="40"/>
        <v>2.8304640000000001</v>
      </c>
      <c r="W111" s="61">
        <f t="shared" si="40"/>
        <v>2.8304640000000001</v>
      </c>
      <c r="X111" s="61">
        <f t="shared" si="40"/>
        <v>2.9248127999999998</v>
      </c>
      <c r="Y111" s="61">
        <f t="shared" si="40"/>
        <v>2.9248127999999998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5.5036800000000004E-2</v>
      </c>
      <c r="F112" s="61">
        <f t="shared" si="41"/>
        <v>0.12186719999999999</v>
      </c>
      <c r="G112" s="61">
        <f t="shared" si="41"/>
        <v>0.30466799999999999</v>
      </c>
      <c r="H112" s="61">
        <f t="shared" si="41"/>
        <v>0.47174400000000005</v>
      </c>
      <c r="I112" s="61">
        <f t="shared" si="41"/>
        <v>0.648648</v>
      </c>
      <c r="J112" s="61">
        <f t="shared" si="41"/>
        <v>0.67026960000000002</v>
      </c>
      <c r="K112" s="61">
        <f t="shared" si="41"/>
        <v>0.67026960000000002</v>
      </c>
      <c r="L112" s="61">
        <f t="shared" si="41"/>
        <v>0.70761600000000002</v>
      </c>
      <c r="M112" s="61">
        <f t="shared" si="41"/>
        <v>0.70761600000000002</v>
      </c>
      <c r="N112" s="61">
        <f t="shared" si="41"/>
        <v>0.88015199999999993</v>
      </c>
      <c r="O112" s="61">
        <f t="shared" si="41"/>
        <v>0.88015199999999993</v>
      </c>
      <c r="P112" s="61">
        <f t="shared" si="41"/>
        <v>0.88015199999999993</v>
      </c>
      <c r="Q112" s="61">
        <f t="shared" si="41"/>
        <v>0.88015199999999993</v>
      </c>
      <c r="R112" s="61">
        <f t="shared" si="41"/>
        <v>0.648648</v>
      </c>
      <c r="S112" s="61">
        <f t="shared" si="41"/>
        <v>0.58967999999999998</v>
      </c>
      <c r="T112" s="61">
        <f t="shared" si="41"/>
        <v>0.48746879999999998</v>
      </c>
      <c r="U112" s="61">
        <f t="shared" si="41"/>
        <v>0.36560159999999997</v>
      </c>
      <c r="V112" s="61">
        <f t="shared" si="41"/>
        <v>0.17690400000000001</v>
      </c>
      <c r="W112" s="61">
        <f t="shared" si="41"/>
        <v>5.8968000000000007E-2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0.35625200000000001</v>
      </c>
      <c r="G113" s="61">
        <f t="shared" si="42"/>
        <v>0.71250400000000003</v>
      </c>
      <c r="H113" s="61">
        <f t="shared" si="42"/>
        <v>1.0342799999999999</v>
      </c>
      <c r="I113" s="61">
        <f t="shared" si="42"/>
        <v>1.37904</v>
      </c>
      <c r="J113" s="61">
        <f t="shared" si="42"/>
        <v>1.6031340000000001</v>
      </c>
      <c r="K113" s="61">
        <f t="shared" si="42"/>
        <v>1.7812600000000003</v>
      </c>
      <c r="L113" s="61">
        <f t="shared" si="42"/>
        <v>1.8961800000000002</v>
      </c>
      <c r="M113" s="61">
        <f t="shared" si="42"/>
        <v>1.8961800000000002</v>
      </c>
      <c r="N113" s="61">
        <f t="shared" si="42"/>
        <v>1.9593860000000003</v>
      </c>
      <c r="O113" s="61">
        <f t="shared" si="42"/>
        <v>1.9593860000000003</v>
      </c>
      <c r="P113" s="61">
        <f t="shared" si="42"/>
        <v>1.9593860000000003</v>
      </c>
      <c r="Q113" s="61">
        <f t="shared" si="42"/>
        <v>1.7812600000000003</v>
      </c>
      <c r="R113" s="61">
        <f t="shared" si="42"/>
        <v>1.5514199999999998</v>
      </c>
      <c r="S113" s="61">
        <f t="shared" si="42"/>
        <v>1.5514199999999998</v>
      </c>
      <c r="T113" s="61">
        <f t="shared" si="42"/>
        <v>1.068756</v>
      </c>
      <c r="U113" s="61">
        <f t="shared" si="42"/>
        <v>0.89063000000000014</v>
      </c>
      <c r="V113" s="61">
        <f t="shared" si="42"/>
        <v>0.51713999999999993</v>
      </c>
      <c r="W113" s="61">
        <f t="shared" si="42"/>
        <v>0.34476000000000001</v>
      </c>
      <c r="X113" s="61">
        <f t="shared" si="42"/>
        <v>0.17812600000000001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9.6</v>
      </c>
      <c r="C120" s="61">
        <f t="shared" ref="C120:Y120" si="49">SUM(C110:C119)</f>
        <v>9.5404608000000017</v>
      </c>
      <c r="D120" s="61">
        <f t="shared" si="49"/>
        <v>8.6171904000000019</v>
      </c>
      <c r="E120" s="61">
        <f t="shared" si="49"/>
        <v>8.6722272000000018</v>
      </c>
      <c r="F120" s="61">
        <f t="shared" si="49"/>
        <v>9.6703880000000009</v>
      </c>
      <c r="G120" s="61">
        <f t="shared" si="49"/>
        <v>9.8612487999999985</v>
      </c>
      <c r="H120" s="61">
        <f t="shared" si="49"/>
        <v>10.451688000000001</v>
      </c>
      <c r="I120" s="61">
        <f t="shared" si="49"/>
        <v>11.167727999999999</v>
      </c>
      <c r="J120" s="61">
        <f t="shared" si="49"/>
        <v>10.6616471</v>
      </c>
      <c r="K120" s="61">
        <f t="shared" si="49"/>
        <v>10.6719236</v>
      </c>
      <c r="L120" s="61">
        <f t="shared" si="49"/>
        <v>10.396581000000001</v>
      </c>
      <c r="M120" s="61">
        <f t="shared" si="49"/>
        <v>10.396581000000001</v>
      </c>
      <c r="N120" s="61">
        <f t="shared" si="49"/>
        <v>10.892082500000001</v>
      </c>
      <c r="O120" s="61">
        <f t="shared" si="49"/>
        <v>10.892082500000001</v>
      </c>
      <c r="P120" s="61">
        <f t="shared" si="49"/>
        <v>10.724233</v>
      </c>
      <c r="Q120" s="61">
        <f t="shared" si="49"/>
        <v>10.546106999999999</v>
      </c>
      <c r="R120" s="61">
        <f t="shared" si="49"/>
        <v>8.9687520000000003</v>
      </c>
      <c r="S120" s="61">
        <f t="shared" si="49"/>
        <v>9.0556440000000009</v>
      </c>
      <c r="T120" s="61">
        <f t="shared" si="49"/>
        <v>11.251437600000001</v>
      </c>
      <c r="U120" s="61">
        <f t="shared" si="49"/>
        <v>11.402804400000001</v>
      </c>
      <c r="V120" s="61">
        <f t="shared" si="49"/>
        <v>9.4213079999999998</v>
      </c>
      <c r="W120" s="61">
        <f t="shared" si="49"/>
        <v>9.4679520000000004</v>
      </c>
      <c r="X120" s="61">
        <f t="shared" si="49"/>
        <v>9.7185868000000024</v>
      </c>
      <c r="Y120" s="61">
        <f t="shared" si="49"/>
        <v>9.5404608000000017</v>
      </c>
      <c r="AA120" s="57">
        <f>SUM(B120:Y120)</f>
        <v>241.58911450000005</v>
      </c>
      <c r="AB120" t="s">
        <v>38</v>
      </c>
      <c r="AC120" t="s">
        <v>205</v>
      </c>
    </row>
    <row r="121" spans="1:29" x14ac:dyDescent="0.25">
      <c r="AA121">
        <f>AA49*4.75</f>
        <v>268.10820833333327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Génisses de renouvellement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 6mois 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réforme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6.6156480000000011</v>
      </c>
      <c r="C136" s="61">
        <f t="shared" ref="C136:Y136" si="50">C110*(1-C123)</f>
        <v>6.6156480000000011</v>
      </c>
      <c r="D136" s="61">
        <f t="shared" si="50"/>
        <v>5.9754240000000012</v>
      </c>
      <c r="E136" s="61">
        <f t="shared" si="50"/>
        <v>5.9754240000000012</v>
      </c>
      <c r="F136" s="61">
        <f t="shared" si="50"/>
        <v>6.2674560000000001</v>
      </c>
      <c r="G136" s="61">
        <f t="shared" si="50"/>
        <v>5.919264000000001</v>
      </c>
      <c r="H136" s="61">
        <f t="shared" si="50"/>
        <v>6.1152000000000006</v>
      </c>
      <c r="I136" s="61">
        <f t="shared" si="50"/>
        <v>5.7329999999999997</v>
      </c>
      <c r="J136" s="61">
        <f t="shared" si="50"/>
        <v>4.8676355000000004</v>
      </c>
      <c r="K136" s="61">
        <f t="shared" si="50"/>
        <v>4.6997860000000005</v>
      </c>
      <c r="L136" s="61">
        <f t="shared" si="50"/>
        <v>4.385745</v>
      </c>
      <c r="M136" s="61">
        <f t="shared" si="50"/>
        <v>4.385745</v>
      </c>
      <c r="N136" s="61">
        <f t="shared" si="50"/>
        <v>4.5319364999999996</v>
      </c>
      <c r="O136" s="61">
        <f t="shared" si="50"/>
        <v>4.5319364999999996</v>
      </c>
      <c r="P136" s="61">
        <f t="shared" si="50"/>
        <v>4.3640869999999996</v>
      </c>
      <c r="Q136" s="61">
        <f t="shared" si="50"/>
        <v>4.3640869999999996</v>
      </c>
      <c r="R136" s="61">
        <f t="shared" si="50"/>
        <v>3.9382199999999998</v>
      </c>
      <c r="S136" s="61">
        <f t="shared" si="50"/>
        <v>4.0840800000000002</v>
      </c>
      <c r="T136" s="61">
        <f t="shared" si="50"/>
        <v>6.7703999999999995</v>
      </c>
      <c r="U136" s="61">
        <f t="shared" si="50"/>
        <v>7.2217600000000006</v>
      </c>
      <c r="V136" s="61">
        <f t="shared" si="50"/>
        <v>5.8967999999999998</v>
      </c>
      <c r="W136" s="61">
        <f t="shared" si="50"/>
        <v>6.2337599999999993</v>
      </c>
      <c r="X136" s="61">
        <f t="shared" si="50"/>
        <v>6.6156480000000011</v>
      </c>
      <c r="Y136" s="61">
        <f t="shared" si="50"/>
        <v>6.6156480000000011</v>
      </c>
      <c r="AA136" s="61">
        <f>SUM(B136:Y136)</f>
        <v>132.72433850000002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2.9248127999999998</v>
      </c>
      <c r="C137" s="61">
        <f t="shared" si="51"/>
        <v>2.9248127999999998</v>
      </c>
      <c r="D137" s="61">
        <f t="shared" si="51"/>
        <v>2.6417663999999998</v>
      </c>
      <c r="E137" s="61">
        <f t="shared" si="51"/>
        <v>2.6417663999999998</v>
      </c>
      <c r="F137" s="61">
        <f t="shared" si="51"/>
        <v>2.9248127999999998</v>
      </c>
      <c r="G137" s="61">
        <f t="shared" si="51"/>
        <v>2.9248127999999998</v>
      </c>
      <c r="H137" s="61">
        <f t="shared" si="51"/>
        <v>2.8304640000000001</v>
      </c>
      <c r="I137" s="61">
        <f t="shared" si="51"/>
        <v>3.4070399999999998</v>
      </c>
      <c r="J137" s="61">
        <f t="shared" si="51"/>
        <v>3.5206079999999997</v>
      </c>
      <c r="K137" s="61">
        <f t="shared" si="51"/>
        <v>3.5206079999999997</v>
      </c>
      <c r="L137" s="61">
        <f t="shared" si="51"/>
        <v>3.4070399999999998</v>
      </c>
      <c r="M137" s="61">
        <f t="shared" si="51"/>
        <v>3.4070399999999998</v>
      </c>
      <c r="N137" s="61">
        <f t="shared" si="51"/>
        <v>3.5206079999999997</v>
      </c>
      <c r="O137" s="61">
        <f t="shared" si="51"/>
        <v>3.5206079999999997</v>
      </c>
      <c r="P137" s="61">
        <f t="shared" si="51"/>
        <v>3.5206079999999997</v>
      </c>
      <c r="Q137" s="61">
        <f t="shared" si="51"/>
        <v>3.5206079999999997</v>
      </c>
      <c r="R137" s="61">
        <f t="shared" si="51"/>
        <v>2.8304640000000001</v>
      </c>
      <c r="S137" s="61">
        <f t="shared" si="51"/>
        <v>2.8304640000000001</v>
      </c>
      <c r="T137" s="61">
        <f t="shared" si="51"/>
        <v>2.9248127999999998</v>
      </c>
      <c r="U137" s="61">
        <f t="shared" si="51"/>
        <v>2.9248127999999998</v>
      </c>
      <c r="V137" s="61">
        <f t="shared" si="51"/>
        <v>2.8304640000000001</v>
      </c>
      <c r="W137" s="61">
        <f t="shared" si="51"/>
        <v>2.8304640000000001</v>
      </c>
      <c r="X137" s="61">
        <f t="shared" si="51"/>
        <v>2.9248127999999998</v>
      </c>
      <c r="Y137" s="61">
        <f t="shared" si="51"/>
        <v>2.9248127999999998</v>
      </c>
      <c r="AA137" s="61">
        <f>SUM(B137:Y137)</f>
        <v>74.179123200000006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5.5036800000000004E-2</v>
      </c>
      <c r="F138" s="61">
        <f t="shared" si="51"/>
        <v>0.12186719999999999</v>
      </c>
      <c r="G138" s="61">
        <f t="shared" si="51"/>
        <v>0.30466799999999999</v>
      </c>
      <c r="H138" s="61">
        <f t="shared" si="51"/>
        <v>0.47174400000000005</v>
      </c>
      <c r="I138" s="61">
        <f t="shared" si="51"/>
        <v>0.648648</v>
      </c>
      <c r="J138" s="61">
        <f t="shared" si="51"/>
        <v>0.67026960000000002</v>
      </c>
      <c r="K138" s="61">
        <f t="shared" si="51"/>
        <v>0.67026960000000002</v>
      </c>
      <c r="L138" s="61">
        <f t="shared" si="51"/>
        <v>0.70761600000000002</v>
      </c>
      <c r="M138" s="61">
        <f t="shared" si="51"/>
        <v>0.70761600000000002</v>
      </c>
      <c r="N138" s="61">
        <f t="shared" si="51"/>
        <v>0.88015199999999993</v>
      </c>
      <c r="O138" s="61">
        <f t="shared" si="51"/>
        <v>0.88015199999999993</v>
      </c>
      <c r="P138" s="61">
        <f t="shared" si="51"/>
        <v>0.88015199999999993</v>
      </c>
      <c r="Q138" s="61">
        <f t="shared" si="51"/>
        <v>0.88015199999999993</v>
      </c>
      <c r="R138" s="61">
        <f t="shared" si="51"/>
        <v>0.648648</v>
      </c>
      <c r="S138" s="61">
        <f t="shared" si="51"/>
        <v>0.58967999999999998</v>
      </c>
      <c r="T138" s="61">
        <f t="shared" si="51"/>
        <v>0.48746879999999998</v>
      </c>
      <c r="U138" s="61">
        <f t="shared" si="51"/>
        <v>0.36560159999999997</v>
      </c>
      <c r="V138" s="61">
        <f t="shared" si="51"/>
        <v>0.17690400000000001</v>
      </c>
      <c r="W138" s="61">
        <f t="shared" si="51"/>
        <v>5.8968000000000007E-2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10.2056136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0.35625200000000001</v>
      </c>
      <c r="G139" s="61">
        <f t="shared" si="51"/>
        <v>0.71250400000000003</v>
      </c>
      <c r="H139" s="61">
        <f t="shared" si="51"/>
        <v>1.0342799999999999</v>
      </c>
      <c r="I139" s="61">
        <f t="shared" si="51"/>
        <v>1.37904</v>
      </c>
      <c r="J139" s="61">
        <f t="shared" si="51"/>
        <v>1.6031340000000001</v>
      </c>
      <c r="K139" s="61">
        <f t="shared" si="51"/>
        <v>1.7812600000000003</v>
      </c>
      <c r="L139" s="61">
        <f t="shared" si="51"/>
        <v>1.8961800000000002</v>
      </c>
      <c r="M139" s="61">
        <f t="shared" si="51"/>
        <v>1.8961800000000002</v>
      </c>
      <c r="N139" s="61">
        <f t="shared" si="51"/>
        <v>1.9593860000000003</v>
      </c>
      <c r="O139" s="61">
        <f t="shared" si="51"/>
        <v>1.9593860000000003</v>
      </c>
      <c r="P139" s="61">
        <f t="shared" si="51"/>
        <v>1.9593860000000003</v>
      </c>
      <c r="Q139" s="61">
        <f t="shared" si="51"/>
        <v>1.7812600000000003</v>
      </c>
      <c r="R139" s="61">
        <f t="shared" si="51"/>
        <v>1.5514199999999998</v>
      </c>
      <c r="S139" s="61">
        <f t="shared" si="51"/>
        <v>1.5514199999999998</v>
      </c>
      <c r="T139" s="61">
        <f t="shared" si="51"/>
        <v>1.068756</v>
      </c>
      <c r="U139" s="61">
        <f t="shared" si="51"/>
        <v>0.89063000000000014</v>
      </c>
      <c r="V139" s="61">
        <f t="shared" si="51"/>
        <v>0.51713999999999993</v>
      </c>
      <c r="W139" s="61">
        <f t="shared" si="51"/>
        <v>0.34476000000000001</v>
      </c>
      <c r="X139" s="61">
        <f t="shared" si="51"/>
        <v>0.17812600000000001</v>
      </c>
      <c r="Y139" s="61">
        <f t="shared" si="51"/>
        <v>0</v>
      </c>
      <c r="AA139" s="61">
        <f t="shared" si="52"/>
        <v>24.420500000000004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241.52957530000003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265.68253283000007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0</v>
      </c>
      <c r="I149" s="61">
        <f t="shared" si="54"/>
        <v>0</v>
      </c>
      <c r="J149" s="61">
        <f t="shared" si="54"/>
        <v>0</v>
      </c>
      <c r="K149" s="61">
        <f t="shared" si="54"/>
        <v>0</v>
      </c>
      <c r="L149" s="61">
        <f t="shared" si="54"/>
        <v>0</v>
      </c>
      <c r="M149" s="61">
        <f t="shared" si="54"/>
        <v>0</v>
      </c>
      <c r="N149" s="61">
        <f t="shared" si="54"/>
        <v>0</v>
      </c>
      <c r="O149" s="61">
        <f t="shared" si="54"/>
        <v>0</v>
      </c>
      <c r="P149" s="61">
        <f t="shared" si="54"/>
        <v>0</v>
      </c>
      <c r="Q149" s="61">
        <f t="shared" si="54"/>
        <v>0</v>
      </c>
      <c r="R149" s="61">
        <f t="shared" si="54"/>
        <v>0</v>
      </c>
      <c r="S149" s="61">
        <f t="shared" si="54"/>
        <v>0</v>
      </c>
      <c r="T149" s="61">
        <f t="shared" si="54"/>
        <v>0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0</v>
      </c>
      <c r="J150" s="61">
        <f t="shared" si="55"/>
        <v>0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</v>
      </c>
      <c r="O151" s="61">
        <f t="shared" si="56"/>
        <v>0</v>
      </c>
      <c r="P151" s="61">
        <f t="shared" si="56"/>
        <v>0</v>
      </c>
      <c r="Q151" s="61">
        <f t="shared" si="56"/>
        <v>0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0</v>
      </c>
      <c r="I162" s="61">
        <f t="shared" si="64"/>
        <v>0</v>
      </c>
      <c r="J162" s="61">
        <f t="shared" si="64"/>
        <v>0</v>
      </c>
      <c r="K162" s="61">
        <f t="shared" si="64"/>
        <v>0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0</v>
      </c>
      <c r="T162" s="61">
        <f t="shared" si="64"/>
        <v>0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</v>
      </c>
      <c r="G172" s="61">
        <f t="shared" si="74"/>
        <v>0</v>
      </c>
      <c r="H172" s="61">
        <f t="shared" si="74"/>
        <v>0</v>
      </c>
      <c r="I172" s="61">
        <f t="shared" si="74"/>
        <v>0</v>
      </c>
      <c r="J172" s="61">
        <f t="shared" si="74"/>
        <v>0</v>
      </c>
      <c r="K172" s="61">
        <f t="shared" si="74"/>
        <v>0</v>
      </c>
      <c r="L172" s="61">
        <f t="shared" si="74"/>
        <v>0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0</v>
      </c>
      <c r="R172" s="61">
        <f t="shared" si="74"/>
        <v>0</v>
      </c>
      <c r="S172" s="61">
        <f t="shared" si="74"/>
        <v>0</v>
      </c>
      <c r="T172" s="61">
        <f t="shared" si="74"/>
        <v>0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0</v>
      </c>
      <c r="M211" s="61">
        <f t="shared" si="98"/>
        <v>0</v>
      </c>
      <c r="N211" s="61">
        <f t="shared" si="98"/>
        <v>0</v>
      </c>
      <c r="O211" s="61">
        <f t="shared" si="98"/>
        <v>0</v>
      </c>
      <c r="P211" s="61">
        <f t="shared" si="98"/>
        <v>0</v>
      </c>
      <c r="Q211" s="61">
        <f t="shared" si="98"/>
        <v>0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9">C172</f>
        <v>0</v>
      </c>
      <c r="D215" s="61">
        <f t="shared" si="99"/>
        <v>0</v>
      </c>
      <c r="E215" s="61">
        <f t="shared" si="99"/>
        <v>0</v>
      </c>
      <c r="F215" s="61">
        <f t="shared" si="99"/>
        <v>0</v>
      </c>
      <c r="G215" s="61">
        <f t="shared" si="99"/>
        <v>0</v>
      </c>
      <c r="H215" s="61">
        <f t="shared" si="99"/>
        <v>0</v>
      </c>
      <c r="I215" s="61">
        <f t="shared" si="99"/>
        <v>0</v>
      </c>
      <c r="J215" s="61">
        <f t="shared" si="99"/>
        <v>0</v>
      </c>
      <c r="K215" s="61">
        <f t="shared" si="99"/>
        <v>0</v>
      </c>
      <c r="L215" s="61">
        <f t="shared" si="99"/>
        <v>0</v>
      </c>
      <c r="M215" s="61">
        <f t="shared" si="99"/>
        <v>0</v>
      </c>
      <c r="N215" s="61">
        <f t="shared" si="99"/>
        <v>0</v>
      </c>
      <c r="O215" s="61">
        <f t="shared" si="99"/>
        <v>0</v>
      </c>
      <c r="P215" s="61">
        <f t="shared" si="99"/>
        <v>0</v>
      </c>
      <c r="Q215" s="61">
        <f t="shared" si="99"/>
        <v>0</v>
      </c>
      <c r="R215" s="61">
        <f t="shared" si="99"/>
        <v>0</v>
      </c>
      <c r="S215" s="61">
        <f t="shared" si="99"/>
        <v>0</v>
      </c>
      <c r="T215" s="61">
        <f t="shared" si="99"/>
        <v>0</v>
      </c>
      <c r="U215" s="61">
        <f t="shared" si="99"/>
        <v>0</v>
      </c>
      <c r="V215" s="61">
        <f t="shared" si="99"/>
        <v>0</v>
      </c>
      <c r="W215" s="61">
        <f t="shared" si="99"/>
        <v>0</v>
      </c>
      <c r="X215" s="61">
        <f t="shared" si="99"/>
        <v>0</v>
      </c>
      <c r="Y215" s="61">
        <f t="shared" si="9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0</v>
      </c>
      <c r="G216" s="61">
        <f t="shared" si="100"/>
        <v>0</v>
      </c>
      <c r="H216" s="61">
        <f t="shared" si="100"/>
        <v>0</v>
      </c>
      <c r="I216" s="61">
        <f t="shared" si="100"/>
        <v>0</v>
      </c>
      <c r="J216" s="61">
        <f t="shared" si="100"/>
        <v>0</v>
      </c>
      <c r="K216" s="61">
        <f t="shared" si="100"/>
        <v>0</v>
      </c>
      <c r="L216" s="61">
        <f t="shared" si="100"/>
        <v>0</v>
      </c>
      <c r="M216" s="61">
        <f t="shared" si="100"/>
        <v>0</v>
      </c>
      <c r="N216" s="61">
        <f t="shared" si="100"/>
        <v>0</v>
      </c>
      <c r="O216" s="61">
        <f t="shared" si="100"/>
        <v>0</v>
      </c>
      <c r="P216" s="61">
        <f t="shared" si="100"/>
        <v>0</v>
      </c>
      <c r="Q216" s="61">
        <f t="shared" si="100"/>
        <v>0</v>
      </c>
      <c r="R216" s="61">
        <f t="shared" si="100"/>
        <v>0</v>
      </c>
      <c r="S216" s="61">
        <f t="shared" si="100"/>
        <v>0</v>
      </c>
      <c r="T216" s="61">
        <f t="shared" si="100"/>
        <v>0</v>
      </c>
      <c r="U216" s="61">
        <f t="shared" si="100"/>
        <v>0</v>
      </c>
      <c r="V216" s="61">
        <f t="shared" si="100"/>
        <v>0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0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0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0</v>
      </c>
      <c r="M218" s="61">
        <f t="shared" si="102"/>
        <v>0</v>
      </c>
      <c r="N218" s="61">
        <f t="shared" si="102"/>
        <v>0</v>
      </c>
      <c r="O218" s="61">
        <f t="shared" si="102"/>
        <v>0</v>
      </c>
      <c r="P218" s="61">
        <f t="shared" si="102"/>
        <v>0</v>
      </c>
      <c r="Q218" s="61">
        <f t="shared" si="102"/>
        <v>0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2023-01-09T10:18:47Z</dcterms:modified>
</cp:coreProperties>
</file>