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229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AV5" i="31"/>
  <c r="AW5" i="31"/>
  <c r="BD5" i="31" s="1"/>
  <c r="BE5" i="31" s="1"/>
  <c r="BF5" i="31" s="1"/>
  <c r="AX5" i="31"/>
  <c r="AY5" i="31"/>
  <c r="AZ5" i="31"/>
  <c r="AV6" i="31"/>
  <c r="AW6" i="31"/>
  <c r="AX6" i="31"/>
  <c r="AY6" i="31"/>
  <c r="AZ6" i="31"/>
  <c r="AV7" i="31"/>
  <c r="AW7" i="31"/>
  <c r="AX7" i="31"/>
  <c r="AY7" i="31"/>
  <c r="AZ7" i="31"/>
  <c r="BA7" i="31"/>
  <c r="BB7" i="31"/>
  <c r="BC7" i="31"/>
  <c r="BD7" i="31"/>
  <c r="BE7" i="31"/>
  <c r="BF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BD11" i="31" s="1"/>
  <c r="BE11" i="31" s="1"/>
  <c r="BF11" i="31" s="1"/>
  <c r="AX11" i="31"/>
  <c r="AY11" i="31"/>
  <c r="AZ11" i="31"/>
  <c r="AV12" i="31"/>
  <c r="AW12" i="31"/>
  <c r="BD12" i="31" s="1"/>
  <c r="BE12" i="31" s="1"/>
  <c r="BF12" i="31" s="1"/>
  <c r="BK12" i="31" s="1"/>
  <c r="AX12" i="31"/>
  <c r="AY12" i="31"/>
  <c r="AZ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 s="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I15" i="31" l="1"/>
  <c r="BH15" i="31"/>
  <c r="BJ15" i="31"/>
  <c r="BL15" i="31"/>
  <c r="BI7" i="31"/>
  <c r="BH7" i="31"/>
  <c r="BJ7" i="31"/>
  <c r="BL7" i="31"/>
  <c r="BG17" i="31"/>
  <c r="BH16" i="31"/>
  <c r="BG5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E26" i="31" s="1"/>
  <c r="BF26" i="31" s="1"/>
  <c r="BH22" i="31"/>
  <c r="BJ20" i="31"/>
  <c r="BD18" i="31"/>
  <c r="BE18" i="31" s="1"/>
  <c r="BF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G18" i="31" l="1"/>
  <c r="BJ18" i="3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C84" i="32"/>
  <c r="C83" i="32"/>
  <c r="C81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V106" i="32" l="1"/>
  <c r="AD29" i="31"/>
  <c r="AD28" i="31"/>
  <c r="T38" i="33"/>
  <c r="A79" i="18"/>
  <c r="B16" i="24" l="1"/>
  <c r="B18" i="24" s="1"/>
  <c r="C16" i="24"/>
  <c r="C18" i="24" s="1"/>
  <c r="D16" i="24"/>
  <c r="D18" i="24" s="1"/>
  <c r="E16" i="24"/>
  <c r="E18" i="24" s="1"/>
  <c r="F16" i="24"/>
  <c r="F18" i="24" s="1"/>
  <c r="G16" i="24"/>
  <c r="G18" i="24" s="1"/>
  <c r="H16" i="24"/>
  <c r="H18" i="24" s="1"/>
  <c r="I16" i="24"/>
  <c r="I18" i="24" s="1"/>
  <c r="J16" i="24"/>
  <c r="J18" i="24" s="1"/>
  <c r="K16" i="24"/>
  <c r="K18" i="24" s="1"/>
  <c r="L16" i="24"/>
  <c r="L18" i="24" s="1"/>
  <c r="M16" i="24"/>
  <c r="M18" i="24" s="1"/>
  <c r="N16" i="24"/>
  <c r="N18" i="24" s="1"/>
  <c r="O16" i="24"/>
  <c r="O18" i="24" s="1"/>
  <c r="P16" i="24"/>
  <c r="P18" i="24" s="1"/>
  <c r="Q16" i="24"/>
  <c r="Q18" i="24" s="1"/>
  <c r="R16" i="24"/>
  <c r="R18" i="24" s="1"/>
  <c r="S16" i="24"/>
  <c r="S18" i="24" s="1"/>
  <c r="T16" i="24"/>
  <c r="T18" i="24" s="1"/>
  <c r="U16" i="24"/>
  <c r="U18" i="24" s="1"/>
  <c r="V16" i="24"/>
  <c r="V18" i="24" s="1"/>
  <c r="W16" i="24"/>
  <c r="W18" i="24" s="1"/>
  <c r="X16" i="24"/>
  <c r="X18" i="24" s="1"/>
  <c r="Y16" i="24"/>
  <c r="Y18" i="24" s="1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AD14" i="31" s="1"/>
  <c r="T233" i="33" s="1"/>
  <c r="T271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Y76" i="33" s="1"/>
  <c r="CX65" i="33"/>
  <c r="CW65" i="33"/>
  <c r="CV65" i="33"/>
  <c r="CU65" i="33"/>
  <c r="CT65" i="33"/>
  <c r="CS65" i="33"/>
  <c r="CR65" i="33"/>
  <c r="CQ65" i="33"/>
  <c r="CQ76" i="33" s="1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Y73" i="33" s="1"/>
  <c r="CX62" i="33"/>
  <c r="CW62" i="33"/>
  <c r="CV62" i="33"/>
  <c r="CU62" i="33"/>
  <c r="CT62" i="33"/>
  <c r="CS62" i="33"/>
  <c r="CR62" i="33"/>
  <c r="CQ62" i="33"/>
  <c r="CQ73" i="33" s="1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Y72" i="33" s="1"/>
  <c r="CX61" i="33"/>
  <c r="CW61" i="33"/>
  <c r="CV61" i="33"/>
  <c r="CU61" i="33"/>
  <c r="CT61" i="33"/>
  <c r="CS61" i="33"/>
  <c r="CR61" i="33"/>
  <c r="CQ61" i="33"/>
  <c r="CQ72" i="33" s="1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Y71" i="33" s="1"/>
  <c r="CX60" i="33"/>
  <c r="CW60" i="33"/>
  <c r="CV60" i="33"/>
  <c r="CU60" i="33"/>
  <c r="CT60" i="33"/>
  <c r="CS60" i="33"/>
  <c r="CR60" i="33"/>
  <c r="CQ60" i="33"/>
  <c r="CQ71" i="33" s="1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Y70" i="33" s="1"/>
  <c r="CX59" i="33"/>
  <c r="CW59" i="33"/>
  <c r="CV59" i="33"/>
  <c r="CU59" i="33"/>
  <c r="CT59" i="33"/>
  <c r="CS59" i="33"/>
  <c r="CR59" i="33"/>
  <c r="CQ59" i="33"/>
  <c r="CQ70" i="33" s="1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R159" i="34" s="1"/>
  <c r="CQ107" i="34"/>
  <c r="CP107" i="34"/>
  <c r="CO107" i="34"/>
  <c r="CN107" i="34"/>
  <c r="CM107" i="34"/>
  <c r="CL107" i="34"/>
  <c r="CK107" i="34"/>
  <c r="CK159" i="34" s="1"/>
  <c r="CJ107" i="34"/>
  <c r="CJ159" i="34" s="1"/>
  <c r="CI107" i="34"/>
  <c r="CH107" i="34"/>
  <c r="CG107" i="34"/>
  <c r="CF107" i="34"/>
  <c r="CE107" i="34"/>
  <c r="CD107" i="34"/>
  <c r="CC107" i="34"/>
  <c r="CC159" i="34" s="1"/>
  <c r="CB107" i="34"/>
  <c r="CB159" i="34" s="1"/>
  <c r="CY106" i="34"/>
  <c r="CX106" i="34"/>
  <c r="CW106" i="34"/>
  <c r="CV106" i="34"/>
  <c r="CU106" i="34"/>
  <c r="CT106" i="34"/>
  <c r="CS106" i="34"/>
  <c r="CS158" i="34" s="1"/>
  <c r="CR106" i="34"/>
  <c r="CR158" i="34" s="1"/>
  <c r="CQ106" i="34"/>
  <c r="CP106" i="34"/>
  <c r="CO106" i="34"/>
  <c r="CN106" i="34"/>
  <c r="CM106" i="34"/>
  <c r="CL106" i="34"/>
  <c r="CK106" i="34"/>
  <c r="CK158" i="34" s="1"/>
  <c r="CJ106" i="34"/>
  <c r="CJ158" i="34" s="1"/>
  <c r="CI106" i="34"/>
  <c r="CH106" i="34"/>
  <c r="CG106" i="34"/>
  <c r="CF106" i="34"/>
  <c r="CE106" i="34"/>
  <c r="CD106" i="34"/>
  <c r="CC106" i="34"/>
  <c r="CC158" i="34" s="1"/>
  <c r="CB106" i="34"/>
  <c r="CB158" i="34" s="1"/>
  <c r="CY105" i="34"/>
  <c r="CX105" i="34"/>
  <c r="CW105" i="34"/>
  <c r="CV105" i="34"/>
  <c r="CU105" i="34"/>
  <c r="CT105" i="34"/>
  <c r="CS105" i="34"/>
  <c r="CS157" i="34" s="1"/>
  <c r="CR105" i="34"/>
  <c r="CR157" i="34" s="1"/>
  <c r="CQ105" i="34"/>
  <c r="CP105" i="34"/>
  <c r="CO105" i="34"/>
  <c r="CN105" i="34"/>
  <c r="CM105" i="34"/>
  <c r="CL105" i="34"/>
  <c r="CK105" i="34"/>
  <c r="CK157" i="34" s="1"/>
  <c r="CJ105" i="34"/>
  <c r="CJ157" i="34" s="1"/>
  <c r="CI105" i="34"/>
  <c r="CH105" i="34"/>
  <c r="CG105" i="34"/>
  <c r="CF105" i="34"/>
  <c r="CE105" i="34"/>
  <c r="CD105" i="34"/>
  <c r="CC105" i="34"/>
  <c r="CC157" i="34" s="1"/>
  <c r="CB105" i="34"/>
  <c r="CB157" i="34" s="1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R156" i="34" s="1"/>
  <c r="CQ103" i="34"/>
  <c r="CP103" i="34"/>
  <c r="CO103" i="34"/>
  <c r="CN103" i="34"/>
  <c r="CM103" i="34"/>
  <c r="CL103" i="34"/>
  <c r="CK103" i="34"/>
  <c r="CK156" i="34" s="1"/>
  <c r="CJ103" i="34"/>
  <c r="CJ156" i="34" s="1"/>
  <c r="CI103" i="34"/>
  <c r="CH103" i="34"/>
  <c r="CG103" i="34"/>
  <c r="CF103" i="34"/>
  <c r="CE103" i="34"/>
  <c r="CD103" i="34"/>
  <c r="CC103" i="34"/>
  <c r="CC156" i="34" s="1"/>
  <c r="CB103" i="34"/>
  <c r="CB156" i="34" s="1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R151" i="34" s="1"/>
  <c r="CQ98" i="34"/>
  <c r="CP98" i="34"/>
  <c r="CO98" i="34"/>
  <c r="CN98" i="34"/>
  <c r="CM98" i="34"/>
  <c r="CL98" i="34"/>
  <c r="CK98" i="34"/>
  <c r="CJ98" i="34"/>
  <c r="CJ151" i="34" s="1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123" i="34" s="1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D78" i="33" s="1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D77" i="33" s="1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D76" i="33" s="1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D75" i="33" s="1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E74" i="33" s="1"/>
  <c r="CD52" i="33"/>
  <c r="CD74" i="33" s="1"/>
  <c r="CC52" i="33"/>
  <c r="CB52" i="33"/>
  <c r="CY51" i="33"/>
  <c r="CX51" i="33"/>
  <c r="CW51" i="33"/>
  <c r="CV51" i="33"/>
  <c r="CU51" i="33"/>
  <c r="CU73" i="33" s="1"/>
  <c r="CT51" i="33"/>
  <c r="CT73" i="33" s="1"/>
  <c r="CS51" i="33"/>
  <c r="CR51" i="33"/>
  <c r="CQ51" i="33"/>
  <c r="CP51" i="33"/>
  <c r="CO51" i="33"/>
  <c r="CN51" i="33"/>
  <c r="CM51" i="33"/>
  <c r="CM73" i="33" s="1"/>
  <c r="CL51" i="33"/>
  <c r="CL73" i="33" s="1"/>
  <c r="CK51" i="33"/>
  <c r="CJ51" i="33"/>
  <c r="CI51" i="33"/>
  <c r="CH51" i="33"/>
  <c r="CG51" i="33"/>
  <c r="CF51" i="33"/>
  <c r="CE51" i="33"/>
  <c r="CE73" i="33" s="1"/>
  <c r="CD51" i="33"/>
  <c r="CD73" i="33" s="1"/>
  <c r="CC51" i="33"/>
  <c r="CB51" i="33"/>
  <c r="CY50" i="33"/>
  <c r="CX50" i="33"/>
  <c r="CW50" i="33"/>
  <c r="CV50" i="33"/>
  <c r="CU50" i="33"/>
  <c r="CU72" i="33" s="1"/>
  <c r="CT50" i="33"/>
  <c r="CS50" i="33"/>
  <c r="CR50" i="33"/>
  <c r="CQ50" i="33"/>
  <c r="CP50" i="33"/>
  <c r="CO50" i="33"/>
  <c r="CN50" i="33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D72" i="33" s="1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E71" i="33" s="1"/>
  <c r="CD49" i="33"/>
  <c r="CD71" i="33" s="1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P70" i="33" s="1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D70" i="33" s="1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T98" i="32" s="1"/>
  <c r="CS46" i="32"/>
  <c r="CR46" i="32"/>
  <c r="CQ46" i="32"/>
  <c r="CP46" i="32"/>
  <c r="CO46" i="32"/>
  <c r="CN46" i="32"/>
  <c r="CM46" i="32"/>
  <c r="CL46" i="32"/>
  <c r="CL98" i="32" s="1"/>
  <c r="CK46" i="32"/>
  <c r="CJ46" i="32"/>
  <c r="CI46" i="32"/>
  <c r="CH46" i="32"/>
  <c r="CG46" i="32"/>
  <c r="CF46" i="32"/>
  <c r="CE46" i="32"/>
  <c r="CE98" i="32" s="1"/>
  <c r="CD46" i="32"/>
  <c r="CD98" i="32" s="1"/>
  <c r="CC46" i="32"/>
  <c r="CB46" i="32"/>
  <c r="CY45" i="32"/>
  <c r="CX45" i="32"/>
  <c r="CW45" i="32"/>
  <c r="CV45" i="32"/>
  <c r="CU45" i="32"/>
  <c r="CU97" i="32" s="1"/>
  <c r="CT45" i="32"/>
  <c r="CT97" i="32" s="1"/>
  <c r="CS45" i="32"/>
  <c r="CR45" i="32"/>
  <c r="CQ45" i="32"/>
  <c r="CP45" i="32"/>
  <c r="CO45" i="32"/>
  <c r="CN45" i="32"/>
  <c r="CM45" i="32"/>
  <c r="CM97" i="32" s="1"/>
  <c r="CL45" i="32"/>
  <c r="CL97" i="32" s="1"/>
  <c r="CK45" i="32"/>
  <c r="CJ45" i="32"/>
  <c r="CI45" i="32"/>
  <c r="CH45" i="32"/>
  <c r="CG45" i="32"/>
  <c r="CF45" i="32"/>
  <c r="CE45" i="32"/>
  <c r="CE97" i="32" s="1"/>
  <c r="CD45" i="32"/>
  <c r="CD97" i="32" s="1"/>
  <c r="CC45" i="32"/>
  <c r="CB45" i="32"/>
  <c r="CY44" i="32"/>
  <c r="CX44" i="32"/>
  <c r="CW44" i="32"/>
  <c r="CV44" i="32"/>
  <c r="CU44" i="32"/>
  <c r="CT44" i="32"/>
  <c r="CT96" i="32" s="1"/>
  <c r="CS44" i="32"/>
  <c r="CR44" i="32"/>
  <c r="CQ44" i="32"/>
  <c r="CP44" i="32"/>
  <c r="CO44" i="32"/>
  <c r="CN44" i="32"/>
  <c r="CM44" i="32"/>
  <c r="CM96" i="32" s="1"/>
  <c r="CL44" i="32"/>
  <c r="CL96" i="32" s="1"/>
  <c r="CK44" i="32"/>
  <c r="CJ44" i="32"/>
  <c r="CI44" i="32"/>
  <c r="CH44" i="32"/>
  <c r="CG44" i="32"/>
  <c r="CF44" i="32"/>
  <c r="CE44" i="32"/>
  <c r="CE96" i="32" s="1"/>
  <c r="CD44" i="32"/>
  <c r="CD96" i="32" s="1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T95" i="32" s="1"/>
  <c r="CS42" i="32"/>
  <c r="CR42" i="32"/>
  <c r="CQ42" i="32"/>
  <c r="CP42" i="32"/>
  <c r="CO42" i="32"/>
  <c r="CN42" i="32"/>
  <c r="CM42" i="32"/>
  <c r="CM95" i="32" s="1"/>
  <c r="CL42" i="32"/>
  <c r="CL95" i="32" s="1"/>
  <c r="CK42" i="32"/>
  <c r="CJ42" i="32"/>
  <c r="CI42" i="32"/>
  <c r="CH42" i="32"/>
  <c r="CG42" i="32"/>
  <c r="CF42" i="32"/>
  <c r="CE42" i="32"/>
  <c r="CE95" i="32" s="1"/>
  <c r="CD42" i="32"/>
  <c r="CD95" i="32" s="1"/>
  <c r="CC42" i="32"/>
  <c r="CB42" i="32"/>
  <c r="CY41" i="32"/>
  <c r="CX41" i="32"/>
  <c r="CW41" i="32"/>
  <c r="CV41" i="32"/>
  <c r="CU41" i="32"/>
  <c r="CU94" i="32" s="1"/>
  <c r="CT41" i="32"/>
  <c r="CT94" i="32" s="1"/>
  <c r="CS41" i="32"/>
  <c r="CR41" i="32"/>
  <c r="CQ41" i="32"/>
  <c r="CP41" i="32"/>
  <c r="CO41" i="32"/>
  <c r="CN41" i="32"/>
  <c r="CM41" i="32"/>
  <c r="CM94" i="32" s="1"/>
  <c r="CL41" i="32"/>
  <c r="CL94" i="32" s="1"/>
  <c r="CK41" i="32"/>
  <c r="CJ41" i="32"/>
  <c r="CI41" i="32"/>
  <c r="CH41" i="32"/>
  <c r="CG41" i="32"/>
  <c r="CF41" i="32"/>
  <c r="CE41" i="32"/>
  <c r="CE94" i="32" s="1"/>
  <c r="CD41" i="32"/>
  <c r="CD94" i="32" s="1"/>
  <c r="CC41" i="32"/>
  <c r="CB41" i="32"/>
  <c r="CY40" i="32"/>
  <c r="CX40" i="32"/>
  <c r="CW40" i="32"/>
  <c r="CV40" i="32"/>
  <c r="CU40" i="32"/>
  <c r="CU93" i="32" s="1"/>
  <c r="CT40" i="32"/>
  <c r="CT93" i="32" s="1"/>
  <c r="CS40" i="32"/>
  <c r="CR40" i="32"/>
  <c r="CQ40" i="32"/>
  <c r="CP40" i="32"/>
  <c r="CO40" i="32"/>
  <c r="CN40" i="32"/>
  <c r="CM40" i="32"/>
  <c r="CM93" i="32" s="1"/>
  <c r="CL40" i="32"/>
  <c r="CL93" i="32" s="1"/>
  <c r="CK40" i="32"/>
  <c r="CJ40" i="32"/>
  <c r="CI40" i="32"/>
  <c r="CH40" i="32"/>
  <c r="CG40" i="32"/>
  <c r="CF40" i="32"/>
  <c r="CE40" i="32"/>
  <c r="CE93" i="32" s="1"/>
  <c r="CD40" i="32"/>
  <c r="CD93" i="32" s="1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T90" i="32" s="1"/>
  <c r="CS37" i="32"/>
  <c r="CR37" i="32"/>
  <c r="CQ37" i="32"/>
  <c r="CP37" i="32"/>
  <c r="CO37" i="32"/>
  <c r="CN37" i="32"/>
  <c r="CM37" i="32"/>
  <c r="CM90" i="32" s="1"/>
  <c r="CL37" i="32"/>
  <c r="CL90" i="32" s="1"/>
  <c r="CK37" i="32"/>
  <c r="CJ37" i="32"/>
  <c r="CI37" i="32"/>
  <c r="CH37" i="32"/>
  <c r="CG37" i="32"/>
  <c r="CF37" i="32"/>
  <c r="CE37" i="32"/>
  <c r="CD37" i="32"/>
  <c r="CD90" i="32" s="1"/>
  <c r="CC37" i="32"/>
  <c r="CB37" i="32"/>
  <c r="CY13" i="32"/>
  <c r="CX13" i="32"/>
  <c r="CW13" i="32"/>
  <c r="CV13" i="32"/>
  <c r="CU13" i="32"/>
  <c r="CT13" i="32"/>
  <c r="CT24" i="32" s="1"/>
  <c r="CT80" i="32" s="1"/>
  <c r="CS13" i="32"/>
  <c r="CR13" i="32"/>
  <c r="CQ13" i="32"/>
  <c r="CP13" i="32"/>
  <c r="CO13" i="32"/>
  <c r="CN13" i="32"/>
  <c r="CM13" i="32"/>
  <c r="CL13" i="32"/>
  <c r="CL24" i="32" s="1"/>
  <c r="CK13" i="32"/>
  <c r="CJ13" i="32"/>
  <c r="CI13" i="32"/>
  <c r="CH13" i="32"/>
  <c r="CG13" i="32"/>
  <c r="CF13" i="32"/>
  <c r="CE13" i="32"/>
  <c r="CD13" i="32"/>
  <c r="CD24" i="32" s="1"/>
  <c r="CD80" i="32" s="1"/>
  <c r="CC13" i="32"/>
  <c r="CB13" i="32"/>
  <c r="BZ13" i="32"/>
  <c r="CY12" i="32"/>
  <c r="CX12" i="32"/>
  <c r="CW12" i="32"/>
  <c r="CV12" i="32"/>
  <c r="CU12" i="32"/>
  <c r="CU23" i="32" s="1"/>
  <c r="CT12" i="32"/>
  <c r="CS12" i="32"/>
  <c r="CR12" i="32"/>
  <c r="CQ12" i="32"/>
  <c r="CP12" i="32"/>
  <c r="CO12" i="32"/>
  <c r="CN12" i="32"/>
  <c r="CM12" i="32"/>
  <c r="CM23" i="32" s="1"/>
  <c r="CL12" i="32"/>
  <c r="CK12" i="32"/>
  <c r="CJ12" i="32"/>
  <c r="CI12" i="32"/>
  <c r="CH12" i="32"/>
  <c r="CG12" i="32"/>
  <c r="CF12" i="32"/>
  <c r="CE12" i="32"/>
  <c r="CE23" i="32" s="1"/>
  <c r="CD12" i="32"/>
  <c r="CC12" i="32"/>
  <c r="CB12" i="32"/>
  <c r="BZ12" i="32"/>
  <c r="CY11" i="32"/>
  <c r="CX11" i="32"/>
  <c r="CW11" i="32"/>
  <c r="CW22" i="32" s="1"/>
  <c r="CW78" i="32" s="1"/>
  <c r="CV11" i="32"/>
  <c r="CV22" i="32" s="1"/>
  <c r="CU11" i="32"/>
  <c r="CT11" i="32"/>
  <c r="CS11" i="32"/>
  <c r="CR11" i="32"/>
  <c r="CQ11" i="32"/>
  <c r="CP11" i="32"/>
  <c r="CO11" i="32"/>
  <c r="CN11" i="32"/>
  <c r="CN22" i="32" s="1"/>
  <c r="CM11" i="32"/>
  <c r="CL11" i="32"/>
  <c r="CK11" i="32"/>
  <c r="CJ11" i="32"/>
  <c r="CI11" i="32"/>
  <c r="CH11" i="32"/>
  <c r="CG11" i="32"/>
  <c r="CG22" i="32" s="1"/>
  <c r="CG78" i="32" s="1"/>
  <c r="CF11" i="32"/>
  <c r="CF22" i="32" s="1"/>
  <c r="CE11" i="32"/>
  <c r="CD11" i="32"/>
  <c r="CC11" i="32"/>
  <c r="CB11" i="32"/>
  <c r="BZ11" i="32"/>
  <c r="CY10" i="32"/>
  <c r="CX10" i="32"/>
  <c r="CW10" i="32"/>
  <c r="CW21" i="32" s="1"/>
  <c r="CW77" i="32" s="1"/>
  <c r="CV10" i="32"/>
  <c r="CU10" i="32"/>
  <c r="CT10" i="32"/>
  <c r="CS10" i="32"/>
  <c r="CR10" i="32"/>
  <c r="CQ10" i="32"/>
  <c r="CP10" i="32"/>
  <c r="CP21" i="32" s="1"/>
  <c r="CP77" i="32" s="1"/>
  <c r="CO10" i="32"/>
  <c r="CO21" i="32" s="1"/>
  <c r="CO66" i="32" s="1"/>
  <c r="CO112" i="32" s="1"/>
  <c r="CN10" i="32"/>
  <c r="CM10" i="32"/>
  <c r="CL10" i="32"/>
  <c r="CK10" i="32"/>
  <c r="CJ10" i="32"/>
  <c r="CI10" i="32"/>
  <c r="CH10" i="32"/>
  <c r="CG10" i="32"/>
  <c r="CG21" i="32" s="1"/>
  <c r="CG77" i="32" s="1"/>
  <c r="CF10" i="32"/>
  <c r="CE10" i="32"/>
  <c r="CD10" i="32"/>
  <c r="CC10" i="32"/>
  <c r="CB10" i="32"/>
  <c r="BZ10" i="32"/>
  <c r="CY9" i="32"/>
  <c r="CY20" i="32" s="1"/>
  <c r="CX9" i="32"/>
  <c r="CX20" i="32" s="1"/>
  <c r="CX65" i="32" s="1"/>
  <c r="CX111" i="32" s="1"/>
  <c r="CW9" i="32"/>
  <c r="CV9" i="32"/>
  <c r="CU9" i="32"/>
  <c r="CT9" i="32"/>
  <c r="CS9" i="32"/>
  <c r="CR9" i="32"/>
  <c r="CQ9" i="32"/>
  <c r="CQ20" i="32" s="1"/>
  <c r="CP9" i="32"/>
  <c r="CP20" i="32" s="1"/>
  <c r="CP76" i="32" s="1"/>
  <c r="CO9" i="32"/>
  <c r="CN9" i="32"/>
  <c r="CM9" i="32"/>
  <c r="CL9" i="32"/>
  <c r="CK9" i="32"/>
  <c r="CJ9" i="32"/>
  <c r="CI9" i="32"/>
  <c r="CI20" i="32" s="1"/>
  <c r="CH9" i="32"/>
  <c r="CH20" i="32" s="1"/>
  <c r="CH65" i="32" s="1"/>
  <c r="CH111" i="32" s="1"/>
  <c r="CG9" i="32"/>
  <c r="CF9" i="32"/>
  <c r="CE9" i="32"/>
  <c r="CD9" i="32"/>
  <c r="CC9" i="32"/>
  <c r="CB9" i="32"/>
  <c r="BZ9" i="32"/>
  <c r="CY8" i="32"/>
  <c r="CY19" i="32" s="1"/>
  <c r="CX8" i="32"/>
  <c r="CW8" i="32"/>
  <c r="CV8" i="32"/>
  <c r="CU8" i="32"/>
  <c r="CT8" i="32"/>
  <c r="CS8" i="32"/>
  <c r="CS19" i="32" s="1"/>
  <c r="CS64" i="32" s="1"/>
  <c r="CS110" i="32" s="1"/>
  <c r="CR8" i="32"/>
  <c r="CR19" i="32" s="1"/>
  <c r="CR64" i="32" s="1"/>
  <c r="CR110" i="32" s="1"/>
  <c r="CQ8" i="32"/>
  <c r="CQ19" i="32" s="1"/>
  <c r="CP8" i="32"/>
  <c r="CO8" i="32"/>
  <c r="CN8" i="32"/>
  <c r="CM8" i="32"/>
  <c r="CL8" i="32"/>
  <c r="CK8" i="32"/>
  <c r="CK19" i="32" s="1"/>
  <c r="CJ8" i="32"/>
  <c r="CJ19" i="32" s="1"/>
  <c r="CI8" i="32"/>
  <c r="CI19" i="32" s="1"/>
  <c r="CH8" i="32"/>
  <c r="CG8" i="32"/>
  <c r="CF8" i="32"/>
  <c r="CE8" i="32"/>
  <c r="CD8" i="32"/>
  <c r="CC8" i="32"/>
  <c r="CC19" i="32" s="1"/>
  <c r="CC64" i="32" s="1"/>
  <c r="CC110" i="32" s="1"/>
  <c r="CB8" i="32"/>
  <c r="CB19" i="32" s="1"/>
  <c r="BZ8" i="32"/>
  <c r="CY7" i="32"/>
  <c r="CX7" i="32"/>
  <c r="CW7" i="32"/>
  <c r="CV7" i="32"/>
  <c r="CU7" i="32"/>
  <c r="CT7" i="32"/>
  <c r="CS7" i="32"/>
  <c r="CS18" i="32" s="1"/>
  <c r="CR7" i="32"/>
  <c r="CR18" i="32" s="1"/>
  <c r="CR63" i="32" s="1"/>
  <c r="CR109" i="32" s="1"/>
  <c r="CQ7" i="32"/>
  <c r="CP7" i="32"/>
  <c r="CO7" i="32"/>
  <c r="CN7" i="32"/>
  <c r="CM7" i="32"/>
  <c r="CL7" i="32"/>
  <c r="CK7" i="32"/>
  <c r="CK18" i="32" s="1"/>
  <c r="CK63" i="32" s="1"/>
  <c r="CK109" i="32" s="1"/>
  <c r="CJ7" i="32"/>
  <c r="CJ18" i="32" s="1"/>
  <c r="CI7" i="32"/>
  <c r="CH7" i="32"/>
  <c r="CG7" i="32"/>
  <c r="CF7" i="32"/>
  <c r="CE7" i="32"/>
  <c r="CD7" i="32"/>
  <c r="CC7" i="32"/>
  <c r="CC18" i="32" s="1"/>
  <c r="CB7" i="32"/>
  <c r="CB18" i="32" s="1"/>
  <c r="CB63" i="32" s="1"/>
  <c r="CB109" i="32" s="1"/>
  <c r="BZ7" i="32"/>
  <c r="CY6" i="32"/>
  <c r="CX6" i="32"/>
  <c r="CW6" i="32"/>
  <c r="CV6" i="32"/>
  <c r="CV17" i="32" s="1"/>
  <c r="CU6" i="32"/>
  <c r="CU17" i="32" s="1"/>
  <c r="CT6" i="32"/>
  <c r="CS6" i="32"/>
  <c r="CS17" i="32" s="1"/>
  <c r="CR6" i="32"/>
  <c r="CR17" i="32" s="1"/>
  <c r="CQ6" i="32"/>
  <c r="CP6" i="32"/>
  <c r="CO6" i="32"/>
  <c r="CO92" i="32" s="1"/>
  <c r="CN6" i="32"/>
  <c r="CN92" i="32" s="1"/>
  <c r="CM6" i="32"/>
  <c r="CM17" i="32" s="1"/>
  <c r="CL6" i="32"/>
  <c r="CK6" i="32"/>
  <c r="CK92" i="32" s="1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C6" i="32"/>
  <c r="CC92" i="32" s="1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T16" i="32" s="1"/>
  <c r="CS5" i="32"/>
  <c r="CR5" i="32"/>
  <c r="CQ5" i="32"/>
  <c r="CP5" i="32"/>
  <c r="CO5" i="32"/>
  <c r="CN5" i="32"/>
  <c r="CN91" i="32" s="1"/>
  <c r="CM5" i="32"/>
  <c r="CL5" i="32"/>
  <c r="CL16" i="32" s="1"/>
  <c r="CK5" i="32"/>
  <c r="CJ5" i="32"/>
  <c r="CI5" i="32"/>
  <c r="CH5" i="32"/>
  <c r="CH91" i="32" s="1"/>
  <c r="CG5" i="32"/>
  <c r="CG16" i="32" s="1"/>
  <c r="CG61" i="32" s="1"/>
  <c r="CG107" i="32" s="1"/>
  <c r="CF5" i="32"/>
  <c r="CF91" i="32" s="1"/>
  <c r="CE5" i="32"/>
  <c r="CD5" i="32"/>
  <c r="CD16" i="32" s="1"/>
  <c r="CC5" i="32"/>
  <c r="CC16" i="32" s="1"/>
  <c r="CB5" i="32"/>
  <c r="BZ5" i="32"/>
  <c r="CY4" i="32"/>
  <c r="CY90" i="32" s="1"/>
  <c r="CX4" i="32"/>
  <c r="CX90" i="32" s="1"/>
  <c r="CW4" i="32"/>
  <c r="CW90" i="32" s="1"/>
  <c r="CV4" i="32"/>
  <c r="CV90" i="32" s="1"/>
  <c r="CU4" i="32"/>
  <c r="CU15" i="32" s="1"/>
  <c r="CT4" i="32"/>
  <c r="CT15" i="32" s="1"/>
  <c r="CS4" i="32"/>
  <c r="CR4" i="32"/>
  <c r="CQ4" i="32"/>
  <c r="CP4" i="32"/>
  <c r="CP15" i="32" s="1"/>
  <c r="CO4" i="32"/>
  <c r="CO15" i="32" s="1"/>
  <c r="CN4" i="32"/>
  <c r="CM4" i="32"/>
  <c r="CM15" i="32" s="1"/>
  <c r="CL4" i="32"/>
  <c r="CK4" i="32"/>
  <c r="CJ4" i="32"/>
  <c r="CI4" i="32"/>
  <c r="CH4" i="32"/>
  <c r="CG4" i="32"/>
  <c r="CG90" i="32" s="1"/>
  <c r="CF4" i="32"/>
  <c r="CF90" i="32" s="1"/>
  <c r="CE4" i="32"/>
  <c r="CE15" i="32" s="1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W26" i="31" s="1"/>
  <c r="W30" i="31" s="1"/>
  <c r="V123" i="31"/>
  <c r="U123" i="31"/>
  <c r="T123" i="31"/>
  <c r="S123" i="31"/>
  <c r="R123" i="31"/>
  <c r="Q123" i="31"/>
  <c r="P123" i="31"/>
  <c r="P25" i="31" s="1"/>
  <c r="O123" i="31"/>
  <c r="O26" i="31" s="1"/>
  <c r="O30" i="31" s="1"/>
  <c r="N123" i="31"/>
  <c r="M123" i="31"/>
  <c r="L123" i="31"/>
  <c r="K123" i="31"/>
  <c r="J123" i="31"/>
  <c r="I123" i="31"/>
  <c r="H123" i="31"/>
  <c r="G123" i="31"/>
  <c r="G26" i="31" s="1"/>
  <c r="G30" i="31" s="1"/>
  <c r="F123" i="31"/>
  <c r="E123" i="31"/>
  <c r="D123" i="31"/>
  <c r="C123" i="31"/>
  <c r="AA119" i="31"/>
  <c r="V119" i="31" s="1"/>
  <c r="F119" i="31"/>
  <c r="AA118" i="31"/>
  <c r="AA117" i="31"/>
  <c r="H117" i="31" s="1"/>
  <c r="AA116" i="31"/>
  <c r="K116" i="31" s="1"/>
  <c r="AA115" i="31"/>
  <c r="Y115" i="31" s="1"/>
  <c r="AA114" i="31"/>
  <c r="AA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R152" i="34" s="1"/>
  <c r="BQ99" i="34"/>
  <c r="BQ152" i="34" s="1"/>
  <c r="BP99" i="34"/>
  <c r="BO99" i="34"/>
  <c r="BN99" i="34"/>
  <c r="BM99" i="34"/>
  <c r="BL99" i="34"/>
  <c r="BK99" i="34"/>
  <c r="BJ99" i="34"/>
  <c r="BJ152" i="34" s="1"/>
  <c r="BI99" i="34"/>
  <c r="BI152" i="34" s="1"/>
  <c r="BH99" i="34"/>
  <c r="BG99" i="34"/>
  <c r="BF99" i="34"/>
  <c r="BE99" i="34"/>
  <c r="BD99" i="34"/>
  <c r="BC99" i="34"/>
  <c r="BB99" i="34"/>
  <c r="BB152" i="34" s="1"/>
  <c r="BA99" i="34"/>
  <c r="BA152" i="34" s="1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E76" i="33" s="1"/>
  <c r="BD65" i="33"/>
  <c r="BC65" i="33"/>
  <c r="BB65" i="33"/>
  <c r="BA65" i="33"/>
  <c r="AZ65" i="33"/>
  <c r="AY65" i="33"/>
  <c r="AX65" i="33"/>
  <c r="AW65" i="33"/>
  <c r="AW76" i="33" s="1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E75" i="33" s="1"/>
  <c r="BD64" i="33"/>
  <c r="BC64" i="33"/>
  <c r="BB64" i="33"/>
  <c r="BA64" i="33"/>
  <c r="AZ64" i="33"/>
  <c r="AY64" i="33"/>
  <c r="AX64" i="33"/>
  <c r="AW64" i="33"/>
  <c r="AW75" i="33" s="1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E72" i="33" s="1"/>
  <c r="BD61" i="33"/>
  <c r="BC61" i="33"/>
  <c r="BB61" i="33"/>
  <c r="BA61" i="33"/>
  <c r="AZ61" i="33"/>
  <c r="AY61" i="33"/>
  <c r="AY72" i="33" s="1"/>
  <c r="AX61" i="33"/>
  <c r="AW61" i="33"/>
  <c r="AW72" i="33" s="1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R78" i="33" s="1"/>
  <c r="BQ56" i="33"/>
  <c r="BP56" i="33"/>
  <c r="BO56" i="33"/>
  <c r="BN56" i="33"/>
  <c r="BM56" i="33"/>
  <c r="BL56" i="33"/>
  <c r="BK56" i="33"/>
  <c r="BJ56" i="33"/>
  <c r="BJ78" i="33" s="1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R55" i="33"/>
  <c r="BR77" i="33" s="1"/>
  <c r="BQ55" i="33"/>
  <c r="BP55" i="33"/>
  <c r="BO55" i="33"/>
  <c r="BN55" i="33"/>
  <c r="BM55" i="33"/>
  <c r="BL55" i="33"/>
  <c r="BK55" i="33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R54" i="33"/>
  <c r="BR76" i="33" s="1"/>
  <c r="BQ54" i="33"/>
  <c r="BP54" i="33"/>
  <c r="BO54" i="33"/>
  <c r="BN54" i="33"/>
  <c r="BM54" i="33"/>
  <c r="BL54" i="33"/>
  <c r="BK54" i="33"/>
  <c r="BJ54" i="33"/>
  <c r="BJ76" i="33" s="1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R53" i="33"/>
  <c r="BR75" i="33" s="1"/>
  <c r="BQ53" i="33"/>
  <c r="BP53" i="33"/>
  <c r="BO53" i="33"/>
  <c r="BN53" i="33"/>
  <c r="BM53" i="33"/>
  <c r="BL53" i="33"/>
  <c r="BK53" i="33"/>
  <c r="BJ53" i="33"/>
  <c r="BJ75" i="33" s="1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R74" i="33" s="1"/>
  <c r="BQ52" i="33"/>
  <c r="BP52" i="33"/>
  <c r="BO52" i="33"/>
  <c r="BN52" i="33"/>
  <c r="BN74" i="33" s="1"/>
  <c r="BM52" i="33"/>
  <c r="BL52" i="33"/>
  <c r="BK52" i="33"/>
  <c r="BJ52" i="33"/>
  <c r="BJ74" i="33" s="1"/>
  <c r="BI52" i="33"/>
  <c r="BH52" i="33"/>
  <c r="BG52" i="33"/>
  <c r="BF52" i="33"/>
  <c r="BE52" i="33"/>
  <c r="BD52" i="33"/>
  <c r="BD74" i="33" s="1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AV74" i="33" s="1"/>
  <c r="BS51" i="33"/>
  <c r="BR51" i="33"/>
  <c r="BR73" i="33" s="1"/>
  <c r="BQ51" i="33"/>
  <c r="BP51" i="33"/>
  <c r="BP73" i="33" s="1"/>
  <c r="BO51" i="33"/>
  <c r="BN51" i="33"/>
  <c r="BM51" i="33"/>
  <c r="BM73" i="33" s="1"/>
  <c r="BL51" i="33"/>
  <c r="BK51" i="33"/>
  <c r="BJ51" i="33"/>
  <c r="BJ73" i="33" s="1"/>
  <c r="BI51" i="33"/>
  <c r="BH51" i="33"/>
  <c r="BG51" i="33"/>
  <c r="BF51" i="33"/>
  <c r="BE51" i="33"/>
  <c r="BD51" i="33"/>
  <c r="BD73" i="33" s="1"/>
  <c r="BC51" i="33"/>
  <c r="BC73" i="33" s="1"/>
  <c r="BB51" i="33"/>
  <c r="BA51" i="33"/>
  <c r="AZ51" i="33"/>
  <c r="AY51" i="33"/>
  <c r="AX51" i="33"/>
  <c r="AX73" i="33" s="1"/>
  <c r="AW51" i="33"/>
  <c r="AV51" i="33"/>
  <c r="AV73" i="33" s="1"/>
  <c r="BS50" i="33"/>
  <c r="BR50" i="33"/>
  <c r="BR72" i="33" s="1"/>
  <c r="BQ50" i="33"/>
  <c r="BP50" i="33"/>
  <c r="BO50" i="33"/>
  <c r="BN50" i="33"/>
  <c r="BM50" i="33"/>
  <c r="BL50" i="33"/>
  <c r="BK50" i="33"/>
  <c r="BJ50" i="33"/>
  <c r="BJ72" i="33" s="1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R49" i="33"/>
  <c r="BR71" i="33" s="1"/>
  <c r="BQ49" i="33"/>
  <c r="BP49" i="33"/>
  <c r="BO49" i="33"/>
  <c r="BO71" i="33" s="1"/>
  <c r="BN49" i="33"/>
  <c r="BM49" i="33"/>
  <c r="BL49" i="33"/>
  <c r="BK49" i="33"/>
  <c r="BJ49" i="33"/>
  <c r="BJ71" i="33" s="1"/>
  <c r="BI49" i="33"/>
  <c r="BH49" i="33"/>
  <c r="BH60" i="33" s="1"/>
  <c r="BH71" i="33" s="1"/>
  <c r="BG49" i="33"/>
  <c r="BF49" i="33"/>
  <c r="BE49" i="33"/>
  <c r="BD49" i="33"/>
  <c r="BD71" i="33" s="1"/>
  <c r="BC49" i="33"/>
  <c r="BC71" i="33" s="1"/>
  <c r="BB49" i="33"/>
  <c r="BA49" i="33"/>
  <c r="AZ49" i="33"/>
  <c r="AY49" i="33"/>
  <c r="AX49" i="33"/>
  <c r="AW49" i="33"/>
  <c r="AV49" i="33"/>
  <c r="AV71" i="33" s="1"/>
  <c r="BS48" i="33"/>
  <c r="BR48" i="33"/>
  <c r="BR70" i="33" s="1"/>
  <c r="BQ48" i="33"/>
  <c r="BP48" i="33"/>
  <c r="BO48" i="33"/>
  <c r="BN48" i="33"/>
  <c r="BN70" i="33" s="1"/>
  <c r="BM48" i="33"/>
  <c r="BL48" i="33"/>
  <c r="BK48" i="33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D40" i="32"/>
  <c r="BD93" i="32" s="1"/>
  <c r="BC40" i="32"/>
  <c r="BC93" i="32" s="1"/>
  <c r="BB40" i="32"/>
  <c r="BA40" i="32"/>
  <c r="AZ40" i="32"/>
  <c r="AY40" i="32"/>
  <c r="AX40" i="32"/>
  <c r="AW40" i="32"/>
  <c r="AV40" i="32"/>
  <c r="AV93" i="32" s="1"/>
  <c r="BS39" i="32"/>
  <c r="BS92" i="32" s="1"/>
  <c r="BR39" i="32"/>
  <c r="BQ39" i="32"/>
  <c r="BP39" i="32"/>
  <c r="BO39" i="32"/>
  <c r="BN39" i="32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O38" i="32"/>
  <c r="BN38" i="32"/>
  <c r="BM38" i="32"/>
  <c r="BL38" i="32"/>
  <c r="BL91" i="32" s="1"/>
  <c r="BK38" i="32"/>
  <c r="BJ38" i="32"/>
  <c r="BI38" i="32"/>
  <c r="BH38" i="32"/>
  <c r="BG38" i="32"/>
  <c r="BF38" i="32"/>
  <c r="BE38" i="32"/>
  <c r="BD38" i="32"/>
  <c r="BD91" i="32" s="1"/>
  <c r="BC38" i="32"/>
  <c r="BB38" i="32"/>
  <c r="BA38" i="32"/>
  <c r="AZ38" i="32"/>
  <c r="AY38" i="32"/>
  <c r="AX38" i="32"/>
  <c r="AW38" i="32"/>
  <c r="AV38" i="32"/>
  <c r="AV91" i="32" s="1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V10" i="32"/>
  <c r="BS9" i="32"/>
  <c r="BR9" i="32"/>
  <c r="BQ9" i="32"/>
  <c r="BP9" i="32"/>
  <c r="BP20" i="32" s="1"/>
  <c r="BO9" i="32"/>
  <c r="BO20" i="32" s="1"/>
  <c r="BO76" i="32" s="1"/>
  <c r="BN9" i="32"/>
  <c r="BN20" i="32" s="1"/>
  <c r="BN65" i="32" s="1"/>
  <c r="BN111" i="32" s="1"/>
  <c r="BM9" i="32"/>
  <c r="BL9" i="32"/>
  <c r="BK9" i="32"/>
  <c r="BJ9" i="32"/>
  <c r="BI9" i="32"/>
  <c r="BH9" i="32"/>
  <c r="BG9" i="32"/>
  <c r="BG20" i="32" s="1"/>
  <c r="BG76" i="32" s="1"/>
  <c r="BF9" i="32"/>
  <c r="BF20" i="32" s="1"/>
  <c r="BF65" i="32" s="1"/>
  <c r="BF111" i="32" s="1"/>
  <c r="BE9" i="32"/>
  <c r="BE20" i="32" s="1"/>
  <c r="BD9" i="32"/>
  <c r="BC9" i="32"/>
  <c r="BB9" i="32"/>
  <c r="BA9" i="32"/>
  <c r="AZ9" i="32"/>
  <c r="AZ20" i="32" s="1"/>
  <c r="AY9" i="32"/>
  <c r="AY20" i="32" s="1"/>
  <c r="AY76" i="32" s="1"/>
  <c r="AX9" i="32"/>
  <c r="AX20" i="32" s="1"/>
  <c r="AX65" i="32" s="1"/>
  <c r="AX111" i="32" s="1"/>
  <c r="AW9" i="32"/>
  <c r="AV9" i="32"/>
  <c r="AV20" i="32" s="1"/>
  <c r="BS8" i="32"/>
  <c r="BR8" i="32"/>
  <c r="BQ8" i="32"/>
  <c r="BQ94" i="32" s="1"/>
  <c r="BP8" i="32"/>
  <c r="BP19" i="32" s="1"/>
  <c r="BO8" i="32"/>
  <c r="BO94" i="32" s="1"/>
  <c r="BN8" i="32"/>
  <c r="BN19" i="32" s="1"/>
  <c r="BN75" i="32" s="1"/>
  <c r="BM8" i="32"/>
  <c r="BL8" i="32"/>
  <c r="BL19" i="32" s="1"/>
  <c r="BK8" i="32"/>
  <c r="BJ8" i="32"/>
  <c r="BI8" i="32"/>
  <c r="BI19" i="32" s="1"/>
  <c r="BH8" i="32"/>
  <c r="BH19" i="32" s="1"/>
  <c r="BG8" i="32"/>
  <c r="BG19" i="32" s="1"/>
  <c r="BG75" i="32" s="1"/>
  <c r="BF8" i="32"/>
  <c r="BF19" i="32" s="1"/>
  <c r="BF64" i="32" s="1"/>
  <c r="BF110" i="32" s="1"/>
  <c r="BE8" i="32"/>
  <c r="BE19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X94" i="32" s="1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I109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Q92" i="32" s="1"/>
  <c r="BP6" i="32"/>
  <c r="BP92" i="32" s="1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F16" i="32" s="1"/>
  <c r="BE5" i="32"/>
  <c r="BD5" i="32"/>
  <c r="BD16" i="32" s="1"/>
  <c r="BC5" i="32"/>
  <c r="BB5" i="32"/>
  <c r="BA5" i="32"/>
  <c r="BA16" i="32" s="1"/>
  <c r="AZ5" i="32"/>
  <c r="AZ16" i="32" s="1"/>
  <c r="AY5" i="32"/>
  <c r="AX5" i="32"/>
  <c r="AX16" i="32" s="1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I90" i="32" s="1"/>
  <c r="BH4" i="32"/>
  <c r="BH90" i="32" s="1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E72" i="31" s="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Q9" i="31" s="1"/>
  <c r="P81" i="31"/>
  <c r="O81" i="31"/>
  <c r="O5" i="31" s="1"/>
  <c r="O9" i="31" s="1"/>
  <c r="N81" i="31"/>
  <c r="N20" i="31" s="1"/>
  <c r="N21" i="31" s="1"/>
  <c r="N7" i="31" s="1"/>
  <c r="N12" i="31" s="1"/>
  <c r="M81" i="31"/>
  <c r="L81" i="31"/>
  <c r="K81" i="31"/>
  <c r="J81" i="31"/>
  <c r="I81" i="31"/>
  <c r="H81" i="31"/>
  <c r="G81" i="31"/>
  <c r="F81" i="31"/>
  <c r="E81" i="31"/>
  <c r="D81" i="31"/>
  <c r="D5" i="31" s="1"/>
  <c r="D9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AA72" i="31"/>
  <c r="Z72" i="31" s="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Q159" i="34"/>
  <c r="CP159" i="34"/>
  <c r="CO159" i="34"/>
  <c r="CN159" i="34"/>
  <c r="CM159" i="34"/>
  <c r="CL159" i="34"/>
  <c r="CI159" i="34"/>
  <c r="CH159" i="34"/>
  <c r="CG159" i="34"/>
  <c r="CF159" i="34"/>
  <c r="CE159" i="34"/>
  <c r="CD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Q158" i="34"/>
  <c r="CP158" i="34"/>
  <c r="CO158" i="34"/>
  <c r="CN158" i="34"/>
  <c r="CM158" i="34"/>
  <c r="CL158" i="34"/>
  <c r="CI158" i="34"/>
  <c r="CH158" i="34"/>
  <c r="CG158" i="34"/>
  <c r="CF158" i="34"/>
  <c r="CE158" i="34"/>
  <c r="CD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Q157" i="34"/>
  <c r="CP157" i="34"/>
  <c r="CO157" i="34"/>
  <c r="CN157" i="34"/>
  <c r="CM157" i="34"/>
  <c r="CL157" i="34"/>
  <c r="CI157" i="34"/>
  <c r="CH157" i="34"/>
  <c r="CG157" i="34"/>
  <c r="CF157" i="34"/>
  <c r="CE157" i="34"/>
  <c r="CD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Q156" i="34"/>
  <c r="CP156" i="34"/>
  <c r="CO156" i="34"/>
  <c r="CN156" i="34"/>
  <c r="CM156" i="34"/>
  <c r="CL156" i="34"/>
  <c r="CI156" i="34"/>
  <c r="CH156" i="34"/>
  <c r="CG156" i="34"/>
  <c r="CF156" i="34"/>
  <c r="CE156" i="34"/>
  <c r="CD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BM155" i="34"/>
  <c r="BK155" i="34"/>
  <c r="BJ155" i="34"/>
  <c r="BH155" i="34"/>
  <c r="BG155" i="34"/>
  <c r="BF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BO154" i="34"/>
  <c r="BN154" i="34"/>
  <c r="BM154" i="34"/>
  <c r="BK154" i="34"/>
  <c r="BH154" i="34"/>
  <c r="BG154" i="34"/>
  <c r="BF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S152" i="34"/>
  <c r="BP152" i="34"/>
  <c r="BO152" i="34"/>
  <c r="BN152" i="34"/>
  <c r="BM152" i="34"/>
  <c r="BL152" i="34"/>
  <c r="BK152" i="34"/>
  <c r="BH152" i="34"/>
  <c r="BG152" i="34"/>
  <c r="BF152" i="34"/>
  <c r="BE152" i="34"/>
  <c r="BD152" i="34"/>
  <c r="BC152" i="34"/>
  <c r="AZ152" i="34"/>
  <c r="AY152" i="34"/>
  <c r="AX152" i="34"/>
  <c r="AW152" i="34"/>
  <c r="AV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CT151" i="34"/>
  <c r="CS151" i="34"/>
  <c r="CQ151" i="34"/>
  <c r="CP151" i="34"/>
  <c r="CO151" i="34"/>
  <c r="CN151" i="34"/>
  <c r="CM151" i="34"/>
  <c r="CL151" i="34"/>
  <c r="CK151" i="34"/>
  <c r="CI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AU91" i="34"/>
  <c r="BC91" i="34" s="1"/>
  <c r="AT155" i="34"/>
  <c r="DD90" i="34"/>
  <c r="DX90" i="34" s="1"/>
  <c r="CA90" i="34"/>
  <c r="AU90" i="34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W273" i="33"/>
  <c r="AM217" i="34" s="1"/>
  <c r="W272" i="33"/>
  <c r="AM216" i="34" s="1"/>
  <c r="W271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BD77" i="33"/>
  <c r="AV77" i="33"/>
  <c r="EB76" i="33"/>
  <c r="DT76" i="33"/>
  <c r="CS76" i="33"/>
  <c r="CK76" i="33"/>
  <c r="AZ76" i="33"/>
  <c r="EA75" i="33"/>
  <c r="DU75" i="33"/>
  <c r="CW75" i="33"/>
  <c r="BN75" i="33"/>
  <c r="BI75" i="33"/>
  <c r="BA75" i="33"/>
  <c r="DT74" i="33"/>
  <c r="DO74" i="33"/>
  <c r="CV74" i="33"/>
  <c r="CP74" i="33"/>
  <c r="BP74" i="33"/>
  <c r="BB73" i="33"/>
  <c r="DG72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F72" i="33"/>
  <c r="BP72" i="33"/>
  <c r="BH61" i="33"/>
  <c r="BH72" i="33" s="1"/>
  <c r="DG71" i="33"/>
  <c r="CM71" i="33"/>
  <c r="CF71" i="33"/>
  <c r="BP71" i="33"/>
  <c r="BB71" i="33"/>
  <c r="AX71" i="33"/>
  <c r="DG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BO78" i="33"/>
  <c r="BN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X76" i="33"/>
  <c r="CW76" i="33"/>
  <c r="CV76" i="33"/>
  <c r="CR76" i="33"/>
  <c r="CP76" i="33"/>
  <c r="CO76" i="33"/>
  <c r="CN76" i="33"/>
  <c r="CJ65" i="33"/>
  <c r="CJ76" i="33" s="1"/>
  <c r="BO76" i="33"/>
  <c r="BN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Q75" i="33"/>
  <c r="BP75" i="33"/>
  <c r="BO75" i="33"/>
  <c r="BM75" i="33"/>
  <c r="BH64" i="33"/>
  <c r="BH75" i="33" s="1"/>
  <c r="BD75" i="33"/>
  <c r="AZ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W74" i="33"/>
  <c r="CS74" i="33"/>
  <c r="CR74" i="33"/>
  <c r="CO74" i="33"/>
  <c r="CN74" i="33"/>
  <c r="CK74" i="33"/>
  <c r="CJ63" i="33"/>
  <c r="CJ74" i="33" s="1"/>
  <c r="CC74" i="33"/>
  <c r="BQ74" i="33"/>
  <c r="BO74" i="33"/>
  <c r="BM74" i="33"/>
  <c r="BI74" i="33"/>
  <c r="BA74" i="33"/>
  <c r="AZ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X73" i="33"/>
  <c r="CW73" i="33"/>
  <c r="CV73" i="33"/>
  <c r="CS73" i="33"/>
  <c r="CR73" i="33"/>
  <c r="CP73" i="33"/>
  <c r="CO73" i="33"/>
  <c r="CN73" i="33"/>
  <c r="CK73" i="33"/>
  <c r="CJ62" i="33"/>
  <c r="CJ73" i="33" s="1"/>
  <c r="CC73" i="33"/>
  <c r="BQ73" i="33"/>
  <c r="BO73" i="33"/>
  <c r="BN73" i="33"/>
  <c r="BI73" i="33"/>
  <c r="BA73" i="33"/>
  <c r="AY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W72" i="33"/>
  <c r="CV72" i="33"/>
  <c r="CS72" i="33"/>
  <c r="CR72" i="33"/>
  <c r="CP72" i="33"/>
  <c r="CO72" i="33"/>
  <c r="CN72" i="33"/>
  <c r="CK72" i="33"/>
  <c r="CJ61" i="33"/>
  <c r="CJ72" i="33" s="1"/>
  <c r="CC72" i="33"/>
  <c r="BQ72" i="33"/>
  <c r="BO72" i="33"/>
  <c r="BN72" i="33"/>
  <c r="BM72" i="33"/>
  <c r="BI72" i="33"/>
  <c r="BD72" i="33"/>
  <c r="BA72" i="33"/>
  <c r="AZ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O71" i="33"/>
  <c r="CN71" i="33"/>
  <c r="CK71" i="33"/>
  <c r="CJ60" i="33"/>
  <c r="CJ71" i="33" s="1"/>
  <c r="CC71" i="33"/>
  <c r="BQ71" i="33"/>
  <c r="BN71" i="33"/>
  <c r="BM71" i="33"/>
  <c r="BI71" i="33"/>
  <c r="BA71" i="33"/>
  <c r="AZ71" i="33"/>
  <c r="AY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W70" i="33"/>
  <c r="CV70" i="33"/>
  <c r="CS70" i="33"/>
  <c r="CR70" i="33"/>
  <c r="CO70" i="33"/>
  <c r="CN70" i="33"/>
  <c r="CK70" i="33"/>
  <c r="CJ59" i="33"/>
  <c r="CJ70" i="33" s="1"/>
  <c r="CC70" i="33"/>
  <c r="BQ70" i="33"/>
  <c r="BO70" i="33"/>
  <c r="BM70" i="33"/>
  <c r="BJ70" i="33"/>
  <c r="BI70" i="33"/>
  <c r="BD70" i="33"/>
  <c r="BB70" i="33"/>
  <c r="AZ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CO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S98" i="32"/>
  <c r="CR98" i="32"/>
  <c r="CP98" i="32"/>
  <c r="CO98" i="32"/>
  <c r="CN98" i="32"/>
  <c r="CM98" i="32"/>
  <c r="CK98" i="32"/>
  <c r="CJ98" i="32"/>
  <c r="CH98" i="32"/>
  <c r="CG98" i="32"/>
  <c r="CF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S97" i="32"/>
  <c r="CR97" i="32"/>
  <c r="CQ97" i="32"/>
  <c r="CP97" i="32"/>
  <c r="CO97" i="32"/>
  <c r="CN97" i="32"/>
  <c r="CK97" i="32"/>
  <c r="CJ97" i="32"/>
  <c r="CI97" i="32"/>
  <c r="CH97" i="32"/>
  <c r="CG97" i="32"/>
  <c r="CF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S96" i="32"/>
  <c r="CQ96" i="32"/>
  <c r="CP96" i="32"/>
  <c r="CO96" i="32"/>
  <c r="CN96" i="32"/>
  <c r="CK96" i="32"/>
  <c r="CI96" i="32"/>
  <c r="CH96" i="32"/>
  <c r="CG96" i="32"/>
  <c r="CF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S95" i="32"/>
  <c r="CR95" i="32"/>
  <c r="CQ95" i="32"/>
  <c r="CP95" i="32"/>
  <c r="CN95" i="32"/>
  <c r="CK95" i="32"/>
  <c r="CJ95" i="32"/>
  <c r="CI95" i="32"/>
  <c r="CH95" i="32"/>
  <c r="CF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R94" i="32"/>
  <c r="BM94" i="32"/>
  <c r="BL94" i="32"/>
  <c r="BJ94" i="32"/>
  <c r="BI94" i="32"/>
  <c r="BH94" i="32"/>
  <c r="BE94" i="32"/>
  <c r="BD94" i="32"/>
  <c r="BB94" i="32"/>
  <c r="BA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S93" i="32"/>
  <c r="CR93" i="32"/>
  <c r="CQ93" i="32"/>
  <c r="CO93" i="32"/>
  <c r="CN93" i="32"/>
  <c r="CK93" i="32"/>
  <c r="CJ93" i="32"/>
  <c r="CI93" i="32"/>
  <c r="CH93" i="32"/>
  <c r="CG93" i="32"/>
  <c r="CF93" i="32"/>
  <c r="CC93" i="32"/>
  <c r="BR93" i="32"/>
  <c r="BQ93" i="32"/>
  <c r="BP93" i="32"/>
  <c r="BO93" i="32"/>
  <c r="BM93" i="32"/>
  <c r="BL93" i="32"/>
  <c r="BJ93" i="32"/>
  <c r="BI93" i="32"/>
  <c r="BH93" i="32"/>
  <c r="BG93" i="32"/>
  <c r="BE93" i="32"/>
  <c r="BB93" i="32"/>
  <c r="BA93" i="32"/>
  <c r="AZ93" i="32"/>
  <c r="AY93" i="32"/>
  <c r="AX93" i="32"/>
  <c r="AW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V92" i="32"/>
  <c r="CQ92" i="32"/>
  <c r="CP92" i="32"/>
  <c r="CI92" i="32"/>
  <c r="CH92" i="32"/>
  <c r="BR92" i="32"/>
  <c r="BN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S91" i="32"/>
  <c r="CQ91" i="32"/>
  <c r="CP91" i="32"/>
  <c r="CO91" i="32"/>
  <c r="CK91" i="32"/>
  <c r="CI91" i="32"/>
  <c r="CC91" i="32"/>
  <c r="BZ38" i="32"/>
  <c r="BS91" i="32"/>
  <c r="BR91" i="32"/>
  <c r="BQ91" i="32"/>
  <c r="BP91" i="32"/>
  <c r="BO91" i="32"/>
  <c r="BN91" i="32"/>
  <c r="BK91" i="32"/>
  <c r="BJ91" i="32"/>
  <c r="BI91" i="32"/>
  <c r="BH91" i="32"/>
  <c r="BG91" i="32"/>
  <c r="BF91" i="32"/>
  <c r="BC91" i="32"/>
  <c r="BB91" i="32"/>
  <c r="BA91" i="32"/>
  <c r="AZ91" i="32"/>
  <c r="AY91" i="32"/>
  <c r="AX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S90" i="32"/>
  <c r="CR90" i="32"/>
  <c r="CQ90" i="32"/>
  <c r="CP90" i="32"/>
  <c r="CN90" i="32"/>
  <c r="CK90" i="32"/>
  <c r="CJ90" i="32"/>
  <c r="CI90" i="32"/>
  <c r="CH90" i="32"/>
  <c r="CC90" i="32"/>
  <c r="CB90" i="32"/>
  <c r="BS90" i="32"/>
  <c r="BN90" i="32"/>
  <c r="BL90" i="32"/>
  <c r="BK90" i="32"/>
  <c r="BF90" i="32"/>
  <c r="BD90" i="32"/>
  <c r="BA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A30" i="32"/>
  <c r="CY30" i="32" s="1"/>
  <c r="BG30" i="32"/>
  <c r="AU30" i="32"/>
  <c r="AT94" i="32"/>
  <c r="DD29" i="32"/>
  <c r="EB29" i="32" s="1"/>
  <c r="CA29" i="32"/>
  <c r="CM29" i="32" s="1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W115" i="32" s="1"/>
  <c r="CS24" i="32"/>
  <c r="CS69" i="32" s="1"/>
  <c r="CS115" i="32" s="1"/>
  <c r="CP24" i="32"/>
  <c r="CO24" i="32"/>
  <c r="CO69" i="32" s="1"/>
  <c r="CO115" i="32" s="1"/>
  <c r="CK24" i="32"/>
  <c r="CK69" i="32" s="1"/>
  <c r="CK115" i="32" s="1"/>
  <c r="CH24" i="32"/>
  <c r="CG24" i="32"/>
  <c r="CG69" i="32" s="1"/>
  <c r="CG115" i="32" s="1"/>
  <c r="CC24" i="32"/>
  <c r="CC69" i="32" s="1"/>
  <c r="CC115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T114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D114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S22" i="32"/>
  <c r="CS78" i="32" s="1"/>
  <c r="CR22" i="32"/>
  <c r="CO22" i="32"/>
  <c r="CO67" i="32" s="1"/>
  <c r="CO113" i="32" s="1"/>
  <c r="CK22" i="32"/>
  <c r="CK78" i="32" s="1"/>
  <c r="CJ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T21" i="32"/>
  <c r="CT66" i="32" s="1"/>
  <c r="CT112" i="32" s="1"/>
  <c r="CS21" i="32"/>
  <c r="CS77" i="32" s="1"/>
  <c r="CL21" i="32"/>
  <c r="CK21" i="32"/>
  <c r="CK77" i="32" s="1"/>
  <c r="CH21" i="32"/>
  <c r="CD21" i="32"/>
  <c r="CD66" i="32" s="1"/>
  <c r="CD112" i="32" s="1"/>
  <c r="CC21" i="32"/>
  <c r="CC77" i="32" s="1"/>
  <c r="BS21" i="32"/>
  <c r="BR21" i="32"/>
  <c r="BR66" i="32" s="1"/>
  <c r="BO21" i="32"/>
  <c r="BN21" i="32"/>
  <c r="BN66" i="32" s="1"/>
  <c r="BK21" i="32"/>
  <c r="BJ21" i="32"/>
  <c r="BJ77" i="32" s="1"/>
  <c r="BG21" i="32"/>
  <c r="BG66" i="32" s="1"/>
  <c r="BF21" i="32"/>
  <c r="BF77" i="32" s="1"/>
  <c r="BC21" i="32"/>
  <c r="BB21" i="32"/>
  <c r="BB66" i="32" s="1"/>
  <c r="AY21" i="32"/>
  <c r="AX21" i="32"/>
  <c r="AX66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S111" i="32" s="1"/>
  <c r="CR20" i="32"/>
  <c r="CO20" i="32"/>
  <c r="CO65" i="32" s="1"/>
  <c r="CO111" i="32" s="1"/>
  <c r="CN20" i="32"/>
  <c r="CN65" i="32" s="1"/>
  <c r="CN111" i="32" s="1"/>
  <c r="CK20" i="32"/>
  <c r="CK65" i="32" s="1"/>
  <c r="CK111" i="32" s="1"/>
  <c r="CJ20" i="32"/>
  <c r="CG20" i="32"/>
  <c r="CG76" i="32" s="1"/>
  <c r="CF20" i="32"/>
  <c r="CC20" i="32"/>
  <c r="CC65" i="32" s="1"/>
  <c r="CC111" i="32" s="1"/>
  <c r="CB20" i="32"/>
  <c r="BR20" i="32"/>
  <c r="BR65" i="32" s="1"/>
  <c r="BR111" i="32" s="1"/>
  <c r="BQ20" i="32"/>
  <c r="BQ65" i="32" s="1"/>
  <c r="BQ111" i="32" s="1"/>
  <c r="BM20" i="32"/>
  <c r="BJ20" i="32"/>
  <c r="BJ76" i="32" s="1"/>
  <c r="BI20" i="32"/>
  <c r="BB20" i="32"/>
  <c r="BB65" i="32" s="1"/>
  <c r="BB111" i="32" s="1"/>
  <c r="BA20" i="32"/>
  <c r="BA65" i="32" s="1"/>
  <c r="BA111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W19" i="32"/>
  <c r="CT19" i="32"/>
  <c r="CP19" i="32"/>
  <c r="CO19" i="32"/>
  <c r="CO64" i="32" s="1"/>
  <c r="CO110" i="32" s="1"/>
  <c r="CL19" i="32"/>
  <c r="CH19" i="32"/>
  <c r="CG19" i="32"/>
  <c r="CG64" i="32" s="1"/>
  <c r="CG110" i="32" s="1"/>
  <c r="CD19" i="32"/>
  <c r="BS19" i="32"/>
  <c r="BR19" i="32"/>
  <c r="BK19" i="32"/>
  <c r="BK75" i="32" s="1"/>
  <c r="BJ19" i="32"/>
  <c r="BC19" i="32"/>
  <c r="BB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V109" i="32" s="1"/>
  <c r="CO18" i="32"/>
  <c r="CN18" i="32"/>
  <c r="CG18" i="32"/>
  <c r="CF18" i="32"/>
  <c r="CF63" i="32" s="1"/>
  <c r="CF109" i="32" s="1"/>
  <c r="BR18" i="32"/>
  <c r="BN18" i="32"/>
  <c r="BN63" i="32" s="1"/>
  <c r="BN109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O17" i="32"/>
  <c r="CG17" i="32"/>
  <c r="CB17" i="32"/>
  <c r="CB62" i="32" s="1"/>
  <c r="CB108" i="32" s="1"/>
  <c r="BR17" i="32"/>
  <c r="BN17" i="32"/>
  <c r="BJ17" i="32"/>
  <c r="BF17" i="32"/>
  <c r="BE17" i="32"/>
  <c r="BE62" i="32" s="1"/>
  <c r="BE108" i="32" s="1"/>
  <c r="BB17" i="32"/>
  <c r="AX17" i="32"/>
  <c r="AX62" i="32" s="1"/>
  <c r="AX108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E16" i="32"/>
  <c r="BB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C106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Y115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R23" i="32"/>
  <c r="CQ23" i="32"/>
  <c r="CN23" i="32"/>
  <c r="CN68" i="32" s="1"/>
  <c r="CN114" i="32" s="1"/>
  <c r="CJ23" i="32"/>
  <c r="CJ79" i="32" s="1"/>
  <c r="CI23" i="32"/>
  <c r="CF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Y113" i="32" s="1"/>
  <c r="CX22" i="32"/>
  <c r="CU22" i="32"/>
  <c r="CU78" i="32" s="1"/>
  <c r="CT22" i="32"/>
  <c r="CT67" i="32" s="1"/>
  <c r="CT113" i="32" s="1"/>
  <c r="CQ22" i="32"/>
  <c r="CP22" i="32"/>
  <c r="CP78" i="32" s="1"/>
  <c r="CM22" i="32"/>
  <c r="CL22" i="32"/>
  <c r="CI22" i="32"/>
  <c r="CI67" i="32" s="1"/>
  <c r="CI113" i="32" s="1"/>
  <c r="CH22" i="32"/>
  <c r="CE22" i="32"/>
  <c r="CE78" i="32" s="1"/>
  <c r="CD22" i="32"/>
  <c r="CD67" i="32" s="1"/>
  <c r="CD113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J112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U20" i="32"/>
  <c r="CT20" i="32"/>
  <c r="CT76" i="32" s="1"/>
  <c r="CM20" i="32"/>
  <c r="CL20" i="32"/>
  <c r="CL76" i="32" s="1"/>
  <c r="CE20" i="32"/>
  <c r="CD20" i="32"/>
  <c r="CD76" i="32" s="1"/>
  <c r="BS20" i="32"/>
  <c r="BS76" i="32" s="1"/>
  <c r="BL20" i="32"/>
  <c r="BK20" i="32"/>
  <c r="BK76" i="32" s="1"/>
  <c r="BH20" i="32"/>
  <c r="BD20" i="32"/>
  <c r="BC20" i="32"/>
  <c r="BC76" i="32" s="1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V19" i="32"/>
  <c r="CU19" i="32"/>
  <c r="CN19" i="32"/>
  <c r="CM19" i="32"/>
  <c r="CF19" i="32"/>
  <c r="CE19" i="32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U18" i="32"/>
  <c r="CT18" i="32"/>
  <c r="CQ18" i="32"/>
  <c r="CP18" i="32"/>
  <c r="CM18" i="32"/>
  <c r="CL18" i="32"/>
  <c r="CI18" i="32"/>
  <c r="CH18" i="32"/>
  <c r="CE18" i="32"/>
  <c r="CD18" i="32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D108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Q16" i="32"/>
  <c r="CP16" i="32"/>
  <c r="CM16" i="32"/>
  <c r="CM61" i="32" s="1"/>
  <c r="CM107" i="32" s="1"/>
  <c r="CI16" i="32"/>
  <c r="CH16" i="32"/>
  <c r="CE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Y106" i="32" s="1"/>
  <c r="CX15" i="32"/>
  <c r="CQ15" i="32"/>
  <c r="CL15" i="32"/>
  <c r="CI15" i="32"/>
  <c r="CH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R25" i="31"/>
  <c r="N25" i="31"/>
  <c r="J25" i="31"/>
  <c r="F25" i="31"/>
  <c r="X26" i="31"/>
  <c r="X30" i="31" s="1"/>
  <c r="T26" i="31"/>
  <c r="T30" i="31" s="1"/>
  <c r="S25" i="31"/>
  <c r="L26" i="31"/>
  <c r="L30" i="31" s="1"/>
  <c r="K25" i="31"/>
  <c r="H26" i="31"/>
  <c r="H30" i="31" s="1"/>
  <c r="D26" i="31"/>
  <c r="D30" i="31" s="1"/>
  <c r="C25" i="31"/>
  <c r="Y26" i="31"/>
  <c r="Y30" i="31" s="1"/>
  <c r="U26" i="31"/>
  <c r="U30" i="31" s="1"/>
  <c r="Q26" i="31"/>
  <c r="Q30" i="31" s="1"/>
  <c r="M26" i="31"/>
  <c r="M30" i="31" s="1"/>
  <c r="I26" i="31"/>
  <c r="I30" i="31" s="1"/>
  <c r="E26" i="31"/>
  <c r="E30" i="31" s="1"/>
  <c r="R20" i="31"/>
  <c r="R21" i="31" s="1"/>
  <c r="R7" i="31" s="1"/>
  <c r="R12" i="31" s="1"/>
  <c r="J4" i="31"/>
  <c r="S3" i="31"/>
  <c r="K3" i="31"/>
  <c r="C3" i="31"/>
  <c r="X4" i="31"/>
  <c r="P4" i="31"/>
  <c r="Z47" i="31"/>
  <c r="R47" i="31"/>
  <c r="J47" i="31"/>
  <c r="Z46" i="31"/>
  <c r="R46" i="31"/>
  <c r="J46" i="31"/>
  <c r="Z26" i="31"/>
  <c r="Z30" i="31" s="1"/>
  <c r="V26" i="31"/>
  <c r="V30" i="31" s="1"/>
  <c r="S26" i="31"/>
  <c r="S30" i="31" s="1"/>
  <c r="R26" i="31"/>
  <c r="R30" i="31" s="1"/>
  <c r="N26" i="31"/>
  <c r="N30" i="31" s="1"/>
  <c r="K26" i="31"/>
  <c r="K30" i="31" s="1"/>
  <c r="J26" i="31"/>
  <c r="J30" i="31" s="1"/>
  <c r="F26" i="31"/>
  <c r="F30" i="31" s="1"/>
  <c r="C26" i="31"/>
  <c r="C30" i="31" s="1"/>
  <c r="Y25" i="31"/>
  <c r="U25" i="31"/>
  <c r="T25" i="31"/>
  <c r="Q25" i="31"/>
  <c r="M25" i="31"/>
  <c r="L25" i="31"/>
  <c r="I25" i="31"/>
  <c r="E25" i="31"/>
  <c r="D25" i="31"/>
  <c r="AK22" i="31"/>
  <c r="X20" i="31"/>
  <c r="X21" i="31" s="1"/>
  <c r="X7" i="31" s="1"/>
  <c r="X12" i="31" s="1"/>
  <c r="S20" i="31"/>
  <c r="S21" i="31" s="1"/>
  <c r="S7" i="31" s="1"/>
  <c r="S12" i="31" s="1"/>
  <c r="C20" i="31"/>
  <c r="C21" i="31" s="1"/>
  <c r="C7" i="31" s="1"/>
  <c r="C12" i="31" s="1"/>
  <c r="J5" i="31"/>
  <c r="J9" i="31" s="1"/>
  <c r="R4" i="31"/>
  <c r="P3" i="31"/>
  <c r="J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U34" i="30"/>
  <c r="K11" i="30"/>
  <c r="K10" i="30"/>
  <c r="CC30" i="32" l="1"/>
  <c r="CR30" i="32"/>
  <c r="CX30" i="32"/>
  <c r="CX75" i="32" s="1"/>
  <c r="CD90" i="34"/>
  <c r="CJ74" i="32"/>
  <c r="CB64" i="32"/>
  <c r="CB110" i="32" s="1"/>
  <c r="CD91" i="32"/>
  <c r="BK70" i="33"/>
  <c r="BS70" i="33"/>
  <c r="BK71" i="33"/>
  <c r="BS71" i="33"/>
  <c r="BK72" i="33"/>
  <c r="BS72" i="33"/>
  <c r="BK73" i="33"/>
  <c r="BS73" i="33"/>
  <c r="BK74" i="33"/>
  <c r="BS74" i="33"/>
  <c r="BK75" i="33"/>
  <c r="BS75" i="33"/>
  <c r="BK76" i="33"/>
  <c r="BS76" i="33"/>
  <c r="BK77" i="33"/>
  <c r="BS77" i="33"/>
  <c r="BK78" i="33"/>
  <c r="BS78" i="33"/>
  <c r="CL91" i="32"/>
  <c r="W25" i="31"/>
  <c r="CT91" i="32"/>
  <c r="M73" i="32"/>
  <c r="I29" i="31"/>
  <c r="G25" i="31"/>
  <c r="CC17" i="32"/>
  <c r="CS92" i="32"/>
  <c r="CB93" i="32"/>
  <c r="P29" i="31"/>
  <c r="T73" i="32"/>
  <c r="CD92" i="32"/>
  <c r="CL92" i="32"/>
  <c r="CT92" i="32"/>
  <c r="CB70" i="33"/>
  <c r="CB71" i="33"/>
  <c r="BL72" i="33"/>
  <c r="CB72" i="33"/>
  <c r="CB73" i="33"/>
  <c r="BL74" i="33"/>
  <c r="BL75" i="33"/>
  <c r="CB75" i="33"/>
  <c r="F29" i="31"/>
  <c r="J73" i="32"/>
  <c r="M29" i="31"/>
  <c r="Q73" i="32"/>
  <c r="K29" i="31"/>
  <c r="O73" i="32"/>
  <c r="N73" i="32"/>
  <c r="J29" i="31"/>
  <c r="CK17" i="32"/>
  <c r="Y113" i="31"/>
  <c r="CL70" i="33"/>
  <c r="CT70" i="33"/>
  <c r="CL71" i="33"/>
  <c r="CT71" i="33"/>
  <c r="CL72" i="33"/>
  <c r="CL74" i="33"/>
  <c r="CT74" i="33"/>
  <c r="CL75" i="33"/>
  <c r="CT75" i="33"/>
  <c r="CL76" i="33"/>
  <c r="CT76" i="33"/>
  <c r="CL77" i="33"/>
  <c r="CT77" i="33"/>
  <c r="CL78" i="33"/>
  <c r="CT78" i="33"/>
  <c r="AA73" i="32"/>
  <c r="W29" i="31"/>
  <c r="CT75" i="32"/>
  <c r="Y114" i="31"/>
  <c r="E29" i="31"/>
  <c r="I73" i="32"/>
  <c r="O25" i="31"/>
  <c r="R29" i="31"/>
  <c r="V73" i="32"/>
  <c r="V29" i="31"/>
  <c r="Z73" i="32"/>
  <c r="D29" i="31"/>
  <c r="H73" i="32"/>
  <c r="AC73" i="32"/>
  <c r="Y29" i="31"/>
  <c r="C29" i="31"/>
  <c r="G73" i="32"/>
  <c r="Z29" i="31"/>
  <c r="AD73" i="32"/>
  <c r="D117" i="31"/>
  <c r="S114" i="31"/>
  <c r="G115" i="31"/>
  <c r="K115" i="31"/>
  <c r="O115" i="31"/>
  <c r="C115" i="31"/>
  <c r="P115" i="31"/>
  <c r="D115" i="31"/>
  <c r="V115" i="31"/>
  <c r="F115" i="31"/>
  <c r="X115" i="31"/>
  <c r="H115" i="31"/>
  <c r="J115" i="31"/>
  <c r="C114" i="31"/>
  <c r="K114" i="31"/>
  <c r="F113" i="31"/>
  <c r="K113" i="31"/>
  <c r="L113" i="31"/>
  <c r="CT72" i="33"/>
  <c r="U29" i="31"/>
  <c r="Y73" i="32"/>
  <c r="C111" i="34"/>
  <c r="W73" i="32"/>
  <c r="S29" i="31"/>
  <c r="L29" i="31"/>
  <c r="P73" i="32"/>
  <c r="X73" i="32"/>
  <c r="T29" i="31"/>
  <c r="Q29" i="31"/>
  <c r="U73" i="32"/>
  <c r="R73" i="32"/>
  <c r="N29" i="31"/>
  <c r="BD3" i="31"/>
  <c r="BE3" i="31" s="1"/>
  <c r="BF3" i="31" s="1"/>
  <c r="BL3" i="31" s="1"/>
  <c r="E5" i="31"/>
  <c r="E9" i="31" s="1"/>
  <c r="U3" i="31"/>
  <c r="M5" i="31"/>
  <c r="M9" i="31" s="1"/>
  <c r="M4" i="31"/>
  <c r="BE70" i="33"/>
  <c r="X190" i="30"/>
  <c r="AA190" i="30" s="1"/>
  <c r="T190" i="30"/>
  <c r="AI190" i="30" s="1"/>
  <c r="Z190" i="30"/>
  <c r="AC190" i="30" s="1"/>
  <c r="Y190" i="30"/>
  <c r="AB190" i="30" s="1"/>
  <c r="X190" i="33"/>
  <c r="AA190" i="33" s="1"/>
  <c r="T190" i="33"/>
  <c r="Z190" i="33"/>
  <c r="AC190" i="33" s="1"/>
  <c r="Y190" i="33"/>
  <c r="AB190" i="33" s="1"/>
  <c r="Z189" i="33"/>
  <c r="AC189" i="33" s="1"/>
  <c r="Y189" i="33"/>
  <c r="AB189" i="33" s="1"/>
  <c r="X189" i="33"/>
  <c r="AA189" i="33" s="1"/>
  <c r="T189" i="33"/>
  <c r="T189" i="30"/>
  <c r="U189" i="30" s="1"/>
  <c r="Z189" i="30"/>
  <c r="AC189" i="30" s="1"/>
  <c r="Y189" i="30"/>
  <c r="AB189" i="30" s="1"/>
  <c r="X189" i="30"/>
  <c r="AA189" i="30" s="1"/>
  <c r="F4" i="31"/>
  <c r="BL71" i="33"/>
  <c r="AX70" i="33"/>
  <c r="D4" i="31"/>
  <c r="T5" i="31"/>
  <c r="T9" i="31" s="1"/>
  <c r="AW71" i="33"/>
  <c r="BE64" i="32"/>
  <c r="BE110" i="32" s="1"/>
  <c r="P8" i="31"/>
  <c r="U5" i="31"/>
  <c r="U9" i="31" s="1"/>
  <c r="G4" i="31"/>
  <c r="AZ73" i="33"/>
  <c r="H20" i="31"/>
  <c r="H21" i="31" s="1"/>
  <c r="H7" i="31" s="1"/>
  <c r="H12" i="31" s="1"/>
  <c r="N72" i="32"/>
  <c r="J8" i="31"/>
  <c r="J201" i="31" s="1"/>
  <c r="J212" i="31" s="1"/>
  <c r="BL73" i="33"/>
  <c r="E3" i="31"/>
  <c r="AX19" i="32"/>
  <c r="AY19" i="32"/>
  <c r="BO19" i="32"/>
  <c r="AZ94" i="32"/>
  <c r="G73" i="31"/>
  <c r="K73" i="31"/>
  <c r="N73" i="31"/>
  <c r="O73" i="31"/>
  <c r="C73" i="31"/>
  <c r="F73" i="31"/>
  <c r="J73" i="31"/>
  <c r="AX29" i="32"/>
  <c r="CN91" i="34"/>
  <c r="BH29" i="32"/>
  <c r="BM29" i="32"/>
  <c r="D223" i="34"/>
  <c r="D224" i="34"/>
  <c r="D239" i="34"/>
  <c r="C159" i="33"/>
  <c r="C158" i="33"/>
  <c r="C160" i="33"/>
  <c r="C161" i="33"/>
  <c r="X172" i="33"/>
  <c r="AA172" i="33" s="1"/>
  <c r="Z172" i="33"/>
  <c r="AC172" i="33" s="1"/>
  <c r="Y172" i="33"/>
  <c r="AB172" i="33" s="1"/>
  <c r="T172" i="33"/>
  <c r="Z172" i="30"/>
  <c r="AC172" i="30" s="1"/>
  <c r="Y172" i="30"/>
  <c r="AB172" i="30" s="1"/>
  <c r="X172" i="30"/>
  <c r="AA172" i="30" s="1"/>
  <c r="T172" i="30"/>
  <c r="X165" i="30"/>
  <c r="AA165" i="30" s="1"/>
  <c r="Z165" i="30"/>
  <c r="AC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Y170" i="30"/>
  <c r="AB170" i="30" s="1"/>
  <c r="X170" i="30"/>
  <c r="AA170" i="30" s="1"/>
  <c r="T170" i="30"/>
  <c r="Z170" i="30"/>
  <c r="AC170" i="30" s="1"/>
  <c r="X164" i="33"/>
  <c r="AA164" i="33" s="1"/>
  <c r="Y164" i="33"/>
  <c r="AB164" i="33" s="1"/>
  <c r="T164" i="33"/>
  <c r="Z164" i="33"/>
  <c r="AC164" i="33" s="1"/>
  <c r="Z168" i="33"/>
  <c r="AC168" i="33" s="1"/>
  <c r="Y168" i="33"/>
  <c r="AB168" i="33" s="1"/>
  <c r="T168" i="33"/>
  <c r="X168" i="33"/>
  <c r="AA168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AC171" i="30" s="1"/>
  <c r="X166" i="30"/>
  <c r="AA166" i="30" s="1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AC170" i="33" s="1"/>
  <c r="X165" i="33"/>
  <c r="AA165" i="33" s="1"/>
  <c r="T165" i="33"/>
  <c r="Z165" i="33"/>
  <c r="AC165" i="33" s="1"/>
  <c r="Y165" i="33"/>
  <c r="AB165" i="33" s="1"/>
  <c r="Z164" i="30"/>
  <c r="AC164" i="30" s="1"/>
  <c r="Y164" i="30"/>
  <c r="AB164" i="30" s="1"/>
  <c r="T164" i="30"/>
  <c r="X164" i="30"/>
  <c r="AA164" i="30" s="1"/>
  <c r="Z168" i="30"/>
  <c r="X168" i="30"/>
  <c r="AA168" i="30" s="1"/>
  <c r="Y168" i="30"/>
  <c r="AB168" i="30" s="1"/>
  <c r="T168" i="30"/>
  <c r="Y167" i="33"/>
  <c r="AB167" i="33" s="1"/>
  <c r="Z167" i="33"/>
  <c r="AC167" i="33" s="1"/>
  <c r="X167" i="33"/>
  <c r="AA167" i="33" s="1"/>
  <c r="T167" i="33"/>
  <c r="T171" i="33"/>
  <c r="AF171" i="33" s="1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Z5" i="31"/>
  <c r="Z9" i="31" s="1"/>
  <c r="Z68" i="31"/>
  <c r="Z4" i="31"/>
  <c r="Z8" i="31" s="1"/>
  <c r="AC187" i="30"/>
  <c r="AB187" i="30"/>
  <c r="AA187" i="30"/>
  <c r="AC191" i="30"/>
  <c r="AA191" i="30"/>
  <c r="AC188" i="30"/>
  <c r="AB188" i="30"/>
  <c r="AB188" i="33"/>
  <c r="AC188" i="33"/>
  <c r="AA188" i="33"/>
  <c r="V186" i="33"/>
  <c r="AB186" i="33"/>
  <c r="V187" i="33"/>
  <c r="AC187" i="33"/>
  <c r="AB187" i="33"/>
  <c r="AA187" i="33"/>
  <c r="AA191" i="33"/>
  <c r="AC191" i="33"/>
  <c r="AB191" i="33"/>
  <c r="AC186" i="30"/>
  <c r="AA186" i="30"/>
  <c r="U186" i="30"/>
  <c r="AB186" i="30"/>
  <c r="AW74" i="33"/>
  <c r="BC72" i="33"/>
  <c r="W4" i="31"/>
  <c r="W2" i="31" s="1"/>
  <c r="Y5" i="31"/>
  <c r="Y9" i="31" s="1"/>
  <c r="N5" i="31"/>
  <c r="N9" i="31" s="1"/>
  <c r="BA70" i="33"/>
  <c r="V4" i="31"/>
  <c r="BL70" i="33"/>
  <c r="BE74" i="33"/>
  <c r="BE71" i="33"/>
  <c r="H4" i="31"/>
  <c r="O3" i="31"/>
  <c r="AW73" i="33"/>
  <c r="BE73" i="33"/>
  <c r="I5" i="31"/>
  <c r="I9" i="31" s="1"/>
  <c r="AW70" i="33"/>
  <c r="G3" i="31"/>
  <c r="W3" i="31"/>
  <c r="CW15" i="32"/>
  <c r="CG15" i="32"/>
  <c r="CR92" i="32"/>
  <c r="CJ17" i="32"/>
  <c r="AZ90" i="32"/>
  <c r="CN17" i="32"/>
  <c r="CG91" i="32"/>
  <c r="CF16" i="32"/>
  <c r="CF61" i="32" s="1"/>
  <c r="CF107" i="32" s="1"/>
  <c r="CV16" i="32"/>
  <c r="CU92" i="32"/>
  <c r="CW16" i="32"/>
  <c r="CW61" i="32" s="1"/>
  <c r="CW107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A108" i="32" s="1"/>
  <c r="BP90" i="32"/>
  <c r="Z256" i="33"/>
  <c r="BQ90" i="32"/>
  <c r="BP94" i="32"/>
  <c r="BP99" i="32" s="1"/>
  <c r="BP100" i="32" s="1"/>
  <c r="BP101" i="32" s="1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CF75" i="32" s="1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107" i="32" s="1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P30" i="31" s="1"/>
  <c r="AW17" i="32"/>
  <c r="AW62" i="32" s="1"/>
  <c r="AW108" i="32" s="1"/>
  <c r="BM17" i="32"/>
  <c r="BO75" i="32"/>
  <c r="BO64" i="32"/>
  <c r="BO110" i="32" s="1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C176" i="30"/>
  <c r="AB176" i="30"/>
  <c r="AC180" i="30"/>
  <c r="AB180" i="30"/>
  <c r="AC192" i="30"/>
  <c r="AC196" i="30"/>
  <c r="AA196" i="30"/>
  <c r="AB196" i="30"/>
  <c r="AC204" i="30"/>
  <c r="DW27" i="32"/>
  <c r="CP30" i="32"/>
  <c r="CP75" i="32" s="1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CC100" i="32" s="1"/>
  <c r="CC101" i="32" s="1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DL87" i="34"/>
  <c r="BG88" i="34"/>
  <c r="DG92" i="34"/>
  <c r="EB92" i="34"/>
  <c r="BI94" i="34"/>
  <c r="BF95" i="34"/>
  <c r="CN95" i="34"/>
  <c r="CU95" i="34"/>
  <c r="CU96" i="34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74" i="33" s="1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L75" i="32" s="1"/>
  <c r="CW30" i="32"/>
  <c r="CW75" i="32" s="1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CL109" i="32" s="1"/>
  <c r="DE66" i="32"/>
  <c r="BG69" i="32"/>
  <c r="BR77" i="32"/>
  <c r="DG27" i="32"/>
  <c r="DR27" i="32"/>
  <c r="DX28" i="32"/>
  <c r="BI29" i="32"/>
  <c r="DE29" i="32"/>
  <c r="DO29" i="32"/>
  <c r="DZ29" i="32"/>
  <c r="CD30" i="32"/>
  <c r="CD75" i="32" s="1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CL110" i="32" s="1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113" i="32" s="1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CP113" i="32" s="1"/>
  <c r="DE74" i="32"/>
  <c r="BA79" i="32"/>
  <c r="BE32" i="32"/>
  <c r="CP33" i="32"/>
  <c r="CH26" i="32"/>
  <c r="CH71" i="32" s="1"/>
  <c r="DK27" i="32"/>
  <c r="DV27" i="32"/>
  <c r="AW29" i="32"/>
  <c r="AW74" i="32" s="1"/>
  <c r="BR29" i="32"/>
  <c r="DI29" i="32"/>
  <c r="DS29" i="32"/>
  <c r="CH30" i="32"/>
  <c r="CH75" i="32" s="1"/>
  <c r="CS30" i="32"/>
  <c r="CS75" i="32" s="1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AY111" i="32" s="1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K75" i="32" s="1"/>
  <c r="CV30" i="32"/>
  <c r="CV75" i="32" s="1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BO109" i="32" s="1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R108" i="32" s="1"/>
  <c r="CW28" i="32"/>
  <c r="CV28" i="32"/>
  <c r="CC28" i="32"/>
  <c r="CH28" i="32"/>
  <c r="CH73" i="32" s="1"/>
  <c r="CN28" i="32"/>
  <c r="CS28" i="32"/>
  <c r="CS62" i="32" s="1"/>
  <c r="CS108" i="32" s="1"/>
  <c r="CX28" i="32"/>
  <c r="CX73" i="32"/>
  <c r="CK28" i="32"/>
  <c r="CD28" i="32"/>
  <c r="CD73" i="32" s="1"/>
  <c r="CJ28" i="32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J106" i="32" s="1"/>
  <c r="CO26" i="32"/>
  <c r="CT26" i="32"/>
  <c r="CS60" i="32"/>
  <c r="CS106" i="32" s="1"/>
  <c r="CF26" i="32"/>
  <c r="CF71" i="32" s="1"/>
  <c r="CK26" i="32"/>
  <c r="CP26" i="32"/>
  <c r="CP71" i="32" s="1"/>
  <c r="CV26" i="32"/>
  <c r="CV71" i="32" s="1"/>
  <c r="CD71" i="32"/>
  <c r="CT71" i="32"/>
  <c r="CN60" i="32"/>
  <c r="CN106" i="32" s="1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X109" i="32" s="1"/>
  <c r="AZ29" i="32"/>
  <c r="BE29" i="32"/>
  <c r="BE63" i="32" s="1"/>
  <c r="BE109" i="32" s="1"/>
  <c r="BJ29" i="32"/>
  <c r="BP29" i="32"/>
  <c r="BP63" i="32" s="1"/>
  <c r="BP109" i="32" s="1"/>
  <c r="BD90" i="34"/>
  <c r="CT90" i="34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E107" i="32" s="1"/>
  <c r="BJ27" i="32"/>
  <c r="BP27" i="32"/>
  <c r="BP61" i="32" s="1"/>
  <c r="BP107" i="32" s="1"/>
  <c r="BA27" i="32"/>
  <c r="BA61" i="32" s="1"/>
  <c r="BA107" i="32" s="1"/>
  <c r="BL27" i="32"/>
  <c r="AW27" i="32"/>
  <c r="AW72" i="32" s="1"/>
  <c r="BB27" i="32"/>
  <c r="BB61" i="32" s="1"/>
  <c r="BB107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BQ107" i="32" s="1"/>
  <c r="AZ61" i="32"/>
  <c r="AZ107" i="32" s="1"/>
  <c r="AX27" i="32"/>
  <c r="BD27" i="32"/>
  <c r="BD72" i="32" s="1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AG174" i="30"/>
  <c r="DV74" i="32"/>
  <c r="DV63" i="32"/>
  <c r="CI68" i="32"/>
  <c r="CI114" i="32" s="1"/>
  <c r="CI79" i="32"/>
  <c r="BI62" i="32"/>
  <c r="BI108" i="32" s="1"/>
  <c r="CF62" i="32"/>
  <c r="CF108" i="32" s="1"/>
  <c r="CV62" i="32"/>
  <c r="CV108" i="32" s="1"/>
  <c r="CV73" i="32"/>
  <c r="DP62" i="32"/>
  <c r="DP73" i="32"/>
  <c r="Y29" i="30"/>
  <c r="U174" i="30"/>
  <c r="AI182" i="30"/>
  <c r="CP68" i="32"/>
  <c r="CP114" i="32" s="1"/>
  <c r="CI69" i="32"/>
  <c r="CI115" i="32" s="1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BO108" i="32" s="1"/>
  <c r="CL73" i="32"/>
  <c r="CL62" i="32"/>
  <c r="CL108" i="32" s="1"/>
  <c r="BD77" i="32"/>
  <c r="BD66" i="32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E114" i="32" s="1"/>
  <c r="CU79" i="32"/>
  <c r="CU68" i="32"/>
  <c r="CU114" i="32" s="1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CB107" i="32" s="1"/>
  <c r="DL61" i="32"/>
  <c r="DL72" i="32"/>
  <c r="DO99" i="32"/>
  <c r="DO100" i="32" s="1"/>
  <c r="DO101" i="32" s="1"/>
  <c r="DS99" i="32"/>
  <c r="DS100" i="32" s="1"/>
  <c r="DS101" i="32" s="1"/>
  <c r="CV99" i="32"/>
  <c r="CL65" i="32"/>
  <c r="CL111" i="32" s="1"/>
  <c r="CN71" i="32"/>
  <c r="EB72" i="32"/>
  <c r="AJ103" i="33"/>
  <c r="AY73" i="32"/>
  <c r="AY62" i="32"/>
  <c r="AY108" i="32" s="1"/>
  <c r="CY68" i="32"/>
  <c r="CY114" i="32" s="1"/>
  <c r="CY79" i="32"/>
  <c r="BJ64" i="32"/>
  <c r="BJ110" i="32" s="1"/>
  <c r="BJ75" i="32"/>
  <c r="CW64" i="32"/>
  <c r="CW110" i="32" s="1"/>
  <c r="BC79" i="32"/>
  <c r="BC68" i="32"/>
  <c r="M110" i="33"/>
  <c r="W174" i="30"/>
  <c r="AC32" i="30"/>
  <c r="AF174" i="30"/>
  <c r="AI198" i="30"/>
  <c r="AG206" i="30"/>
  <c r="BF99" i="32"/>
  <c r="BF100" i="32" s="1"/>
  <c r="BF101" i="32" s="1"/>
  <c r="BH99" i="32"/>
  <c r="DF63" i="32"/>
  <c r="DZ66" i="32"/>
  <c r="DT68" i="32"/>
  <c r="AV103" i="33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BS109" i="32" s="1"/>
  <c r="CP64" i="32"/>
  <c r="CP110" i="32" s="1"/>
  <c r="DZ64" i="32"/>
  <c r="DF65" i="32"/>
  <c r="CK66" i="32"/>
  <c r="CK112" i="32" s="1"/>
  <c r="AX67" i="32"/>
  <c r="DE67" i="32"/>
  <c r="CS71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G100" i="32" s="1"/>
  <c r="CG101" i="32" s="1"/>
  <c r="CK99" i="32"/>
  <c r="CP99" i="32"/>
  <c r="CP100" i="32" s="1"/>
  <c r="CP101" i="32" s="1"/>
  <c r="DR99" i="32"/>
  <c r="CP63" i="32"/>
  <c r="CP109" i="32" s="1"/>
  <c r="DJ64" i="32"/>
  <c r="BO65" i="32"/>
  <c r="BO111" i="32" s="1"/>
  <c r="CC71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AJ215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106" i="32" s="1"/>
  <c r="CO71" i="32"/>
  <c r="DI60" i="32"/>
  <c r="DI71" i="32"/>
  <c r="AX72" i="32"/>
  <c r="AX61" i="32"/>
  <c r="AX107" i="32" s="1"/>
  <c r="CC61" i="32"/>
  <c r="CC107" i="32" s="1"/>
  <c r="DE72" i="32"/>
  <c r="DE61" i="32"/>
  <c r="DU72" i="32"/>
  <c r="DU61" i="32"/>
  <c r="BI76" i="32"/>
  <c r="BI65" i="32"/>
  <c r="BI111" i="32" s="1"/>
  <c r="CF76" i="32"/>
  <c r="CF65" i="32"/>
  <c r="CF111" i="32" s="1"/>
  <c r="CL77" i="32"/>
  <c r="CL66" i="32"/>
  <c r="CL112" i="32" s="1"/>
  <c r="DF77" i="32"/>
  <c r="DF66" i="32"/>
  <c r="DV77" i="32"/>
  <c r="DV66" i="32"/>
  <c r="BI78" i="32"/>
  <c r="BI67" i="32"/>
  <c r="CV78" i="32"/>
  <c r="CV67" i="32"/>
  <c r="CV113" i="32" s="1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CV112" i="32" s="1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D12" i="31" s="1"/>
  <c r="J20" i="31"/>
  <c r="J21" i="31" s="1"/>
  <c r="J7" i="31" s="1"/>
  <c r="J12" i="31" s="1"/>
  <c r="O20" i="31"/>
  <c r="O21" i="31" s="1"/>
  <c r="O7" i="31" s="1"/>
  <c r="O12" i="31" s="1"/>
  <c r="T20" i="31"/>
  <c r="T21" i="31" s="1"/>
  <c r="T7" i="31" s="1"/>
  <c r="T12" i="31" s="1"/>
  <c r="Z20" i="31"/>
  <c r="Z21" i="31" s="1"/>
  <c r="Z7" i="31" s="1"/>
  <c r="Z12" i="31" s="1"/>
  <c r="E46" i="31"/>
  <c r="M46" i="31"/>
  <c r="U46" i="31"/>
  <c r="E20" i="31"/>
  <c r="E21" i="31" s="1"/>
  <c r="E7" i="31" s="1"/>
  <c r="E12" i="31" s="1"/>
  <c r="I20" i="31"/>
  <c r="I21" i="31" s="1"/>
  <c r="I7" i="31" s="1"/>
  <c r="I12" i="31" s="1"/>
  <c r="M20" i="31"/>
  <c r="M21" i="31" s="1"/>
  <c r="M7" i="31" s="1"/>
  <c r="M12" i="31" s="1"/>
  <c r="Q20" i="31"/>
  <c r="Q21" i="31" s="1"/>
  <c r="Q7" i="31" s="1"/>
  <c r="Q12" i="31" s="1"/>
  <c r="U20" i="31"/>
  <c r="U21" i="31" s="1"/>
  <c r="U7" i="31" s="1"/>
  <c r="U12" i="31" s="1"/>
  <c r="Y20" i="31"/>
  <c r="Y21" i="31" s="1"/>
  <c r="Y7" i="31" s="1"/>
  <c r="Y12" i="31" s="1"/>
  <c r="BH72" i="32"/>
  <c r="BH61" i="32"/>
  <c r="BH107" i="32" s="1"/>
  <c r="BL72" i="32"/>
  <c r="BL61" i="32"/>
  <c r="BL107" i="32" s="1"/>
  <c r="CE72" i="32"/>
  <c r="CE61" i="32"/>
  <c r="CE107" i="32" s="1"/>
  <c r="CI72" i="32"/>
  <c r="CI61" i="32"/>
  <c r="CI107" i="32" s="1"/>
  <c r="CU72" i="32"/>
  <c r="CU61" i="32"/>
  <c r="CU107" i="32" s="1"/>
  <c r="CY72" i="32"/>
  <c r="CY61" i="32"/>
  <c r="CY107" i="32" s="1"/>
  <c r="DK72" i="32"/>
  <c r="DK61" i="32"/>
  <c r="DO72" i="32"/>
  <c r="DO61" i="32"/>
  <c r="DS72" i="32"/>
  <c r="DS61" i="32"/>
  <c r="EA72" i="32"/>
  <c r="EA61" i="32"/>
  <c r="BF62" i="32"/>
  <c r="BF108" i="32" s="1"/>
  <c r="CC62" i="32"/>
  <c r="CC108" i="32" s="1"/>
  <c r="CC73" i="32"/>
  <c r="DM62" i="32"/>
  <c r="DM73" i="32"/>
  <c r="BB74" i="32"/>
  <c r="BB63" i="32"/>
  <c r="BB109" i="32" s="1"/>
  <c r="BJ63" i="32"/>
  <c r="BJ109" i="32" s="1"/>
  <c r="BJ74" i="32"/>
  <c r="BR74" i="32"/>
  <c r="BR63" i="32"/>
  <c r="BR109" i="32" s="1"/>
  <c r="CG63" i="32"/>
  <c r="CG109" i="32" s="1"/>
  <c r="CO63" i="32"/>
  <c r="CO109" i="32" s="1"/>
  <c r="CW63" i="32"/>
  <c r="CW109" i="32" s="1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G114" i="32" s="1"/>
  <c r="CO79" i="32"/>
  <c r="CO68" i="32"/>
  <c r="CO114" i="32" s="1"/>
  <c r="CW79" i="32"/>
  <c r="CW68" i="32"/>
  <c r="CW114" i="32" s="1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CL115" i="32" s="1"/>
  <c r="DF80" i="32"/>
  <c r="DF69" i="32"/>
  <c r="DV80" i="32"/>
  <c r="DV69" i="32"/>
  <c r="BR26" i="32"/>
  <c r="BN26" i="32"/>
  <c r="BN60" i="32" s="1"/>
  <c r="BN106" i="32" s="1"/>
  <c r="BJ26" i="32"/>
  <c r="BJ71" i="32" s="1"/>
  <c r="BF26" i="32"/>
  <c r="BF60" i="32" s="1"/>
  <c r="BF106" i="32" s="1"/>
  <c r="BB26" i="32"/>
  <c r="BB60" i="32" s="1"/>
  <c r="BB106" i="32" s="1"/>
  <c r="AX26" i="32"/>
  <c r="BQ26" i="32"/>
  <c r="BQ60" i="32" s="1"/>
  <c r="BQ106" i="32" s="1"/>
  <c r="BM26" i="32"/>
  <c r="BI26" i="32"/>
  <c r="BI71" i="32" s="1"/>
  <c r="BE26" i="32"/>
  <c r="BE71" i="32" s="1"/>
  <c r="BA26" i="32"/>
  <c r="BA60" i="32" s="1"/>
  <c r="BA106" i="32" s="1"/>
  <c r="AW26" i="32"/>
  <c r="BP26" i="32"/>
  <c r="BP60" i="32" s="1"/>
  <c r="BP106" i="32" s="1"/>
  <c r="BL26" i="32"/>
  <c r="BL60" i="32" s="1"/>
  <c r="BL106" i="32" s="1"/>
  <c r="BH26" i="32"/>
  <c r="BD26" i="32"/>
  <c r="BD71" i="32" s="1"/>
  <c r="AZ26" i="32"/>
  <c r="AV26" i="32"/>
  <c r="AV60" i="32" s="1"/>
  <c r="BK26" i="32"/>
  <c r="BK71" i="32" s="1"/>
  <c r="DH26" i="32"/>
  <c r="DX26" i="32"/>
  <c r="CX29" i="32"/>
  <c r="CX74" i="32" s="1"/>
  <c r="CT29" i="32"/>
  <c r="CT74" i="32" s="1"/>
  <c r="CP29" i="32"/>
  <c r="CP74" i="32" s="1"/>
  <c r="CL29" i="32"/>
  <c r="CL74" i="32" s="1"/>
  <c r="CH29" i="32"/>
  <c r="CH74" i="32" s="1"/>
  <c r="CD29" i="32"/>
  <c r="CD74" i="32" s="1"/>
  <c r="CW29" i="32"/>
  <c r="CW74" i="32" s="1"/>
  <c r="CS29" i="32"/>
  <c r="CO29" i="32"/>
  <c r="CO74" i="32" s="1"/>
  <c r="CK29" i="32"/>
  <c r="CK74" i="32" s="1"/>
  <c r="CG29" i="32"/>
  <c r="CG74" i="32" s="1"/>
  <c r="CC29" i="32"/>
  <c r="CV29" i="32"/>
  <c r="CV74" i="32" s="1"/>
  <c r="CR29" i="32"/>
  <c r="CN29" i="32"/>
  <c r="CN74" i="32" s="1"/>
  <c r="CJ29" i="32"/>
  <c r="CF29" i="32"/>
  <c r="CF74" i="32" s="1"/>
  <c r="CB29" i="32"/>
  <c r="CB74" i="32" s="1"/>
  <c r="CQ29" i="32"/>
  <c r="BR30" i="32"/>
  <c r="BR64" i="32" s="1"/>
  <c r="BR110" i="32" s="1"/>
  <c r="BN30" i="32"/>
  <c r="BJ30" i="32"/>
  <c r="BF30" i="32"/>
  <c r="BB30" i="32"/>
  <c r="BB64" i="32" s="1"/>
  <c r="BB110" i="32" s="1"/>
  <c r="AX30" i="32"/>
  <c r="AX75" i="32" s="1"/>
  <c r="BQ30" i="32"/>
  <c r="BM30" i="32"/>
  <c r="BI30" i="32"/>
  <c r="BE30" i="32"/>
  <c r="BA30" i="32"/>
  <c r="BA64" i="32" s="1"/>
  <c r="BA110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BS107" i="32" s="1"/>
  <c r="DJ61" i="32"/>
  <c r="DZ61" i="32"/>
  <c r="BC62" i="32"/>
  <c r="BC108" i="32" s="1"/>
  <c r="BS62" i="32"/>
  <c r="BS108" i="32" s="1"/>
  <c r="CP62" i="32"/>
  <c r="CP108" i="32" s="1"/>
  <c r="DJ62" i="32"/>
  <c r="DZ62" i="32"/>
  <c r="BC65" i="32"/>
  <c r="BC111" i="32" s="1"/>
  <c r="BS65" i="32"/>
  <c r="BS111" i="32" s="1"/>
  <c r="CP65" i="32"/>
  <c r="CP111" i="32" s="1"/>
  <c r="DJ65" i="32"/>
  <c r="DZ65" i="32"/>
  <c r="BH66" i="32"/>
  <c r="CF66" i="32"/>
  <c r="CF112" i="32" s="1"/>
  <c r="DO67" i="32"/>
  <c r="DC114" i="32"/>
  <c r="DC79" i="32"/>
  <c r="CN69" i="32"/>
  <c r="CN115" i="32" s="1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BH106" i="32" s="1"/>
  <c r="CE60" i="32"/>
  <c r="CE106" i="32" s="1"/>
  <c r="CU60" i="32"/>
  <c r="CU106" i="32" s="1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CM113" i="32" s="1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B115" i="32" s="1"/>
  <c r="CJ80" i="32"/>
  <c r="CJ69" i="32"/>
  <c r="CJ115" i="32" s="1"/>
  <c r="CV80" i="32"/>
  <c r="CV69" i="32"/>
  <c r="CV115" i="32" s="1"/>
  <c r="DP80" i="32"/>
  <c r="DP69" i="32"/>
  <c r="EB80" i="32"/>
  <c r="EB69" i="32"/>
  <c r="CG60" i="32"/>
  <c r="CG106" i="32" s="1"/>
  <c r="DQ71" i="32"/>
  <c r="DQ60" i="32"/>
  <c r="BF61" i="32"/>
  <c r="BF107" i="32" s="1"/>
  <c r="BF72" i="32"/>
  <c r="DM61" i="32"/>
  <c r="DM72" i="32"/>
  <c r="CV76" i="32"/>
  <c r="CV65" i="32"/>
  <c r="CV111" i="32" s="1"/>
  <c r="DP76" i="32"/>
  <c r="DP65" i="32"/>
  <c r="AY66" i="32"/>
  <c r="AY77" i="32"/>
  <c r="BO66" i="32"/>
  <c r="BO77" i="32"/>
  <c r="BA78" i="32"/>
  <c r="BA67" i="32"/>
  <c r="CF78" i="32"/>
  <c r="CF67" i="32"/>
  <c r="CF113" i="32" s="1"/>
  <c r="DX78" i="32"/>
  <c r="DX67" i="32"/>
  <c r="DT26" i="32"/>
  <c r="BO61" i="32"/>
  <c r="BO107" i="32" s="1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L3" i="31"/>
  <c r="Q3" i="31"/>
  <c r="V3" i="31"/>
  <c r="C4" i="31"/>
  <c r="C2" i="31" s="1"/>
  <c r="I4" i="31"/>
  <c r="N4" i="31"/>
  <c r="S4" i="31"/>
  <c r="S2" i="31" s="1"/>
  <c r="Y4" i="31"/>
  <c r="F5" i="31"/>
  <c r="F9" i="31" s="1"/>
  <c r="K5" i="31"/>
  <c r="K9" i="31" s="1"/>
  <c r="P5" i="31"/>
  <c r="P9" i="31" s="1"/>
  <c r="V5" i="31"/>
  <c r="V9" i="31" s="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AC168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M3" i="31"/>
  <c r="R3" i="31"/>
  <c r="X3" i="31"/>
  <c r="E4" i="31"/>
  <c r="O4" i="31"/>
  <c r="O2" i="31" s="1"/>
  <c r="U4" i="31"/>
  <c r="U2" i="31" s="1"/>
  <c r="G5" i="31"/>
  <c r="G9" i="31" s="1"/>
  <c r="L5" i="31"/>
  <c r="L9" i="31" s="1"/>
  <c r="R5" i="31"/>
  <c r="R9" i="31" s="1"/>
  <c r="W5" i="31"/>
  <c r="W9" i="31" s="1"/>
  <c r="C19" i="31"/>
  <c r="F20" i="31"/>
  <c r="F21" i="31" s="1"/>
  <c r="F7" i="31" s="1"/>
  <c r="F12" i="31" s="1"/>
  <c r="K20" i="31"/>
  <c r="K21" i="31" s="1"/>
  <c r="K7" i="31" s="1"/>
  <c r="K12" i="31" s="1"/>
  <c r="P20" i="31"/>
  <c r="P21" i="31" s="1"/>
  <c r="P7" i="31" s="1"/>
  <c r="P12" i="31" s="1"/>
  <c r="V20" i="31"/>
  <c r="V21" i="31" s="1"/>
  <c r="V7" i="31" s="1"/>
  <c r="V12" i="31" s="1"/>
  <c r="F46" i="31"/>
  <c r="N46" i="31"/>
  <c r="V46" i="31"/>
  <c r="C41" i="31"/>
  <c r="C42" i="31" s="1"/>
  <c r="C28" i="31" s="1"/>
  <c r="C33" i="31" s="1"/>
  <c r="C40" i="31"/>
  <c r="C27" i="31" s="1"/>
  <c r="C31" i="31" s="1"/>
  <c r="DC107" i="32"/>
  <c r="DC72" i="32"/>
  <c r="AV62" i="32"/>
  <c r="AV108" i="32" s="1"/>
  <c r="AZ62" i="32"/>
  <c r="AZ108" i="32" s="1"/>
  <c r="BH62" i="32"/>
  <c r="BH108" i="32" s="1"/>
  <c r="BP73" i="32"/>
  <c r="BP62" i="32"/>
  <c r="BP108" i="32" s="1"/>
  <c r="CE62" i="32"/>
  <c r="CE108" i="32" s="1"/>
  <c r="CU62" i="32"/>
  <c r="CU108" i="32" s="1"/>
  <c r="CY73" i="32"/>
  <c r="CY62" i="32"/>
  <c r="CY108" i="32" s="1"/>
  <c r="DG73" i="32"/>
  <c r="DG62" i="32"/>
  <c r="DO73" i="32"/>
  <c r="DO62" i="32"/>
  <c r="DS73" i="32"/>
  <c r="DS62" i="32"/>
  <c r="DW73" i="32"/>
  <c r="DW62" i="32"/>
  <c r="AV75" i="32"/>
  <c r="AV64" i="32"/>
  <c r="AV110" i="32" s="1"/>
  <c r="AZ75" i="32"/>
  <c r="AZ64" i="32"/>
  <c r="AZ110" i="32" s="1"/>
  <c r="BH75" i="32"/>
  <c r="BH64" i="32"/>
  <c r="BH110" i="32" s="1"/>
  <c r="BL75" i="32"/>
  <c r="BL64" i="32"/>
  <c r="BL110" i="32" s="1"/>
  <c r="BP75" i="32"/>
  <c r="BP64" i="32"/>
  <c r="BP110" i="32" s="1"/>
  <c r="BZ64" i="32"/>
  <c r="BZ30" i="32"/>
  <c r="BZ94" i="32" s="1"/>
  <c r="BZ19" i="32"/>
  <c r="BZ52" i="32" s="1"/>
  <c r="CE64" i="32"/>
  <c r="CE110" i="32" s="1"/>
  <c r="CI64" i="32"/>
  <c r="CI110" i="32" s="1"/>
  <c r="CM75" i="32"/>
  <c r="CM64" i="32"/>
  <c r="CM110" i="32" s="1"/>
  <c r="CQ64" i="32"/>
  <c r="CQ110" i="32" s="1"/>
  <c r="CU64" i="32"/>
  <c r="CU110" i="32" s="1"/>
  <c r="CY75" i="32"/>
  <c r="CY64" i="32"/>
  <c r="CY110" i="32" s="1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V111" i="32" s="1"/>
  <c r="AZ76" i="32"/>
  <c r="AZ65" i="32"/>
  <c r="AZ111" i="32" s="1"/>
  <c r="BD76" i="32"/>
  <c r="BD65" i="32"/>
  <c r="BD111" i="32" s="1"/>
  <c r="BH76" i="32"/>
  <c r="BH65" i="32"/>
  <c r="BH111" i="32" s="1"/>
  <c r="BL76" i="32"/>
  <c r="BL65" i="32"/>
  <c r="BL111" i="32" s="1"/>
  <c r="BP76" i="32"/>
  <c r="BP65" i="32"/>
  <c r="BP111" i="32" s="1"/>
  <c r="BZ42" i="32"/>
  <c r="BZ20" i="32"/>
  <c r="BZ53" i="32" s="1"/>
  <c r="BZ31" i="32"/>
  <c r="BZ95" i="32" s="1"/>
  <c r="BZ65" i="32"/>
  <c r="CE76" i="32"/>
  <c r="CE65" i="32"/>
  <c r="CE111" i="32" s="1"/>
  <c r="CI76" i="32"/>
  <c r="CI65" i="32"/>
  <c r="CI111" i="32" s="1"/>
  <c r="CM76" i="32"/>
  <c r="CM65" i="32"/>
  <c r="CM111" i="32" s="1"/>
  <c r="CQ76" i="32"/>
  <c r="CQ65" i="32"/>
  <c r="CQ111" i="32" s="1"/>
  <c r="CU76" i="32"/>
  <c r="CU65" i="32"/>
  <c r="CU111" i="32" s="1"/>
  <c r="CY76" i="32"/>
  <c r="CY65" i="32"/>
  <c r="CY111" i="32" s="1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M114" i="32" s="1"/>
  <c r="CQ79" i="32"/>
  <c r="CQ68" i="32"/>
  <c r="CQ114" i="32" s="1"/>
  <c r="DG79" i="32"/>
  <c r="DG68" i="32"/>
  <c r="DK79" i="32"/>
  <c r="DK68" i="32"/>
  <c r="DW79" i="32"/>
  <c r="DW68" i="32"/>
  <c r="EA79" i="32"/>
  <c r="EA68" i="32"/>
  <c r="AX60" i="32"/>
  <c r="AX106" i="32" s="1"/>
  <c r="AX71" i="32"/>
  <c r="BN71" i="32"/>
  <c r="CK60" i="32"/>
  <c r="CK106" i="32" s="1"/>
  <c r="CK71" i="32"/>
  <c r="DE60" i="32"/>
  <c r="DE71" i="32"/>
  <c r="DU60" i="32"/>
  <c r="DU71" i="32"/>
  <c r="BB72" i="32"/>
  <c r="BR61" i="32"/>
  <c r="BR107" i="32" s="1"/>
  <c r="BR72" i="32"/>
  <c r="DI61" i="32"/>
  <c r="DI72" i="32"/>
  <c r="DY61" i="32"/>
  <c r="DY72" i="32"/>
  <c r="AW65" i="32"/>
  <c r="AW111" i="32" s="1"/>
  <c r="AW76" i="32"/>
  <c r="BE76" i="32"/>
  <c r="BE65" i="32"/>
  <c r="BE111" i="32" s="1"/>
  <c r="BM65" i="32"/>
  <c r="BM111" i="32" s="1"/>
  <c r="BM76" i="32"/>
  <c r="CB76" i="32"/>
  <c r="CB65" i="32"/>
  <c r="CB111" i="32" s="1"/>
  <c r="CJ65" i="32"/>
  <c r="CJ111" i="32" s="1"/>
  <c r="CJ76" i="32"/>
  <c r="CR76" i="32"/>
  <c r="CR65" i="32"/>
  <c r="CR111" i="32" s="1"/>
  <c r="DL76" i="32"/>
  <c r="DL65" i="32"/>
  <c r="DT65" i="32"/>
  <c r="DT76" i="32"/>
  <c r="EB76" i="32"/>
  <c r="EB65" i="32"/>
  <c r="BC66" i="32"/>
  <c r="BC77" i="32"/>
  <c r="BK77" i="32"/>
  <c r="BK66" i="32"/>
  <c r="BS66" i="32"/>
  <c r="BS77" i="32"/>
  <c r="CH77" i="32"/>
  <c r="CH66" i="32"/>
  <c r="CH112" i="32" s="1"/>
  <c r="CX77" i="32"/>
  <c r="CX66" i="32"/>
  <c r="CX112" i="32" s="1"/>
  <c r="DR77" i="32"/>
  <c r="DR66" i="32"/>
  <c r="AW78" i="32"/>
  <c r="AW67" i="32"/>
  <c r="BE78" i="32"/>
  <c r="BE67" i="32"/>
  <c r="BM78" i="32"/>
  <c r="BM67" i="32"/>
  <c r="CB78" i="32"/>
  <c r="CB67" i="32"/>
  <c r="CB113" i="32" s="1"/>
  <c r="CJ78" i="32"/>
  <c r="CJ67" i="32"/>
  <c r="CJ113" i="32" s="1"/>
  <c r="CR78" i="32"/>
  <c r="CR67" i="32"/>
  <c r="CR113" i="32" s="1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AY110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L100" i="32" s="1"/>
  <c r="BL101" i="32" s="1"/>
  <c r="BZ41" i="32"/>
  <c r="CE99" i="32"/>
  <c r="CE100" i="32" s="1"/>
  <c r="CE101" i="32" s="1"/>
  <c r="CI99" i="32"/>
  <c r="CI100" i="32" s="1"/>
  <c r="CI101" i="32" s="1"/>
  <c r="CM99" i="32"/>
  <c r="CM100" i="32" s="1"/>
  <c r="CM101" i="32" s="1"/>
  <c r="CQ99" i="32"/>
  <c r="CQ100" i="32" s="1"/>
  <c r="CQ101" i="32" s="1"/>
  <c r="CU99" i="32"/>
  <c r="CU100" i="32" s="1"/>
  <c r="CU101" i="32" s="1"/>
  <c r="CY99" i="32"/>
  <c r="CY100" i="32" s="1"/>
  <c r="CY101" i="32" s="1"/>
  <c r="BG60" i="32"/>
  <c r="BG106" i="32" s="1"/>
  <c r="CD60" i="32"/>
  <c r="CD106" i="32" s="1"/>
  <c r="CT60" i="32"/>
  <c r="CT106" i="32" s="1"/>
  <c r="DN60" i="32"/>
  <c r="BG61" i="32"/>
  <c r="BG107" i="32" s="1"/>
  <c r="CD61" i="32"/>
  <c r="CD107" i="32" s="1"/>
  <c r="DN61" i="32"/>
  <c r="BG62" i="32"/>
  <c r="BG108" i="32" s="1"/>
  <c r="CD62" i="32"/>
  <c r="CD108" i="32" s="1"/>
  <c r="DN62" i="32"/>
  <c r="BG63" i="32"/>
  <c r="BG109" i="32" s="1"/>
  <c r="CD63" i="32"/>
  <c r="CD109" i="32" s="1"/>
  <c r="CT63" i="32"/>
  <c r="CT109" i="32" s="1"/>
  <c r="DN63" i="32"/>
  <c r="BG64" i="32"/>
  <c r="BG110" i="32" s="1"/>
  <c r="CD64" i="32"/>
  <c r="CD110" i="32" s="1"/>
  <c r="CT64" i="32"/>
  <c r="CT110" i="32" s="1"/>
  <c r="DN64" i="32"/>
  <c r="BG65" i="32"/>
  <c r="BG111" i="32" s="1"/>
  <c r="CD65" i="32"/>
  <c r="CD111" i="32" s="1"/>
  <c r="CT65" i="32"/>
  <c r="CT111" i="32" s="1"/>
  <c r="DN65" i="32"/>
  <c r="AV66" i="32"/>
  <c r="BL66" i="32"/>
  <c r="DJ66" i="32"/>
  <c r="BS67" i="32"/>
  <c r="CU67" i="32"/>
  <c r="CU113" i="32" s="1"/>
  <c r="BH68" i="32"/>
  <c r="CJ68" i="32"/>
  <c r="CJ114" i="32" s="1"/>
  <c r="CT69" i="32"/>
  <c r="CT115" i="32" s="1"/>
  <c r="BP72" i="32"/>
  <c r="DQ72" i="32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G47" i="31"/>
  <c r="G46" i="31"/>
  <c r="CA120" i="34"/>
  <c r="CA59" i="32"/>
  <c r="AZ71" i="32"/>
  <c r="AZ60" i="32"/>
  <c r="AZ106" i="32" s="1"/>
  <c r="BP71" i="32"/>
  <c r="DG71" i="32"/>
  <c r="DG60" i="32"/>
  <c r="DK71" i="32"/>
  <c r="DK60" i="32"/>
  <c r="DO71" i="32"/>
  <c r="DO60" i="32"/>
  <c r="DW71" i="32"/>
  <c r="DW60" i="32"/>
  <c r="BA77" i="32"/>
  <c r="BA66" i="32"/>
  <c r="BE77" i="32"/>
  <c r="BE66" i="32"/>
  <c r="BI77" i="32"/>
  <c r="BI66" i="32"/>
  <c r="BQ77" i="32"/>
  <c r="BQ66" i="32"/>
  <c r="CB77" i="32"/>
  <c r="CB66" i="32"/>
  <c r="CB112" i="32" s="1"/>
  <c r="CN77" i="32"/>
  <c r="CN66" i="32"/>
  <c r="CN112" i="32" s="1"/>
  <c r="CR77" i="32"/>
  <c r="CR66" i="32"/>
  <c r="CR112" i="32" s="1"/>
  <c r="DH77" i="32"/>
  <c r="DH66" i="32"/>
  <c r="EB77" i="32"/>
  <c r="EB66" i="32"/>
  <c r="BD78" i="32"/>
  <c r="BD67" i="32"/>
  <c r="BP78" i="32"/>
  <c r="BP67" i="32"/>
  <c r="CQ78" i="32"/>
  <c r="CQ67" i="32"/>
  <c r="CQ113" i="32" s="1"/>
  <c r="DK78" i="32"/>
  <c r="DK67" i="32"/>
  <c r="EA78" i="32"/>
  <c r="EA67" i="32"/>
  <c r="BI80" i="32"/>
  <c r="BI69" i="32"/>
  <c r="CF80" i="32"/>
  <c r="CF69" i="32"/>
  <c r="CF115" i="32" s="1"/>
  <c r="CR80" i="32"/>
  <c r="CR69" i="32"/>
  <c r="CR115" i="32" s="1"/>
  <c r="DC35" i="32"/>
  <c r="DC98" i="32" s="1"/>
  <c r="DC24" i="32"/>
  <c r="DC57" i="32" s="1"/>
  <c r="DC69" i="32"/>
  <c r="DL80" i="32"/>
  <c r="DL69" i="32"/>
  <c r="DT80" i="32"/>
  <c r="DT69" i="32"/>
  <c r="BR60" i="32"/>
  <c r="BR106" i="32" s="1"/>
  <c r="BR71" i="32"/>
  <c r="CW71" i="32"/>
  <c r="CW60" i="32"/>
  <c r="CW106" i="32" s="1"/>
  <c r="DY60" i="32"/>
  <c r="DY71" i="32"/>
  <c r="BN72" i="32"/>
  <c r="BN61" i="32"/>
  <c r="BN107" i="32" s="1"/>
  <c r="BQ78" i="32"/>
  <c r="BQ67" i="32"/>
  <c r="CN78" i="32"/>
  <c r="CN67" i="32"/>
  <c r="CN113" i="32" s="1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I3" i="31"/>
  <c r="N3" i="31"/>
  <c r="T3" i="31"/>
  <c r="Y3" i="31"/>
  <c r="K4" i="31"/>
  <c r="K2" i="31" s="1"/>
  <c r="Q4" i="31"/>
  <c r="C5" i="31"/>
  <c r="C9" i="31" s="1"/>
  <c r="H5" i="31"/>
  <c r="H9" i="31" s="1"/>
  <c r="S5" i="31"/>
  <c r="S9" i="31" s="1"/>
  <c r="X5" i="31"/>
  <c r="X9" i="31" s="1"/>
  <c r="G20" i="31"/>
  <c r="G21" i="31" s="1"/>
  <c r="G7" i="31" s="1"/>
  <c r="G12" i="31" s="1"/>
  <c r="L20" i="31"/>
  <c r="L21" i="31" s="1"/>
  <c r="L7" i="31" s="1"/>
  <c r="L12" i="31" s="1"/>
  <c r="W20" i="31"/>
  <c r="W21" i="31" s="1"/>
  <c r="W7" i="31" s="1"/>
  <c r="W12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V109" i="32" s="1"/>
  <c r="AZ74" i="32"/>
  <c r="AZ63" i="32"/>
  <c r="AZ109" i="32" s="1"/>
  <c r="BD74" i="32"/>
  <c r="BD63" i="32"/>
  <c r="BD109" i="32" s="1"/>
  <c r="BH74" i="32"/>
  <c r="BH63" i="32"/>
  <c r="BH109" i="32" s="1"/>
  <c r="BL74" i="32"/>
  <c r="BL63" i="32"/>
  <c r="BL109" i="32" s="1"/>
  <c r="BP74" i="32"/>
  <c r="CE74" i="32"/>
  <c r="CE63" i="32"/>
  <c r="CE109" i="32" s="1"/>
  <c r="CI74" i="32"/>
  <c r="CI63" i="32"/>
  <c r="CI109" i="32" s="1"/>
  <c r="CM74" i="32"/>
  <c r="CM63" i="32"/>
  <c r="CM109" i="32" s="1"/>
  <c r="CQ74" i="32"/>
  <c r="CQ63" i="32"/>
  <c r="CQ109" i="32" s="1"/>
  <c r="CU74" i="32"/>
  <c r="CU63" i="32"/>
  <c r="CU109" i="32" s="1"/>
  <c r="CY63" i="32"/>
  <c r="CY109" i="32" s="1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AW110" i="32" s="1"/>
  <c r="BI75" i="32"/>
  <c r="BI64" i="32"/>
  <c r="BI110" i="32" s="1"/>
  <c r="BM75" i="32"/>
  <c r="BM64" i="32"/>
  <c r="BM110" i="32" s="1"/>
  <c r="BQ64" i="32"/>
  <c r="BQ110" i="32" s="1"/>
  <c r="BQ75" i="32"/>
  <c r="CF64" i="32"/>
  <c r="CF110" i="32" s="1"/>
  <c r="CJ75" i="32"/>
  <c r="CJ64" i="32"/>
  <c r="CJ110" i="32" s="1"/>
  <c r="CN64" i="32"/>
  <c r="CN110" i="32" s="1"/>
  <c r="CN75" i="32"/>
  <c r="CV64" i="32"/>
  <c r="CV110" i="32" s="1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E112" i="32" s="1"/>
  <c r="CI77" i="32"/>
  <c r="CI66" i="32"/>
  <c r="CI112" i="32" s="1"/>
  <c r="CM77" i="32"/>
  <c r="CM66" i="32"/>
  <c r="CM112" i="32" s="1"/>
  <c r="CQ77" i="32"/>
  <c r="CQ66" i="32"/>
  <c r="CQ112" i="32" s="1"/>
  <c r="CU77" i="32"/>
  <c r="CU66" i="32"/>
  <c r="CU112" i="32" s="1"/>
  <c r="CY77" i="32"/>
  <c r="CY66" i="32"/>
  <c r="CY112" i="32" s="1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H113" i="32" s="1"/>
  <c r="CL78" i="32"/>
  <c r="CL67" i="32"/>
  <c r="CL113" i="32" s="1"/>
  <c r="CX78" i="32"/>
  <c r="CX67" i="32"/>
  <c r="CX113" i="32" s="1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B114" i="32" s="1"/>
  <c r="CF79" i="32"/>
  <c r="CF68" i="32"/>
  <c r="CF114" i="32" s="1"/>
  <c r="CR79" i="32"/>
  <c r="CR68" i="32"/>
  <c r="CR114" i="32" s="1"/>
  <c r="CV79" i="32"/>
  <c r="CV68" i="32"/>
  <c r="CV114" i="32" s="1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E115" i="32" s="1"/>
  <c r="CM80" i="32"/>
  <c r="CM69" i="32"/>
  <c r="CM115" i="32" s="1"/>
  <c r="CQ80" i="32"/>
  <c r="CQ69" i="32"/>
  <c r="CQ115" i="32" s="1"/>
  <c r="CU80" i="32"/>
  <c r="CU69" i="32"/>
  <c r="CU115" i="32" s="1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B108" i="32" s="1"/>
  <c r="BR62" i="32"/>
  <c r="BR108" i="32" s="1"/>
  <c r="CG62" i="32"/>
  <c r="CG108" i="32" s="1"/>
  <c r="CO73" i="32"/>
  <c r="CO62" i="32"/>
  <c r="CO108" i="32" s="1"/>
  <c r="CW62" i="32"/>
  <c r="CW108" i="32" s="1"/>
  <c r="CW73" i="32"/>
  <c r="DI73" i="32"/>
  <c r="DI62" i="32"/>
  <c r="DQ62" i="32"/>
  <c r="DQ73" i="32"/>
  <c r="DY73" i="32"/>
  <c r="DY62" i="32"/>
  <c r="BF63" i="32"/>
  <c r="BF109" i="32" s="1"/>
  <c r="BF74" i="32"/>
  <c r="CC63" i="32"/>
  <c r="CC109" i="32" s="1"/>
  <c r="CC74" i="32"/>
  <c r="CS63" i="32"/>
  <c r="CS109" i="32" s="1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C114" i="32" s="1"/>
  <c r="CK79" i="32"/>
  <c r="CK68" i="32"/>
  <c r="CK114" i="32" s="1"/>
  <c r="CS79" i="32"/>
  <c r="CS68" i="32"/>
  <c r="CS114" i="32" s="1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H115" i="32" s="1"/>
  <c r="CP80" i="32"/>
  <c r="CP69" i="32"/>
  <c r="CP115" i="32" s="1"/>
  <c r="CX80" i="32"/>
  <c r="CX69" i="32"/>
  <c r="CX115" i="32" s="1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S107" i="32" s="1"/>
  <c r="CO27" i="32"/>
  <c r="CO61" i="32" s="1"/>
  <c r="CO107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R107" i="32" s="1"/>
  <c r="CN27" i="32"/>
  <c r="CJ27" i="32"/>
  <c r="CJ61" i="32" s="1"/>
  <c r="CJ107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J108" i="32" s="1"/>
  <c r="BF28" i="32"/>
  <c r="BF73" i="32" s="1"/>
  <c r="BB28" i="32"/>
  <c r="BB73" i="32" s="1"/>
  <c r="AX28" i="32"/>
  <c r="AX73" i="32" s="1"/>
  <c r="BQ28" i="32"/>
  <c r="BM28" i="32"/>
  <c r="BM62" i="32" s="1"/>
  <c r="BM108" i="32" s="1"/>
  <c r="BI28" i="32"/>
  <c r="BI73" i="32" s="1"/>
  <c r="BE28" i="32"/>
  <c r="BE73" i="32" s="1"/>
  <c r="BA28" i="32"/>
  <c r="AW28" i="32"/>
  <c r="BP28" i="32"/>
  <c r="BL28" i="32"/>
  <c r="BL62" i="32" s="1"/>
  <c r="BL108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CY74" i="32" s="1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J100" i="32" s="1"/>
  <c r="CJ101" i="32" s="1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BK106" i="32" s="1"/>
  <c r="CH60" i="32"/>
  <c r="CH106" i="32" s="1"/>
  <c r="CX60" i="32"/>
  <c r="CX106" i="32" s="1"/>
  <c r="DR60" i="32"/>
  <c r="BK61" i="32"/>
  <c r="BK107" i="32" s="1"/>
  <c r="CH61" i="32"/>
  <c r="CH107" i="32" s="1"/>
  <c r="CX61" i="32"/>
  <c r="CX107" i="32" s="1"/>
  <c r="DR61" i="32"/>
  <c r="CH62" i="32"/>
  <c r="CH108" i="32" s="1"/>
  <c r="CX62" i="32"/>
  <c r="CX108" i="32" s="1"/>
  <c r="DR62" i="32"/>
  <c r="BK63" i="32"/>
  <c r="BK109" i="32" s="1"/>
  <c r="CH63" i="32"/>
  <c r="CH109" i="32" s="1"/>
  <c r="CX63" i="32"/>
  <c r="CX109" i="32" s="1"/>
  <c r="DR63" i="32"/>
  <c r="BK64" i="32"/>
  <c r="BK110" i="32" s="1"/>
  <c r="CH64" i="32"/>
  <c r="CH110" i="32" s="1"/>
  <c r="CX64" i="32"/>
  <c r="CX110" i="32" s="1"/>
  <c r="DR64" i="32"/>
  <c r="BK65" i="32"/>
  <c r="BK111" i="32" s="1"/>
  <c r="AZ66" i="32"/>
  <c r="BP66" i="32"/>
  <c r="CP66" i="32"/>
  <c r="CP112" i="32" s="1"/>
  <c r="DP66" i="32"/>
  <c r="BC67" i="32"/>
  <c r="CE67" i="32"/>
  <c r="CE113" i="32" s="1"/>
  <c r="DZ67" i="32"/>
  <c r="BM68" i="32"/>
  <c r="DO68" i="32"/>
  <c r="CD69" i="32"/>
  <c r="CD115" i="32" s="1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G112" i="32" s="1"/>
  <c r="CW66" i="32"/>
  <c r="CW112" i="32" s="1"/>
  <c r="DQ66" i="32"/>
  <c r="BJ67" i="32"/>
  <c r="CG67" i="32"/>
  <c r="CG113" i="32" s="1"/>
  <c r="CW67" i="32"/>
  <c r="CW113" i="32" s="1"/>
  <c r="DQ67" i="32"/>
  <c r="AY68" i="32"/>
  <c r="BO68" i="32"/>
  <c r="BZ68" i="32"/>
  <c r="CL68" i="32"/>
  <c r="CL114" i="32" s="1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R74" i="32"/>
  <c r="DL74" i="32"/>
  <c r="EB74" i="32"/>
  <c r="BF75" i="32"/>
  <c r="CC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AY100" i="32"/>
  <c r="AY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F100" i="32"/>
  <c r="CF101" i="32" s="1"/>
  <c r="BH100" i="32"/>
  <c r="BH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Q106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M108" i="32" s="1"/>
  <c r="CQ28" i="32"/>
  <c r="CQ73" i="32" s="1"/>
  <c r="CU28" i="32"/>
  <c r="CU73" i="32" s="1"/>
  <c r="AY29" i="32"/>
  <c r="AY63" i="32" s="1"/>
  <c r="AY109" i="32" s="1"/>
  <c r="BC29" i="32"/>
  <c r="BC63" i="32" s="1"/>
  <c r="BC109" i="32" s="1"/>
  <c r="BG29" i="32"/>
  <c r="BK29" i="32"/>
  <c r="BO29" i="32"/>
  <c r="DH29" i="32"/>
  <c r="DL29" i="32"/>
  <c r="DP29" i="32"/>
  <c r="DT29" i="32"/>
  <c r="DX29" i="32"/>
  <c r="CE30" i="32"/>
  <c r="CE75" i="32" s="1"/>
  <c r="CI30" i="32"/>
  <c r="CI75" i="32" s="1"/>
  <c r="CM30" i="32"/>
  <c r="CQ30" i="32"/>
  <c r="CQ75" i="32" s="1"/>
  <c r="CU30" i="32"/>
  <c r="CU75" i="32" s="1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E106" i="32" s="1"/>
  <c r="BI60" i="32"/>
  <c r="BI106" i="32" s="1"/>
  <c r="CB60" i="32"/>
  <c r="CB106" i="32" s="1"/>
  <c r="CF60" i="32"/>
  <c r="CF106" i="32" s="1"/>
  <c r="CR60" i="32"/>
  <c r="CR106" i="32" s="1"/>
  <c r="CV60" i="32"/>
  <c r="CV106" i="32" s="1"/>
  <c r="DL60" i="32"/>
  <c r="DP60" i="32"/>
  <c r="EB60" i="32"/>
  <c r="AW61" i="32"/>
  <c r="AW107" i="32" s="1"/>
  <c r="BI61" i="32"/>
  <c r="BI107" i="32" s="1"/>
  <c r="BM61" i="32"/>
  <c r="BM107" i="32" s="1"/>
  <c r="CV61" i="32"/>
  <c r="CV107" i="32" s="1"/>
  <c r="DP61" i="32"/>
  <c r="DT61" i="32"/>
  <c r="CJ62" i="32"/>
  <c r="CJ108" i="32" s="1"/>
  <c r="DC62" i="32"/>
  <c r="DH62" i="32"/>
  <c r="DT62" i="32"/>
  <c r="DX62" i="32"/>
  <c r="AW63" i="32"/>
  <c r="AW109" i="32" s="1"/>
  <c r="BA63" i="32"/>
  <c r="BA109" i="32" s="1"/>
  <c r="BM63" i="32"/>
  <c r="BM109" i="32" s="1"/>
  <c r="BQ63" i="32"/>
  <c r="BQ109" i="32" s="1"/>
  <c r="CJ63" i="32"/>
  <c r="CJ109" i="32" s="1"/>
  <c r="CN63" i="32"/>
  <c r="CN109" i="32" s="1"/>
  <c r="DH63" i="32"/>
  <c r="DT63" i="32"/>
  <c r="DX63" i="32"/>
  <c r="DC64" i="32"/>
  <c r="BF66" i="32"/>
  <c r="BJ66" i="32"/>
  <c r="CC66" i="32"/>
  <c r="CC112" i="32" s="1"/>
  <c r="CS66" i="32"/>
  <c r="CS112" i="32" s="1"/>
  <c r="DM66" i="32"/>
  <c r="BF67" i="32"/>
  <c r="CC67" i="32"/>
  <c r="CC113" i="32" s="1"/>
  <c r="CS67" i="32"/>
  <c r="CS113" i="32" s="1"/>
  <c r="DM67" i="32"/>
  <c r="BK68" i="32"/>
  <c r="CH68" i="32"/>
  <c r="CH114" i="32" s="1"/>
  <c r="CX68" i="32"/>
  <c r="CX114" i="32" s="1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16" i="32"/>
  <c r="CH100" i="32"/>
  <c r="CH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V165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AX110" i="32" s="1"/>
  <c r="BN64" i="32"/>
  <c r="BN110" i="32" s="1"/>
  <c r="CK64" i="32"/>
  <c r="CK110" i="32" s="1"/>
  <c r="DE64" i="32"/>
  <c r="DU64" i="32"/>
  <c r="BJ65" i="32"/>
  <c r="BJ111" i="32" s="1"/>
  <c r="CG65" i="32"/>
  <c r="CG111" i="32" s="1"/>
  <c r="CW65" i="32"/>
  <c r="CW111" i="32" s="1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CJ73" i="32" l="1"/>
  <c r="CK62" i="32"/>
  <c r="CK108" i="32" s="1"/>
  <c r="AB73" i="32"/>
  <c r="X29" i="31"/>
  <c r="H29" i="31"/>
  <c r="L73" i="32"/>
  <c r="O29" i="31"/>
  <c r="S73" i="32"/>
  <c r="G29" i="31"/>
  <c r="K73" i="32"/>
  <c r="CN73" i="32"/>
  <c r="CN81" i="32" s="1"/>
  <c r="N40" i="31"/>
  <c r="N27" i="31" s="1"/>
  <c r="N31" i="31" s="1"/>
  <c r="N37" i="31"/>
  <c r="W171" i="33"/>
  <c r="V190" i="30"/>
  <c r="AI171" i="33"/>
  <c r="AF190" i="30"/>
  <c r="W72" i="32"/>
  <c r="G2" i="31"/>
  <c r="AC72" i="32"/>
  <c r="Y8" i="31"/>
  <c r="Y201" i="31" s="1"/>
  <c r="K8" i="31"/>
  <c r="X72" i="32"/>
  <c r="T8" i="31"/>
  <c r="T201" i="31" s="1"/>
  <c r="AB72" i="32"/>
  <c r="X8" i="31"/>
  <c r="V8" i="31"/>
  <c r="V201" i="31" s="1"/>
  <c r="Z72" i="32"/>
  <c r="S72" i="32"/>
  <c r="O8" i="31"/>
  <c r="O201" i="31" s="1"/>
  <c r="O212" i="31" s="1"/>
  <c r="O72" i="32"/>
  <c r="N8" i="31"/>
  <c r="N201" i="31" s="1"/>
  <c r="R72" i="32"/>
  <c r="V72" i="32"/>
  <c r="R8" i="31"/>
  <c r="R201" i="31" s="1"/>
  <c r="U72" i="32"/>
  <c r="Q8" i="31"/>
  <c r="Q201" i="31" s="1"/>
  <c r="Z201" i="31"/>
  <c r="Z212" i="31" s="1"/>
  <c r="AD72" i="32"/>
  <c r="M72" i="32"/>
  <c r="I8" i="31"/>
  <c r="I201" i="31" s="1"/>
  <c r="Q72" i="32"/>
  <c r="M8" i="31"/>
  <c r="M201" i="31" s="1"/>
  <c r="P72" i="32"/>
  <c r="L8" i="31"/>
  <c r="AA72" i="32"/>
  <c r="W8" i="31"/>
  <c r="W201" i="31" s="1"/>
  <c r="W212" i="31" s="1"/>
  <c r="I72" i="32"/>
  <c r="E8" i="31"/>
  <c r="E201" i="31" s="1"/>
  <c r="E212" i="31" s="1"/>
  <c r="T72" i="32"/>
  <c r="H72" i="32"/>
  <c r="D8" i="31"/>
  <c r="H8" i="31"/>
  <c r="H201" i="31" s="1"/>
  <c r="L72" i="32"/>
  <c r="F8" i="31"/>
  <c r="F201" i="31" s="1"/>
  <c r="J72" i="32"/>
  <c r="G8" i="31"/>
  <c r="G201" i="31" s="1"/>
  <c r="K72" i="32"/>
  <c r="S8" i="31"/>
  <c r="S201" i="31" s="1"/>
  <c r="C8" i="31"/>
  <c r="U8" i="31"/>
  <c r="U201" i="31" s="1"/>
  <c r="U212" i="31" s="1"/>
  <c r="G72" i="32"/>
  <c r="Y72" i="32"/>
  <c r="BD61" i="32"/>
  <c r="BD107" i="32" s="1"/>
  <c r="U171" i="33"/>
  <c r="V171" i="33"/>
  <c r="AI166" i="33"/>
  <c r="W166" i="33"/>
  <c r="AF166" i="33"/>
  <c r="U166" i="33"/>
  <c r="D225" i="34"/>
  <c r="AK191" i="34"/>
  <c r="AO191" i="34" s="1"/>
  <c r="C251" i="34"/>
  <c r="D251" i="34" s="1"/>
  <c r="AE171" i="33"/>
  <c r="AG171" i="33"/>
  <c r="AG165" i="33"/>
  <c r="V189" i="30"/>
  <c r="AG172" i="33"/>
  <c r="U172" i="33"/>
  <c r="AF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K19" i="31"/>
  <c r="K6" i="31" s="1"/>
  <c r="CF72" i="32"/>
  <c r="CF83" i="32" s="1"/>
  <c r="AW71" i="32"/>
  <c r="L19" i="31"/>
  <c r="L6" i="31" s="1"/>
  <c r="X40" i="31"/>
  <c r="X27" i="31" s="1"/>
  <c r="X31" i="31" s="1"/>
  <c r="X32" i="31" s="1"/>
  <c r="BQ62" i="32"/>
  <c r="BQ108" i="32" s="1"/>
  <c r="Z17" i="31"/>
  <c r="L15" i="31"/>
  <c r="AD207" i="30"/>
  <c r="AH207" i="30" s="1"/>
  <c r="CN61" i="32"/>
  <c r="CN107" i="32" s="1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AE195" i="30"/>
  <c r="DP84" i="32"/>
  <c r="W200" i="33"/>
  <c r="AI195" i="30"/>
  <c r="AF186" i="30"/>
  <c r="BQ71" i="32"/>
  <c r="BQ81" i="32" s="1"/>
  <c r="W206" i="33"/>
  <c r="AI200" i="33"/>
  <c r="DZ82" i="32"/>
  <c r="N32" i="31"/>
  <c r="AE186" i="30"/>
  <c r="AE200" i="33"/>
  <c r="U200" i="33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U132" i="34"/>
  <c r="I137" i="34"/>
  <c r="AG206" i="33"/>
  <c r="BB75" i="32"/>
  <c r="BB82" i="32" s="1"/>
  <c r="AW73" i="32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J218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O10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BK108" i="32" s="1"/>
  <c r="CC83" i="32"/>
  <c r="DF84" i="32"/>
  <c r="BJ60" i="32"/>
  <c r="BJ106" i="32" s="1"/>
  <c r="V17" i="31"/>
  <c r="DJ84" i="32"/>
  <c r="Z141" i="34"/>
  <c r="J141" i="34"/>
  <c r="AE132" i="34"/>
  <c r="AQ101" i="33"/>
  <c r="BZ104" i="33" s="1"/>
  <c r="BL73" i="32"/>
  <c r="BL82" i="32" s="1"/>
  <c r="AY60" i="32"/>
  <c r="AY106" i="32" s="1"/>
  <c r="AD201" i="30"/>
  <c r="AH201" i="30" s="1"/>
  <c r="BC64" i="32"/>
  <c r="BC110" i="32" s="1"/>
  <c r="BC74" i="32"/>
  <c r="BC83" i="32" s="1"/>
  <c r="AH101" i="33"/>
  <c r="BZ95" i="33" s="1"/>
  <c r="BD64" i="32"/>
  <c r="BD110" i="32" s="1"/>
  <c r="O16" i="31"/>
  <c r="O57" i="31"/>
  <c r="BG83" i="32"/>
  <c r="DL82" i="32"/>
  <c r="CM73" i="32"/>
  <c r="CM83" i="32" s="1"/>
  <c r="C6" i="31"/>
  <c r="C181" i="31"/>
  <c r="C196" i="31" s="1"/>
  <c r="G76" i="32" s="1"/>
  <c r="CQ71" i="32"/>
  <c r="CQ84" i="32" s="1"/>
  <c r="CP60" i="32"/>
  <c r="CP106" i="32" s="1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I108" i="32" s="1"/>
  <c r="CN62" i="32"/>
  <c r="CN108" i="32" s="1"/>
  <c r="CK73" i="32"/>
  <c r="CK84" i="32" s="1"/>
  <c r="CT81" i="32"/>
  <c r="CT62" i="32"/>
  <c r="CT108" i="32" s="1"/>
  <c r="CQ62" i="32"/>
  <c r="CQ108" i="32" s="1"/>
  <c r="CT83" i="32"/>
  <c r="CL61" i="32"/>
  <c r="CL107" i="32" s="1"/>
  <c r="CS72" i="32"/>
  <c r="CS81" i="32" s="1"/>
  <c r="CT61" i="32"/>
  <c r="CT107" i="32" s="1"/>
  <c r="CQ61" i="32"/>
  <c r="CQ107" i="32" s="1"/>
  <c r="CO72" i="32"/>
  <c r="CO83" i="32" s="1"/>
  <c r="CP61" i="32"/>
  <c r="CP107" i="32" s="1"/>
  <c r="CR72" i="32"/>
  <c r="CR81" i="32" s="1"/>
  <c r="CH82" i="32"/>
  <c r="CK61" i="32"/>
  <c r="CX83" i="32"/>
  <c r="CP82" i="32"/>
  <c r="CJ72" i="32"/>
  <c r="CF82" i="32"/>
  <c r="CI60" i="32"/>
  <c r="CI106" i="32" s="1"/>
  <c r="CP83" i="32"/>
  <c r="CM60" i="32"/>
  <c r="CM106" i="32" s="1"/>
  <c r="CL60" i="32"/>
  <c r="CL106" i="32" s="1"/>
  <c r="CJ117" i="32"/>
  <c r="O6" i="32" s="1"/>
  <c r="CB82" i="32"/>
  <c r="CV84" i="32"/>
  <c r="CL83" i="32"/>
  <c r="BA75" i="32"/>
  <c r="AY75" i="32"/>
  <c r="BS64" i="32"/>
  <c r="BS110" i="32" s="1"/>
  <c r="AY74" i="32"/>
  <c r="BS82" i="32"/>
  <c r="BJ73" i="32"/>
  <c r="BM73" i="32"/>
  <c r="BN62" i="32"/>
  <c r="BN108" i="32" s="1"/>
  <c r="AV61" i="32"/>
  <c r="AV107" i="32" s="1"/>
  <c r="BC61" i="32"/>
  <c r="BC107" i="32" s="1"/>
  <c r="AY61" i="32"/>
  <c r="AY107" i="32" s="1"/>
  <c r="BF71" i="32"/>
  <c r="BF84" i="32" s="1"/>
  <c r="BD60" i="32"/>
  <c r="BD106" i="32" s="1"/>
  <c r="BS60" i="32"/>
  <c r="BS106" i="32" s="1"/>
  <c r="BI84" i="32"/>
  <c r="BM60" i="32"/>
  <c r="BM106" i="32" s="1"/>
  <c r="BE81" i="32"/>
  <c r="BK81" i="32"/>
  <c r="BC60" i="32"/>
  <c r="BC106" i="32" s="1"/>
  <c r="BA71" i="32"/>
  <c r="BO60" i="32"/>
  <c r="BO106" i="32" s="1"/>
  <c r="AW60" i="32"/>
  <c r="AW106" i="32" s="1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1" i="31" s="1"/>
  <c r="K37" i="31"/>
  <c r="K36" i="31"/>
  <c r="K41" i="31"/>
  <c r="K42" i="31" s="1"/>
  <c r="K28" i="31" s="1"/>
  <c r="K33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X33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3" i="31" s="1"/>
  <c r="O37" i="31"/>
  <c r="O36" i="31"/>
  <c r="O40" i="31"/>
  <c r="O27" i="31" s="1"/>
  <c r="O31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W41" i="31"/>
  <c r="W42" i="31" s="1"/>
  <c r="W28" i="31" s="1"/>
  <c r="W33" i="31" s="1"/>
  <c r="W38" i="31"/>
  <c r="W40" i="31"/>
  <c r="W27" i="31" s="1"/>
  <c r="W31" i="31" s="1"/>
  <c r="W36" i="31"/>
  <c r="W37" i="31"/>
  <c r="S36" i="31"/>
  <c r="S40" i="31"/>
  <c r="S27" i="31" s="1"/>
  <c r="S31" i="31" s="1"/>
  <c r="S37" i="31"/>
  <c r="S38" i="31"/>
  <c r="S41" i="31"/>
  <c r="S42" i="31" s="1"/>
  <c r="S28" i="31" s="1"/>
  <c r="S33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K20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3" i="31" s="1"/>
  <c r="G38" i="31"/>
  <c r="G36" i="31"/>
  <c r="G37" i="31"/>
  <c r="G40" i="31"/>
  <c r="G27" i="31" s="1"/>
  <c r="G31" i="31" s="1"/>
  <c r="Z40" i="31"/>
  <c r="Z27" i="31" s="1"/>
  <c r="Z31" i="31" s="1"/>
  <c r="Z37" i="31"/>
  <c r="Z41" i="31"/>
  <c r="Z42" i="31" s="1"/>
  <c r="Z28" i="31" s="1"/>
  <c r="Z33" i="31" s="1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31" i="31" s="1"/>
  <c r="Q41" i="31"/>
  <c r="Q42" i="31" s="1"/>
  <c r="Q28" i="31" s="1"/>
  <c r="Q33" i="31" s="1"/>
  <c r="Q37" i="31"/>
  <c r="CX117" i="32"/>
  <c r="AC6" i="32" s="1"/>
  <c r="DV82" i="32"/>
  <c r="CL81" i="32"/>
  <c r="BO82" i="32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31" i="31" s="1"/>
  <c r="J41" i="31"/>
  <c r="J42" i="31" s="1"/>
  <c r="J28" i="31" s="1"/>
  <c r="J33" i="31" s="1"/>
  <c r="J38" i="31"/>
  <c r="J36" i="31"/>
  <c r="J37" i="31"/>
  <c r="L41" i="31"/>
  <c r="L42" i="31" s="1"/>
  <c r="L28" i="31" s="1"/>
  <c r="L33" i="31" s="1"/>
  <c r="L40" i="31"/>
  <c r="L27" i="31" s="1"/>
  <c r="L31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31" i="31" s="1"/>
  <c r="V41" i="31"/>
  <c r="V42" i="31" s="1"/>
  <c r="V28" i="31" s="1"/>
  <c r="V33" i="31" s="1"/>
  <c r="V37" i="31"/>
  <c r="F38" i="31"/>
  <c r="F36" i="31"/>
  <c r="F40" i="31"/>
  <c r="F27" i="31" s="1"/>
  <c r="F31" i="31" s="1"/>
  <c r="F41" i="31"/>
  <c r="F42" i="31" s="1"/>
  <c r="F28" i="31" s="1"/>
  <c r="F33" i="31" s="1"/>
  <c r="F37" i="31"/>
  <c r="H41" i="31"/>
  <c r="H42" i="31" s="1"/>
  <c r="H28" i="31" s="1"/>
  <c r="H33" i="31" s="1"/>
  <c r="H40" i="31"/>
  <c r="H27" i="31" s="1"/>
  <c r="H31" i="31" s="1"/>
  <c r="H38" i="31"/>
  <c r="H37" i="31"/>
  <c r="H36" i="31"/>
  <c r="AI147" i="33"/>
  <c r="W126" i="33" s="1"/>
  <c r="CJ83" i="32"/>
  <c r="BZ74" i="32"/>
  <c r="BZ109" i="32"/>
  <c r="M38" i="31"/>
  <c r="M36" i="31"/>
  <c r="M41" i="31"/>
  <c r="M42" i="31" s="1"/>
  <c r="M28" i="31" s="1"/>
  <c r="M33" i="31" s="1"/>
  <c r="M37" i="31"/>
  <c r="M40" i="31"/>
  <c r="M27" i="31" s="1"/>
  <c r="M31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R83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J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33" i="31" s="1"/>
  <c r="T40" i="31"/>
  <c r="T27" i="31" s="1"/>
  <c r="T31" i="31" s="1"/>
  <c r="T38" i="31"/>
  <c r="T37" i="31"/>
  <c r="T36" i="31"/>
  <c r="D41" i="31"/>
  <c r="D42" i="31" s="1"/>
  <c r="D28" i="31" s="1"/>
  <c r="D33" i="31" s="1"/>
  <c r="D40" i="31"/>
  <c r="D27" i="31" s="1"/>
  <c r="D31" i="31" s="1"/>
  <c r="D38" i="31"/>
  <c r="D37" i="31"/>
  <c r="D36" i="31"/>
  <c r="AO166" i="33"/>
  <c r="C76" i="34" s="1"/>
  <c r="BZ108" i="32"/>
  <c r="BZ73" i="32"/>
  <c r="Y41" i="31"/>
  <c r="Y42" i="31" s="1"/>
  <c r="Y28" i="31" s="1"/>
  <c r="Y33" i="31" s="1"/>
  <c r="Y37" i="31"/>
  <c r="Y40" i="31"/>
  <c r="Y27" i="31" s="1"/>
  <c r="Y31" i="31" s="1"/>
  <c r="Y38" i="31"/>
  <c r="Y36" i="31"/>
  <c r="I41" i="31"/>
  <c r="I42" i="31" s="1"/>
  <c r="I28" i="31" s="1"/>
  <c r="I33" i="31" s="1"/>
  <c r="I37" i="31"/>
  <c r="I40" i="31"/>
  <c r="I27" i="31" s="1"/>
  <c r="I31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AF168" i="30"/>
  <c r="AG168" i="30"/>
  <c r="V168" i="30"/>
  <c r="W168" i="30"/>
  <c r="AE168" i="30"/>
  <c r="U168" i="30"/>
  <c r="AI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1" i="32"/>
  <c r="CN84" i="32"/>
  <c r="R41" i="31"/>
  <c r="R42" i="31" s="1"/>
  <c r="R28" i="31" s="1"/>
  <c r="R33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I132" i="34"/>
  <c r="T141" i="34"/>
  <c r="H132" i="34"/>
  <c r="C102" i="34"/>
  <c r="D102" i="34" s="1"/>
  <c r="C106" i="34"/>
  <c r="D106" i="34" s="1"/>
  <c r="C98" i="34"/>
  <c r="D98" i="34" s="1"/>
  <c r="V132" i="34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F189" i="33"/>
  <c r="AE189" i="33"/>
  <c r="W189" i="33"/>
  <c r="V189" i="33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33" i="31" s="1"/>
  <c r="P40" i="31"/>
  <c r="P27" i="31" s="1"/>
  <c r="P31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31" i="31" s="1"/>
  <c r="U41" i="31"/>
  <c r="U42" i="31" s="1"/>
  <c r="U28" i="31" s="1"/>
  <c r="U33" i="31" s="1"/>
  <c r="U38" i="31"/>
  <c r="U36" i="31"/>
  <c r="U37" i="31"/>
  <c r="E40" i="31"/>
  <c r="E27" i="31" s="1"/>
  <c r="E31" i="31" s="1"/>
  <c r="E41" i="31"/>
  <c r="E42" i="31" s="1"/>
  <c r="E28" i="31" s="1"/>
  <c r="E33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T19" i="31"/>
  <c r="D19" i="31"/>
  <c r="R40" i="31"/>
  <c r="R27" i="31" s="1"/>
  <c r="R31" i="31" s="1"/>
  <c r="AF171" i="30"/>
  <c r="AE171" i="30"/>
  <c r="U171" i="30"/>
  <c r="AG171" i="30"/>
  <c r="V171" i="30"/>
  <c r="AI171" i="30"/>
  <c r="W171" i="30"/>
  <c r="N41" i="31"/>
  <c r="N42" i="31" s="1"/>
  <c r="N28" i="31" s="1"/>
  <c r="N33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I172" i="30" l="1"/>
  <c r="CO84" i="32"/>
  <c r="CJ81" i="32"/>
  <c r="CM81" i="32"/>
  <c r="CM82" i="32"/>
  <c r="CK107" i="32"/>
  <c r="CK117" i="32" s="1"/>
  <c r="P6" i="32" s="1"/>
  <c r="B110" i="32"/>
  <c r="CN82" i="32"/>
  <c r="CN85" i="32" s="1"/>
  <c r="CK82" i="32"/>
  <c r="CH85" i="32"/>
  <c r="CH86" i="32" s="1"/>
  <c r="CD87" i="32"/>
  <c r="CD86" i="32"/>
  <c r="CX86" i="32"/>
  <c r="CX87" i="32"/>
  <c r="Z39" i="31"/>
  <c r="Z43" i="31" s="1"/>
  <c r="AI172" i="33"/>
  <c r="AJ169" i="33"/>
  <c r="AJ189" i="33"/>
  <c r="AJ170" i="33"/>
  <c r="AJ170" i="30"/>
  <c r="AJ189" i="30"/>
  <c r="C10" i="31"/>
  <c r="C202" i="31" s="1"/>
  <c r="C213" i="31" s="1"/>
  <c r="F72" i="32"/>
  <c r="O181" i="31"/>
  <c r="O196" i="31" s="1"/>
  <c r="S76" i="32" s="1"/>
  <c r="K10" i="31"/>
  <c r="K202" i="31" s="1"/>
  <c r="K213" i="31" s="1"/>
  <c r="L10" i="31"/>
  <c r="L11" i="31" s="1"/>
  <c r="L13" i="31" s="1"/>
  <c r="K181" i="31"/>
  <c r="K196" i="31" s="1"/>
  <c r="O76" i="32" s="1"/>
  <c r="AJ171" i="30"/>
  <c r="AJ169" i="30"/>
  <c r="AJ167" i="33"/>
  <c r="AJ165" i="30"/>
  <c r="BA84" i="32"/>
  <c r="BS87" i="32"/>
  <c r="BS86" i="32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P76" i="32" s="1"/>
  <c r="BM83" i="32"/>
  <c r="CQ82" i="32"/>
  <c r="CQ85" i="32" s="1"/>
  <c r="CJ82" i="32"/>
  <c r="CJ85" i="32" s="1"/>
  <c r="CK81" i="32"/>
  <c r="CJ84" i="32"/>
  <c r="CK83" i="32"/>
  <c r="CO82" i="32"/>
  <c r="CO85" i="32" s="1"/>
  <c r="CF85" i="32"/>
  <c r="BL84" i="32"/>
  <c r="BL81" i="32"/>
  <c r="BL85" i="32" s="1"/>
  <c r="AB28" i="33"/>
  <c r="AC28" i="33" s="1"/>
  <c r="AB27" i="33"/>
  <c r="AC27" i="33" s="1"/>
  <c r="BB81" i="32"/>
  <c r="BB85" i="32" s="1"/>
  <c r="BB84" i="32"/>
  <c r="AF27" i="33"/>
  <c r="AG27" i="33" s="1"/>
  <c r="AG29" i="33" s="1"/>
  <c r="J37" i="33" s="1"/>
  <c r="C203" i="34" s="1"/>
  <c r="BB83" i="32"/>
  <c r="BA81" i="32"/>
  <c r="BA85" i="32" s="1"/>
  <c r="AY83" i="32"/>
  <c r="BM81" i="32"/>
  <c r="J18" i="31"/>
  <c r="J180" i="31" s="1"/>
  <c r="J195" i="31" s="1"/>
  <c r="N75" i="32" s="1"/>
  <c r="X34" i="31"/>
  <c r="T39" i="31"/>
  <c r="T43" i="31" s="1"/>
  <c r="AN218" i="34"/>
  <c r="AK226" i="34"/>
  <c r="AO226" i="34" s="1"/>
  <c r="N60" i="31"/>
  <c r="U55" i="31"/>
  <c r="BM82" i="32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0" i="31" s="1"/>
  <c r="U181" i="31"/>
  <c r="U196" i="31" s="1"/>
  <c r="Y76" i="32" s="1"/>
  <c r="H55" i="31"/>
  <c r="P53" i="31"/>
  <c r="V6" i="31"/>
  <c r="V10" i="31" s="1"/>
  <c r="V181" i="31"/>
  <c r="V196" i="31" s="1"/>
  <c r="Z76" i="32" s="1"/>
  <c r="Y6" i="31"/>
  <c r="Y10" i="31" s="1"/>
  <c r="Y181" i="31"/>
  <c r="Y196" i="31" s="1"/>
  <c r="AC76" i="32" s="1"/>
  <c r="S55" i="31"/>
  <c r="T6" i="31"/>
  <c r="T10" i="31" s="1"/>
  <c r="T181" i="31"/>
  <c r="T196" i="31" s="1"/>
  <c r="X76" i="32" s="1"/>
  <c r="Q6" i="31"/>
  <c r="Q10" i="31" s="1"/>
  <c r="Q181" i="31"/>
  <c r="Q196" i="31" s="1"/>
  <c r="U76" i="32" s="1"/>
  <c r="W6" i="31"/>
  <c r="W10" i="31" s="1"/>
  <c r="W181" i="31"/>
  <c r="W196" i="31" s="1"/>
  <c r="AA76" i="32" s="1"/>
  <c r="DV85" i="32"/>
  <c r="N6" i="31"/>
  <c r="N10" i="31" s="1"/>
  <c r="N181" i="31"/>
  <c r="N196" i="31" s="1"/>
  <c r="R76" i="32" s="1"/>
  <c r="G6" i="31"/>
  <c r="G181" i="31"/>
  <c r="G196" i="31" s="1"/>
  <c r="K76" i="32" s="1"/>
  <c r="M55" i="31"/>
  <c r="E6" i="31"/>
  <c r="E10" i="31" s="1"/>
  <c r="E181" i="31"/>
  <c r="E196" i="31" s="1"/>
  <c r="I76" i="32" s="1"/>
  <c r="Z6" i="31"/>
  <c r="Z10" i="31" s="1"/>
  <c r="Z181" i="31"/>
  <c r="Z196" i="31" s="1"/>
  <c r="AD76" i="32" s="1"/>
  <c r="H60" i="31"/>
  <c r="H64" i="31" s="1"/>
  <c r="F6" i="31"/>
  <c r="F10" i="31" s="1"/>
  <c r="F181" i="31"/>
  <c r="F196" i="31" s="1"/>
  <c r="J76" i="32" s="1"/>
  <c r="D18" i="31"/>
  <c r="D180" i="31" s="1"/>
  <c r="D195" i="31" s="1"/>
  <c r="H75" i="32" s="1"/>
  <c r="P6" i="31"/>
  <c r="P10" i="31" s="1"/>
  <c r="P181" i="31"/>
  <c r="P196" i="31" s="1"/>
  <c r="T76" i="32" s="1"/>
  <c r="R6" i="31"/>
  <c r="R10" i="31" s="1"/>
  <c r="R181" i="31"/>
  <c r="R196" i="31" s="1"/>
  <c r="V76" i="32" s="1"/>
  <c r="I6" i="31"/>
  <c r="I10" i="31" s="1"/>
  <c r="I181" i="31"/>
  <c r="I196" i="31" s="1"/>
  <c r="M76" i="32" s="1"/>
  <c r="L18" i="31"/>
  <c r="M6" i="31"/>
  <c r="M10" i="31" s="1"/>
  <c r="M181" i="31"/>
  <c r="M196" i="31" s="1"/>
  <c r="Q76" i="32" s="1"/>
  <c r="O39" i="31"/>
  <c r="O43" i="31" s="1"/>
  <c r="D6" i="31"/>
  <c r="D10" i="31" s="1"/>
  <c r="D181" i="31"/>
  <c r="D196" i="31" s="1"/>
  <c r="H76" i="32" s="1"/>
  <c r="U39" i="31"/>
  <c r="U43" i="31" s="1"/>
  <c r="H6" i="31"/>
  <c r="H10" i="31" s="1"/>
  <c r="H181" i="31"/>
  <c r="H196" i="31" s="1"/>
  <c r="L76" i="32" s="1"/>
  <c r="S6" i="31"/>
  <c r="S10" i="31" s="1"/>
  <c r="S181" i="31"/>
  <c r="S196" i="31" s="1"/>
  <c r="W76" i="32" s="1"/>
  <c r="X6" i="31"/>
  <c r="X10" i="31" s="1"/>
  <c r="X181" i="31"/>
  <c r="X196" i="31" s="1"/>
  <c r="AB76" i="32" s="1"/>
  <c r="J6" i="31"/>
  <c r="J181" i="31"/>
  <c r="J196" i="31" s="1"/>
  <c r="N76" i="32" s="1"/>
  <c r="H18" i="31"/>
  <c r="N55" i="31"/>
  <c r="E55" i="31"/>
  <c r="L55" i="31"/>
  <c r="L201" i="31"/>
  <c r="N212" i="31"/>
  <c r="R212" i="31"/>
  <c r="Y212" i="31"/>
  <c r="I212" i="31"/>
  <c r="M212" i="31"/>
  <c r="C201" i="3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98" i="32"/>
  <c r="X39" i="31"/>
  <c r="X43" i="31" s="1"/>
  <c r="BJ31" i="31"/>
  <c r="BN85" i="32"/>
  <c r="X18" i="31"/>
  <c r="BJ85" i="32"/>
  <c r="CB85" i="32"/>
  <c r="V18" i="31"/>
  <c r="V180" i="31" s="1"/>
  <c r="V195" i="31" s="1"/>
  <c r="Z75" i="32" s="1"/>
  <c r="M18" i="31"/>
  <c r="M180" i="31" s="1"/>
  <c r="M195" i="31" s="1"/>
  <c r="Q75" i="32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W75" i="32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C11" i="31"/>
  <c r="C13" i="31" s="1"/>
  <c r="R18" i="31"/>
  <c r="K53" i="31"/>
  <c r="BH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Z18" i="31"/>
  <c r="Z60" i="31"/>
  <c r="Z64" i="31" s="1"/>
  <c r="X60" i="31"/>
  <c r="X64" i="31" s="1"/>
  <c r="DQ85" i="32"/>
  <c r="AX85" i="32"/>
  <c r="DY85" i="32"/>
  <c r="I39" i="31"/>
  <c r="I43" i="31" s="1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I85" i="32"/>
  <c r="DK85" i="32"/>
  <c r="DW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CM85" i="32" l="1"/>
  <c r="CK85" i="32"/>
  <c r="CK86" i="32" s="1"/>
  <c r="CH87" i="32"/>
  <c r="CH102" i="32" s="1"/>
  <c r="M10" i="32" s="1"/>
  <c r="CG86" i="32"/>
  <c r="CG87" i="32"/>
  <c r="CY87" i="32"/>
  <c r="CY86" i="32"/>
  <c r="CU86" i="32"/>
  <c r="CU87" i="32"/>
  <c r="CI87" i="32"/>
  <c r="CI86" i="32"/>
  <c r="CC86" i="32"/>
  <c r="CC87" i="32"/>
  <c r="CE86" i="32"/>
  <c r="CE87" i="32"/>
  <c r="CJ87" i="32"/>
  <c r="CJ86" i="32"/>
  <c r="CQ87" i="32"/>
  <c r="CQ86" i="32"/>
  <c r="CO87" i="32"/>
  <c r="CO86" i="32"/>
  <c r="CW87" i="32"/>
  <c r="CW86" i="32"/>
  <c r="CV87" i="32"/>
  <c r="CV86" i="32"/>
  <c r="CM86" i="32"/>
  <c r="CM87" i="32"/>
  <c r="CR87" i="32"/>
  <c r="CR86" i="32"/>
  <c r="CN86" i="32"/>
  <c r="CN87" i="32"/>
  <c r="CT87" i="32"/>
  <c r="CT86" i="32"/>
  <c r="CL87" i="32"/>
  <c r="CL86" i="32"/>
  <c r="CP86" i="32"/>
  <c r="CP87" i="32"/>
  <c r="CF87" i="32"/>
  <c r="CF86" i="32"/>
  <c r="CB87" i="32"/>
  <c r="CB86" i="32"/>
  <c r="C191" i="34"/>
  <c r="B109" i="32"/>
  <c r="B112" i="32" s="1"/>
  <c r="L202" i="31"/>
  <c r="L213" i="31" s="1"/>
  <c r="K11" i="31"/>
  <c r="K13" i="31" s="1"/>
  <c r="BM85" i="32"/>
  <c r="BM87" i="32" s="1"/>
  <c r="J10" i="31"/>
  <c r="J11" i="31" s="1"/>
  <c r="J13" i="31" s="1"/>
  <c r="G10" i="31"/>
  <c r="G11" i="31" s="1"/>
  <c r="G13" i="31" s="1"/>
  <c r="BA87" i="32"/>
  <c r="BA86" i="32"/>
  <c r="BC87" i="32"/>
  <c r="BC86" i="32"/>
  <c r="AY87" i="32"/>
  <c r="AY86" i="32"/>
  <c r="BO86" i="32"/>
  <c r="BO87" i="32"/>
  <c r="BK87" i="32"/>
  <c r="BK86" i="32"/>
  <c r="AX86" i="32"/>
  <c r="AX87" i="32"/>
  <c r="BN87" i="32"/>
  <c r="BN86" i="32"/>
  <c r="BI87" i="32"/>
  <c r="BI86" i="32"/>
  <c r="BR87" i="32"/>
  <c r="BR86" i="32"/>
  <c r="BP86" i="32"/>
  <c r="BP87" i="32"/>
  <c r="BG86" i="32"/>
  <c r="BG87" i="32"/>
  <c r="AW86" i="32"/>
  <c r="AW87" i="32"/>
  <c r="AV86" i="32"/>
  <c r="AV87" i="32"/>
  <c r="BL86" i="32"/>
  <c r="BL87" i="32"/>
  <c r="BF87" i="32"/>
  <c r="BF86" i="32"/>
  <c r="BD86" i="32"/>
  <c r="BD87" i="32"/>
  <c r="AZ86" i="32"/>
  <c r="AZ87" i="32"/>
  <c r="BH87" i="32"/>
  <c r="BH86" i="32"/>
  <c r="BJ86" i="32"/>
  <c r="BJ87" i="32"/>
  <c r="BE87" i="32"/>
  <c r="BE86" i="32"/>
  <c r="BB86" i="32"/>
  <c r="BB87" i="32"/>
  <c r="C71" i="34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AC30" i="33"/>
  <c r="J34" i="33" s="1"/>
  <c r="C201" i="34" s="1"/>
  <c r="CS85" i="32"/>
  <c r="O180" i="31"/>
  <c r="O195" i="31" s="1"/>
  <c r="BQ85" i="32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75" i="32" s="1"/>
  <c r="U22" i="31"/>
  <c r="U180" i="31"/>
  <c r="U195" i="31" s="1"/>
  <c r="Y75" i="32" s="1"/>
  <c r="K22" i="31"/>
  <c r="K180" i="31"/>
  <c r="K195" i="31" s="1"/>
  <c r="O75" i="32" s="1"/>
  <c r="H22" i="31"/>
  <c r="H180" i="31"/>
  <c r="H195" i="31" s="1"/>
  <c r="L75" i="32" s="1"/>
  <c r="L22" i="31"/>
  <c r="L180" i="31"/>
  <c r="L195" i="31" s="1"/>
  <c r="P75" i="32" s="1"/>
  <c r="V22" i="31"/>
  <c r="F22" i="31"/>
  <c r="F180" i="31"/>
  <c r="F195" i="31" s="1"/>
  <c r="J75" i="32" s="1"/>
  <c r="W22" i="31"/>
  <c r="W180" i="31"/>
  <c r="W195" i="31" s="1"/>
  <c r="AA75" i="32" s="1"/>
  <c r="P22" i="31"/>
  <c r="P180" i="31"/>
  <c r="P195" i="31" s="1"/>
  <c r="T75" i="32" s="1"/>
  <c r="I22" i="31"/>
  <c r="I180" i="31"/>
  <c r="I195" i="31" s="1"/>
  <c r="M75" i="32" s="1"/>
  <c r="X22" i="31"/>
  <c r="X180" i="31"/>
  <c r="X195" i="31" s="1"/>
  <c r="AB75" i="32" s="1"/>
  <c r="N22" i="31"/>
  <c r="N180" i="31"/>
  <c r="N195" i="31" s="1"/>
  <c r="R75" i="32" s="1"/>
  <c r="E22" i="31"/>
  <c r="E180" i="31"/>
  <c r="E195" i="31" s="1"/>
  <c r="I75" i="32" s="1"/>
  <c r="Z22" i="31"/>
  <c r="Z180" i="31"/>
  <c r="Z195" i="31" s="1"/>
  <c r="AD75" i="32" s="1"/>
  <c r="Y22" i="31"/>
  <c r="Y180" i="31"/>
  <c r="Y195" i="31" s="1"/>
  <c r="AC75" i="32" s="1"/>
  <c r="AD30" i="31"/>
  <c r="AD31" i="31" s="1"/>
  <c r="T22" i="31"/>
  <c r="T180" i="31"/>
  <c r="T195" i="31" s="1"/>
  <c r="X75" i="32" s="1"/>
  <c r="G22" i="31"/>
  <c r="G180" i="31"/>
  <c r="G195" i="31" s="1"/>
  <c r="K75" i="32" s="1"/>
  <c r="C22" i="31"/>
  <c r="C180" i="31"/>
  <c r="C195" i="31" s="1"/>
  <c r="G75" i="32" s="1"/>
  <c r="R22" i="31"/>
  <c r="R180" i="31"/>
  <c r="R195" i="31" s="1"/>
  <c r="V75" i="32" s="1"/>
  <c r="C212" i="31"/>
  <c r="C214" i="31" s="1"/>
  <c r="C203" i="31"/>
  <c r="K212" i="31"/>
  <c r="K214" i="31" s="1"/>
  <c r="K203" i="31"/>
  <c r="L212" i="31"/>
  <c r="L203" i="31"/>
  <c r="CD102" i="32"/>
  <c r="I10" i="32" s="1"/>
  <c r="DN102" i="32"/>
  <c r="P11" i="32" s="1"/>
  <c r="DR102" i="32"/>
  <c r="T11" i="32" s="1"/>
  <c r="CX102" i="32"/>
  <c r="AC10" i="32" s="1"/>
  <c r="DX102" i="32"/>
  <c r="Z11" i="32" s="1"/>
  <c r="DO102" i="32"/>
  <c r="Q11" i="32" s="1"/>
  <c r="F54" i="32"/>
  <c r="C266" i="34" s="1"/>
  <c r="C247" i="34"/>
  <c r="F56" i="32"/>
  <c r="C268" i="34" s="1"/>
  <c r="C74" i="34"/>
  <c r="C85" i="34"/>
  <c r="W153" i="33"/>
  <c r="Y153" i="33" s="1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K253" i="34"/>
  <c r="L253" i="34" s="1"/>
  <c r="C87" i="34"/>
  <c r="W155" i="33"/>
  <c r="Y155" i="33" s="1"/>
  <c r="Z155" i="33" s="1"/>
  <c r="B160" i="33" s="1"/>
  <c r="J160" i="33" s="1"/>
  <c r="C232" i="34" s="1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CK87" i="32" l="1"/>
  <c r="CK102" i="32" s="1"/>
  <c r="P10" i="32" s="1"/>
  <c r="CB102" i="32"/>
  <c r="G10" i="32" s="1"/>
  <c r="CP102" i="32"/>
  <c r="U10" i="32" s="1"/>
  <c r="CR102" i="32"/>
  <c r="W10" i="32" s="1"/>
  <c r="CE102" i="32"/>
  <c r="J10" i="32" s="1"/>
  <c r="CF102" i="32"/>
  <c r="K10" i="32" s="1"/>
  <c r="CN102" i="32"/>
  <c r="S10" i="32" s="1"/>
  <c r="CV102" i="32"/>
  <c r="AA10" i="32" s="1"/>
  <c r="CS87" i="32"/>
  <c r="CS86" i="32"/>
  <c r="BO102" i="32"/>
  <c r="Z9" i="32" s="1"/>
  <c r="D191" i="34"/>
  <c r="C275" i="34"/>
  <c r="D275" i="34" s="1"/>
  <c r="L214" i="31"/>
  <c r="BM86" i="32"/>
  <c r="BM102" i="32" s="1"/>
  <c r="X9" i="32" s="1"/>
  <c r="BJ102" i="32"/>
  <c r="U9" i="32" s="1"/>
  <c r="BN102" i="32"/>
  <c r="Y9" i="32" s="1"/>
  <c r="S75" i="32"/>
  <c r="S77" i="32" s="1"/>
  <c r="G202" i="31"/>
  <c r="G213" i="31" s="1"/>
  <c r="G214" i="31" s="1"/>
  <c r="J202" i="31"/>
  <c r="J213" i="31" s="1"/>
  <c r="J214" i="31" s="1"/>
  <c r="BC102" i="32"/>
  <c r="N9" i="32" s="1"/>
  <c r="BE102" i="32"/>
  <c r="P9" i="32" s="1"/>
  <c r="AW102" i="32"/>
  <c r="H9" i="32" s="1"/>
  <c r="BI102" i="32"/>
  <c r="T9" i="32" s="1"/>
  <c r="BQ86" i="32"/>
  <c r="BQ87" i="32"/>
  <c r="CY102" i="32"/>
  <c r="AD10" i="32" s="1"/>
  <c r="AD13" i="32" s="1"/>
  <c r="CU102" i="32"/>
  <c r="Z10" i="32" s="1"/>
  <c r="Z13" i="32" s="1"/>
  <c r="CT102" i="32"/>
  <c r="Y10" i="32" s="1"/>
  <c r="BK102" i="32"/>
  <c r="V9" i="32" s="1"/>
  <c r="BF102" i="32"/>
  <c r="Q9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I102" i="32"/>
  <c r="N10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DW102" i="32"/>
  <c r="Y11" i="32" s="1"/>
  <c r="DS102" i="32"/>
  <c r="U11" i="32" s="1"/>
  <c r="CL102" i="32"/>
  <c r="Q10" i="32" s="1"/>
  <c r="BB102" i="32"/>
  <c r="M9" i="32" s="1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N13" i="32" l="1"/>
  <c r="CS102" i="32"/>
  <c r="X10" i="32" s="1"/>
  <c r="F10" i="32" s="1"/>
  <c r="T13" i="32"/>
  <c r="U13" i="32"/>
  <c r="G203" i="31"/>
  <c r="J203" i="31"/>
  <c r="Y13" i="32"/>
  <c r="P13" i="32"/>
  <c r="Q13" i="32"/>
  <c r="F58" i="32"/>
  <c r="C270" i="34" s="1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O253" i="34"/>
  <c r="C267" i="34"/>
  <c r="J13" i="32"/>
  <c r="F11" i="32"/>
  <c r="AC13" i="32"/>
  <c r="AB3" i="29"/>
  <c r="AA63" i="29" s="1"/>
  <c r="AC3" i="29"/>
  <c r="X13" i="32" l="1"/>
  <c r="F13" i="32" s="1"/>
  <c r="F9" i="32"/>
  <c r="C248" i="34" s="1"/>
  <c r="AJ8" i="31"/>
  <c r="F77" i="32" s="1"/>
  <c r="B129" i="32" s="1"/>
  <c r="AJ5" i="31"/>
  <c r="B108" i="32"/>
  <c r="B123" i="32" s="1"/>
  <c r="C289" i="34"/>
  <c r="C250" i="34"/>
  <c r="B93" i="32"/>
  <c r="D93" i="32" s="1"/>
  <c r="C249" i="34"/>
  <c r="B92" i="32"/>
  <c r="D92" i="32" s="1"/>
  <c r="B91" i="32" l="1"/>
  <c r="D91" i="32" s="1"/>
  <c r="T245" i="33"/>
  <c r="X245" i="33" s="1"/>
  <c r="F76" i="32"/>
  <c r="C278" i="34" s="1"/>
  <c r="F75" i="32"/>
  <c r="B81" i="32"/>
  <c r="F81" i="32" s="1"/>
  <c r="B114" i="32" s="1"/>
  <c r="X249" i="33"/>
  <c r="V265" i="33" s="1"/>
  <c r="B94" i="32" l="1"/>
  <c r="C189" i="34"/>
  <c r="D189" i="34" s="1"/>
  <c r="AK189" i="34" s="1"/>
  <c r="AO189" i="34" s="1"/>
  <c r="AO192" i="34" s="1"/>
  <c r="C277" i="34"/>
  <c r="D277" i="34" s="1"/>
  <c r="B113" i="32"/>
  <c r="B125" i="32" s="1"/>
  <c r="C193" i="34"/>
  <c r="D193" i="34" s="1"/>
  <c r="D278" i="34"/>
  <c r="D291" i="34" s="1"/>
  <c r="C291" i="34"/>
  <c r="X248" i="33"/>
  <c r="J141" i="33"/>
  <c r="C219" i="34" s="1"/>
  <c r="V264" i="33"/>
  <c r="BO155" i="34"/>
  <c r="BN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R188" i="24"/>
  <c r="Q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P188" i="24" s="1"/>
  <c r="P198" i="24" s="1"/>
  <c r="P217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64" i="24" l="1"/>
  <c r="T172" i="24" s="1"/>
  <c r="T215" i="24" s="1"/>
  <c r="T177" i="24"/>
  <c r="T185" i="24" s="1"/>
  <c r="T216" i="24" s="1"/>
  <c r="S164" i="24"/>
  <c r="S172" i="24" s="1"/>
  <c r="S215" i="24" s="1"/>
  <c r="S177" i="24"/>
  <c r="S175" i="24"/>
  <c r="S188" i="24"/>
  <c r="S198" i="24" s="1"/>
  <c r="S217" i="24" s="1"/>
  <c r="R164" i="24"/>
  <c r="R172" i="24" s="1"/>
  <c r="R215" i="24" s="1"/>
  <c r="R177" i="24"/>
  <c r="C217" i="34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S185" i="24" l="1"/>
  <c r="S216" i="24" s="1"/>
  <c r="R185" i="24"/>
  <c r="R216" i="24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198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185" i="24" l="1"/>
  <c r="AA219" i="24"/>
  <c r="AA220" i="24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O166" i="18"/>
  <c r="N166" i="18"/>
  <c r="M166" i="18"/>
  <c r="L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P67" i="34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O67" i="34"/>
  <c r="CH66" i="34"/>
  <c r="CV64" i="34"/>
  <c r="CK73" i="34"/>
  <c r="CK85" i="34" s="1"/>
  <c r="CC70" i="34"/>
  <c r="CC81" i="34" s="1"/>
  <c r="CJ67" i="34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T65" i="34"/>
  <c r="DV65" i="34"/>
  <c r="DV76" i="34" s="1"/>
  <c r="CW70" i="34"/>
  <c r="CW81" i="34" s="1"/>
  <c r="CE68" i="34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BE76" i="34" s="1"/>
  <c r="AW64" i="34"/>
  <c r="CX65" i="34"/>
  <c r="BP71" i="34"/>
  <c r="BP82" i="34" s="1"/>
  <c r="AZ69" i="34"/>
  <c r="AZ80" i="34" s="1"/>
  <c r="AY67" i="34"/>
  <c r="BD65" i="34"/>
  <c r="BD76" i="34" s="1"/>
  <c r="DS68" i="34"/>
  <c r="DS79" i="34" s="1"/>
  <c r="CP65" i="34"/>
  <c r="BN71" i="34"/>
  <c r="BN82" i="34" s="1"/>
  <c r="AX69" i="34"/>
  <c r="AX80" i="34" s="1"/>
  <c r="AX67" i="34"/>
  <c r="BC65" i="34"/>
  <c r="BC76" i="34" s="1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L67" i="34"/>
  <c r="CE66" i="34"/>
  <c r="CS64" i="34"/>
  <c r="CS75" i="34" s="1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K67" i="34"/>
  <c r="CD66" i="34"/>
  <c r="CR64" i="34"/>
  <c r="CR75" i="34" s="1"/>
  <c r="CV72" i="34"/>
  <c r="CV84" i="34" s="1"/>
  <c r="CW69" i="34"/>
  <c r="CW80" i="34" s="1"/>
  <c r="CB67" i="34"/>
  <c r="CQ64" i="34"/>
  <c r="CQ75" i="34" s="1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L65" i="34"/>
  <c r="CS73" i="34"/>
  <c r="CS85" i="34" s="1"/>
  <c r="CO70" i="34"/>
  <c r="CO81" i="34" s="1"/>
  <c r="CV67" i="34"/>
  <c r="CC65" i="34"/>
  <c r="BA73" i="34"/>
  <c r="BA85" i="34" s="1"/>
  <c r="BQ71" i="34"/>
  <c r="BQ82" i="34" s="1"/>
  <c r="BI70" i="34"/>
  <c r="BI81" i="34" s="1"/>
  <c r="BA69" i="34"/>
  <c r="BA80" i="34" s="1"/>
  <c r="BQ67" i="34"/>
  <c r="BI66" i="34"/>
  <c r="BA65" i="34"/>
  <c r="BA76" i="34" s="1"/>
  <c r="DY66" i="34"/>
  <c r="DY77" i="34" s="1"/>
  <c r="CT64" i="34"/>
  <c r="CT75" i="34" s="1"/>
  <c r="BH71" i="34"/>
  <c r="BH82" i="34" s="1"/>
  <c r="BP68" i="34"/>
  <c r="BR66" i="34"/>
  <c r="AY65" i="34"/>
  <c r="AY76" i="34" s="1"/>
  <c r="CL72" i="34"/>
  <c r="CL84" i="34" s="1"/>
  <c r="CL64" i="34"/>
  <c r="CL75" i="34" s="1"/>
  <c r="BF71" i="34"/>
  <c r="BF82" i="34" s="1"/>
  <c r="BN68" i="34"/>
  <c r="BN79" i="34" s="1"/>
  <c r="BP66" i="34"/>
  <c r="AX65" i="34"/>
  <c r="AX76" i="34" s="1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D67" i="34"/>
  <c r="CR65" i="34"/>
  <c r="CK64" i="34"/>
  <c r="CK75" i="34" s="1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C67" i="34"/>
  <c r="CU65" i="34"/>
  <c r="CJ64" i="34"/>
  <c r="CJ75" i="34" s="1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X64" i="34"/>
  <c r="CN72" i="34"/>
  <c r="CN84" i="34" s="1"/>
  <c r="CS69" i="34"/>
  <c r="CS80" i="34" s="1"/>
  <c r="CF67" i="34"/>
  <c r="CM64" i="34"/>
  <c r="CM75" i="34" s="1"/>
  <c r="BQ72" i="34"/>
  <c r="BQ84" i="34" s="1"/>
  <c r="BI71" i="34"/>
  <c r="BI82" i="34" s="1"/>
  <c r="BA70" i="34"/>
  <c r="BA81" i="34" s="1"/>
  <c r="BQ68" i="34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X66" i="34"/>
  <c r="CQ65" i="34"/>
  <c r="CF64" i="34"/>
  <c r="CJ71" i="34"/>
  <c r="CJ82" i="34" s="1"/>
  <c r="CY68" i="34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T66" i="34"/>
  <c r="CM65" i="34"/>
  <c r="CB64" i="34"/>
  <c r="CB71" i="34"/>
  <c r="CB82" i="34" s="1"/>
  <c r="CQ68" i="34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Q65" i="34"/>
  <c r="BQ76" i="34" s="1"/>
  <c r="BI64" i="34"/>
  <c r="CT68" i="34"/>
  <c r="BP72" i="34"/>
  <c r="BP84" i="34" s="1"/>
  <c r="AZ70" i="34"/>
  <c r="AZ81" i="34" s="1"/>
  <c r="BO67" i="34"/>
  <c r="BO78" i="34" s="1"/>
  <c r="AV66" i="34"/>
  <c r="BB64" i="34"/>
  <c r="CL68" i="34"/>
  <c r="BN72" i="34"/>
  <c r="BN84" i="34" s="1"/>
  <c r="AX70" i="34"/>
  <c r="AX81" i="34" s="1"/>
  <c r="BN67" i="34"/>
  <c r="BN78" i="34" s="1"/>
  <c r="BS65" i="34"/>
  <c r="BS76" i="34" s="1"/>
  <c r="AZ64" i="34"/>
  <c r="CE67" i="34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P66" i="34"/>
  <c r="CI65" i="34"/>
  <c r="DV69" i="34"/>
  <c r="DV80" i="34" s="1"/>
  <c r="CS70" i="34"/>
  <c r="CS81" i="34" s="1"/>
  <c r="CI68" i="34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G66" i="34"/>
  <c r="BM73" i="34"/>
  <c r="BM85" i="34" s="1"/>
  <c r="BE72" i="34"/>
  <c r="BE84" i="34" s="1"/>
  <c r="AW71" i="34"/>
  <c r="AW82" i="34" s="1"/>
  <c r="BM69" i="34"/>
  <c r="BM80" i="34" s="1"/>
  <c r="BE68" i="34"/>
  <c r="AW67" i="34"/>
  <c r="BM65" i="34"/>
  <c r="BM76" i="34" s="1"/>
  <c r="BE64" i="34"/>
  <c r="CU67" i="34"/>
  <c r="BH72" i="34"/>
  <c r="BH84" i="34" s="1"/>
  <c r="BP69" i="34"/>
  <c r="BP80" i="34" s="1"/>
  <c r="BJ67" i="34"/>
  <c r="BJ78" i="34" s="1"/>
  <c r="BO65" i="34"/>
  <c r="BO76" i="34" s="1"/>
  <c r="AV64" i="34"/>
  <c r="CM67" i="34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L66" i="34"/>
  <c r="CE65" i="34"/>
  <c r="DI66" i="34"/>
  <c r="DI77" i="34" s="1"/>
  <c r="CK70" i="34"/>
  <c r="CK81" i="34" s="1"/>
  <c r="CR67" i="34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B66" i="34"/>
  <c r="DI70" i="34"/>
  <c r="DI81" i="34" s="1"/>
  <c r="CF71" i="34"/>
  <c r="CF82" i="34" s="1"/>
  <c r="CM68" i="34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J65" i="34"/>
  <c r="BJ76" i="34" s="1"/>
  <c r="DP71" i="34"/>
  <c r="DP82" i="34" s="1"/>
  <c r="CN66" i="34"/>
  <c r="AX72" i="34"/>
  <c r="AX84" i="34" s="1"/>
  <c r="BF69" i="34"/>
  <c r="BF80" i="34" s="1"/>
  <c r="BC67" i="34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BB65" i="34"/>
  <c r="BB76" i="34" s="1"/>
  <c r="BJ70" i="34"/>
  <c r="BJ81" i="34" s="1"/>
  <c r="BJ71" i="34"/>
  <c r="BJ82" i="34" s="1"/>
  <c r="CM73" i="34"/>
  <c r="CM85" i="34" s="1"/>
  <c r="BP65" i="34"/>
  <c r="BP76" i="34" s="1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R76" i="34" s="1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O75" i="34" s="1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AV76" i="34" s="1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CP75" i="34" s="1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CN75" i="34" s="1"/>
  <c r="AY70" i="34"/>
  <c r="AY81" i="34" s="1"/>
  <c r="CY67" i="34"/>
  <c r="CN67" i="34"/>
  <c r="BE70" i="34"/>
  <c r="BE81" i="34" s="1"/>
  <c r="AW65" i="34"/>
  <c r="AW76" i="34" s="1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BP67" i="34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Y69" i="34"/>
  <c r="CY80" i="34" s="1"/>
  <c r="CI64" i="34"/>
  <c r="CI75" i="34" s="1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AZ76" i="34" s="1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N68" i="34"/>
  <c r="BO72" i="34"/>
  <c r="BO84" i="34" s="1"/>
  <c r="CT72" i="34"/>
  <c r="CT84" i="34" s="1"/>
  <c r="BM72" i="34"/>
  <c r="BM84" i="34" s="1"/>
  <c r="BE67" i="34"/>
  <c r="AZ73" i="34"/>
  <c r="AZ85" i="34" s="1"/>
  <c r="BS67" i="34"/>
  <c r="BB67" i="34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P79" i="34" l="1"/>
  <c r="BP155" i="34"/>
  <c r="BE79" i="34"/>
  <c r="BE155" i="34"/>
  <c r="BQ79" i="34"/>
  <c r="BQ136" i="34" s="1"/>
  <c r="BQ155" i="34"/>
  <c r="CD79" i="34"/>
  <c r="CD155" i="34"/>
  <c r="CD160" i="34" s="1"/>
  <c r="CD161" i="34" s="1"/>
  <c r="CD162" i="34" s="1"/>
  <c r="CX79" i="34"/>
  <c r="CX155" i="34"/>
  <c r="CX160" i="34" s="1"/>
  <c r="CX161" i="34" s="1"/>
  <c r="CX162" i="34" s="1"/>
  <c r="CN78" i="34"/>
  <c r="CN154" i="34"/>
  <c r="CX78" i="34"/>
  <c r="CX135" i="34" s="1"/>
  <c r="CX154" i="34"/>
  <c r="CT79" i="34"/>
  <c r="CT155" i="34"/>
  <c r="CT160" i="34" s="1"/>
  <c r="CT161" i="34" s="1"/>
  <c r="CT162" i="34" s="1"/>
  <c r="CY79" i="34"/>
  <c r="CY155" i="34"/>
  <c r="CY160" i="34" s="1"/>
  <c r="CY161" i="34" s="1"/>
  <c r="CY162" i="34" s="1"/>
  <c r="CJ79" i="34"/>
  <c r="CJ155" i="34"/>
  <c r="CJ160" i="34" s="1"/>
  <c r="CJ161" i="34" s="1"/>
  <c r="CJ162" i="34" s="1"/>
  <c r="CD78" i="34"/>
  <c r="CD124" i="34" s="1"/>
  <c r="CD170" i="34" s="1"/>
  <c r="CD154" i="34"/>
  <c r="CV79" i="34"/>
  <c r="CV155" i="34"/>
  <c r="CV160" i="34" s="1"/>
  <c r="CV161" i="34" s="1"/>
  <c r="CV162" i="34" s="1"/>
  <c r="CP78" i="34"/>
  <c r="CP154" i="34"/>
  <c r="CH79" i="34"/>
  <c r="CH155" i="34"/>
  <c r="CH160" i="34" s="1"/>
  <c r="CH161" i="34" s="1"/>
  <c r="CH162" i="34" s="1"/>
  <c r="CO78" i="34"/>
  <c r="CO135" i="34" s="1"/>
  <c r="CO154" i="34"/>
  <c r="CN79" i="34"/>
  <c r="CN155" i="34"/>
  <c r="CN160" i="34" s="1"/>
  <c r="CN161" i="34" s="1"/>
  <c r="CN162" i="34" s="1"/>
  <c r="CY78" i="34"/>
  <c r="CY154" i="34"/>
  <c r="CK79" i="34"/>
  <c r="CK155" i="34"/>
  <c r="CK160" i="34" s="1"/>
  <c r="CK161" i="34" s="1"/>
  <c r="CK162" i="34" s="1"/>
  <c r="CW79" i="34"/>
  <c r="CW125" i="34" s="1"/>
  <c r="CW171" i="34" s="1"/>
  <c r="CW155" i="34"/>
  <c r="CW160" i="34" s="1"/>
  <c r="CW161" i="34" s="1"/>
  <c r="CW162" i="34" s="1"/>
  <c r="CR78" i="34"/>
  <c r="CR154" i="34"/>
  <c r="CL79" i="34"/>
  <c r="CL155" i="34"/>
  <c r="CL160" i="34" s="1"/>
  <c r="CL161" i="34" s="1"/>
  <c r="CL162" i="34" s="1"/>
  <c r="CQ78" i="34"/>
  <c r="CQ154" i="34"/>
  <c r="CP79" i="34"/>
  <c r="CP136" i="34" s="1"/>
  <c r="CP155" i="34"/>
  <c r="CP160" i="34" s="1"/>
  <c r="CP161" i="34" s="1"/>
  <c r="CP162" i="34" s="1"/>
  <c r="CJ78" i="34"/>
  <c r="CJ124" i="34" s="1"/>
  <c r="CJ170" i="34" s="1"/>
  <c r="CJ154" i="34"/>
  <c r="CW78" i="34"/>
  <c r="CW154" i="34"/>
  <c r="CH78" i="34"/>
  <c r="CH154" i="34"/>
  <c r="CI79" i="34"/>
  <c r="CI125" i="34" s="1"/>
  <c r="CI171" i="34" s="1"/>
  <c r="CI155" i="34"/>
  <c r="CI160" i="34" s="1"/>
  <c r="CI161" i="34" s="1"/>
  <c r="CI162" i="34" s="1"/>
  <c r="CO79" i="34"/>
  <c r="CO125" i="34" s="1"/>
  <c r="CO171" i="34" s="1"/>
  <c r="CO155" i="34"/>
  <c r="CO160" i="34" s="1"/>
  <c r="CO161" i="34" s="1"/>
  <c r="CO162" i="34" s="1"/>
  <c r="CM79" i="34"/>
  <c r="CM155" i="34"/>
  <c r="CM160" i="34" s="1"/>
  <c r="CM161" i="34" s="1"/>
  <c r="CM162" i="34" s="1"/>
  <c r="CB79" i="34"/>
  <c r="CB155" i="34"/>
  <c r="CB160" i="34" s="1"/>
  <c r="CB161" i="34" s="1"/>
  <c r="CB162" i="34" s="1"/>
  <c r="CV78" i="34"/>
  <c r="CV124" i="34" s="1"/>
  <c r="CV170" i="34" s="1"/>
  <c r="CV154" i="34"/>
  <c r="CS78" i="34"/>
  <c r="CS154" i="34"/>
  <c r="CU78" i="34"/>
  <c r="CU154" i="34"/>
  <c r="CE78" i="34"/>
  <c r="CE154" i="34"/>
  <c r="CC79" i="34"/>
  <c r="CC125" i="34" s="1"/>
  <c r="CC171" i="34" s="1"/>
  <c r="CC155" i="34"/>
  <c r="CC160" i="34" s="1"/>
  <c r="CC161" i="34" s="1"/>
  <c r="CC162" i="34" s="1"/>
  <c r="CK78" i="34"/>
  <c r="CK154" i="34"/>
  <c r="CG78" i="34"/>
  <c r="CG154" i="34"/>
  <c r="CC78" i="34"/>
  <c r="CC154" i="34"/>
  <c r="CI78" i="34"/>
  <c r="CI124" i="34" s="1"/>
  <c r="CI170" i="34" s="1"/>
  <c r="CI154" i="34"/>
  <c r="CT78" i="34"/>
  <c r="CT154" i="34"/>
  <c r="CF79" i="34"/>
  <c r="CF155" i="34"/>
  <c r="CF160" i="34" s="1"/>
  <c r="CF161" i="34" s="1"/>
  <c r="CF162" i="34" s="1"/>
  <c r="CR79" i="34"/>
  <c r="CR155" i="34"/>
  <c r="CR160" i="34" s="1"/>
  <c r="CR161" i="34" s="1"/>
  <c r="CR162" i="34" s="1"/>
  <c r="CL78" i="34"/>
  <c r="CL135" i="34" s="1"/>
  <c r="CL154" i="34"/>
  <c r="CM78" i="34"/>
  <c r="CM154" i="34"/>
  <c r="CU79" i="34"/>
  <c r="CU155" i="34"/>
  <c r="CU160" i="34" s="1"/>
  <c r="CU161" i="34" s="1"/>
  <c r="CU162" i="34" s="1"/>
  <c r="CQ79" i="34"/>
  <c r="CQ155" i="34"/>
  <c r="CQ160" i="34" s="1"/>
  <c r="CQ161" i="34" s="1"/>
  <c r="CQ162" i="34" s="1"/>
  <c r="CG79" i="34"/>
  <c r="CG136" i="34" s="1"/>
  <c r="CG155" i="34"/>
  <c r="CG160" i="34" s="1"/>
  <c r="CG161" i="34" s="1"/>
  <c r="CG162" i="34" s="1"/>
  <c r="CF78" i="34"/>
  <c r="CF154" i="34"/>
  <c r="CS79" i="34"/>
  <c r="CS155" i="34"/>
  <c r="CS160" i="34" s="1"/>
  <c r="CS161" i="34" s="1"/>
  <c r="CS162" i="34" s="1"/>
  <c r="CE79" i="34"/>
  <c r="CE155" i="34"/>
  <c r="CE160" i="34" s="1"/>
  <c r="CE161" i="34" s="1"/>
  <c r="CE162" i="34" s="1"/>
  <c r="CB78" i="34"/>
  <c r="CB135" i="34" s="1"/>
  <c r="CB154" i="34"/>
  <c r="AW78" i="34"/>
  <c r="AW135" i="34" s="1"/>
  <c r="AW154" i="34"/>
  <c r="BC78" i="34"/>
  <c r="BC154" i="34"/>
  <c r="AY78" i="34"/>
  <c r="AY154" i="34"/>
  <c r="BB78" i="34"/>
  <c r="BB135" i="34" s="1"/>
  <c r="BB154" i="34"/>
  <c r="BP78" i="34"/>
  <c r="BP135" i="34" s="1"/>
  <c r="BP154" i="34"/>
  <c r="BR78" i="34"/>
  <c r="BR135" i="34" s="1"/>
  <c r="BR154" i="34"/>
  <c r="BS78" i="34"/>
  <c r="BS124" i="34" s="1"/>
  <c r="BS170" i="34" s="1"/>
  <c r="BS154" i="34"/>
  <c r="AZ78" i="34"/>
  <c r="AZ124" i="34" s="1"/>
  <c r="AZ170" i="34" s="1"/>
  <c r="AZ154" i="34"/>
  <c r="BA78" i="34"/>
  <c r="BA135" i="34" s="1"/>
  <c r="BA154" i="34"/>
  <c r="AX78" i="34"/>
  <c r="AX124" i="34" s="1"/>
  <c r="AX170" i="34" s="1"/>
  <c r="AX154" i="34"/>
  <c r="AV78" i="34"/>
  <c r="AV135" i="34" s="1"/>
  <c r="AV154" i="34"/>
  <c r="BQ78" i="34"/>
  <c r="BQ135" i="34" s="1"/>
  <c r="BQ154" i="34"/>
  <c r="BE78" i="34"/>
  <c r="BE124" i="34" s="1"/>
  <c r="BE170" i="34" s="1"/>
  <c r="BE154" i="34"/>
  <c r="BD78" i="34"/>
  <c r="BD154" i="34"/>
  <c r="J221" i="34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BC122" i="34"/>
  <c r="BC168" i="34" s="1"/>
  <c r="BC133" i="34"/>
  <c r="AZ126" i="34"/>
  <c r="AZ172" i="34" s="1"/>
  <c r="AZ137" i="34"/>
  <c r="BM138" i="34"/>
  <c r="BM127" i="34"/>
  <c r="BM173" i="34" s="1"/>
  <c r="O256" i="34"/>
  <c r="CO140" i="34"/>
  <c r="CO129" i="34"/>
  <c r="CO175" i="34" s="1"/>
  <c r="BK135" i="34"/>
  <c r="BK124" i="34"/>
  <c r="BK170" i="34" s="1"/>
  <c r="BR151" i="34"/>
  <c r="BR75" i="34"/>
  <c r="AX128" i="34"/>
  <c r="AX174" i="34" s="1"/>
  <c r="AX139" i="34"/>
  <c r="CP140" i="34"/>
  <c r="CP129" i="34"/>
  <c r="CP175" i="34" s="1"/>
  <c r="CX126" i="34"/>
  <c r="CX172" i="34" s="1"/>
  <c r="CX137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CN132" i="34"/>
  <c r="CN121" i="34"/>
  <c r="CN167" i="34" s="1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L132" i="34"/>
  <c r="CL121" i="34"/>
  <c r="CL167" i="34" s="1"/>
  <c r="BA122" i="34"/>
  <c r="BA168" i="34" s="1"/>
  <c r="BA133" i="34"/>
  <c r="BC138" i="34"/>
  <c r="BC127" i="34"/>
  <c r="BC173" i="34" s="1"/>
  <c r="CD153" i="34"/>
  <c r="CD77" i="34"/>
  <c r="CS132" i="34"/>
  <c r="CS121" i="34"/>
  <c r="CS167" i="34" s="1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CP132" i="34"/>
  <c r="CP121" i="34"/>
  <c r="CP167" i="34" s="1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CM132" i="34"/>
  <c r="CM121" i="34"/>
  <c r="CM167" i="34" s="1"/>
  <c r="BK136" i="34"/>
  <c r="BK125" i="34"/>
  <c r="BK171" i="34" s="1"/>
  <c r="CJ121" i="34"/>
  <c r="CJ167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AY122" i="34"/>
  <c r="AY168" i="34" s="1"/>
  <c r="CS141" i="34"/>
  <c r="CS130" i="34"/>
  <c r="CS176" i="34" s="1"/>
  <c r="BS129" i="34"/>
  <c r="BS175" i="34" s="1"/>
  <c r="BS140" i="34"/>
  <c r="CR136" i="34"/>
  <c r="CR125" i="34"/>
  <c r="CR171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R124" i="34"/>
  <c r="BR170" i="34" s="1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BB122" i="34"/>
  <c r="BB168" i="34" s="1"/>
  <c r="BB133" i="34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22" i="34"/>
  <c r="AW168" i="34" s="1"/>
  <c r="AW133" i="34"/>
  <c r="DK137" i="34"/>
  <c r="DK126" i="34"/>
  <c r="DK172" i="34" s="1"/>
  <c r="CG139" i="34"/>
  <c r="CG128" i="34"/>
  <c r="CG174" i="34" s="1"/>
  <c r="AV133" i="34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D135" i="34"/>
  <c r="BD124" i="34"/>
  <c r="BD170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CK132" i="34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32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BE133" i="34"/>
  <c r="BE122" i="34"/>
  <c r="BE168" i="34" s="1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BQ133" i="34"/>
  <c r="BQ122" i="34"/>
  <c r="BQ168" i="34" s="1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BD122" i="34"/>
  <c r="BD168" i="34" s="1"/>
  <c r="BD133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AZ122" i="34"/>
  <c r="AZ168" i="34" s="1"/>
  <c r="AZ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BR133" i="34"/>
  <c r="BR122" i="34"/>
  <c r="BR168" i="34" s="1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AY135" i="34"/>
  <c r="AY124" i="34"/>
  <c r="AY170" i="34" s="1"/>
  <c r="BE137" i="34"/>
  <c r="BE126" i="34"/>
  <c r="BE172" i="34" s="1"/>
  <c r="CT152" i="34"/>
  <c r="CT76" i="34"/>
  <c r="CY151" i="34"/>
  <c r="CY75" i="34"/>
  <c r="CH127" i="34"/>
  <c r="CH173" i="34" s="1"/>
  <c r="CH138" i="34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CB124" i="34" l="1"/>
  <c r="CB170" i="34" s="1"/>
  <c r="CL124" i="34"/>
  <c r="CL170" i="34" s="1"/>
  <c r="CO136" i="34"/>
  <c r="CJ135" i="34"/>
  <c r="CP125" i="34"/>
  <c r="CP171" i="34" s="1"/>
  <c r="CX124" i="34"/>
  <c r="CX170" i="34" s="1"/>
  <c r="CD135" i="34"/>
  <c r="CW136" i="34"/>
  <c r="CI136" i="34"/>
  <c r="CI135" i="34"/>
  <c r="CO124" i="34"/>
  <c r="CO170" i="34" s="1"/>
  <c r="CC136" i="34"/>
  <c r="CV135" i="34"/>
  <c r="CG125" i="34"/>
  <c r="CG171" i="34" s="1"/>
  <c r="AW124" i="34"/>
  <c r="AW170" i="34" s="1"/>
  <c r="BE135" i="34"/>
  <c r="AV124" i="34"/>
  <c r="AV170" i="34" s="1"/>
  <c r="BQ124" i="34"/>
  <c r="BQ170" i="34" s="1"/>
  <c r="AX135" i="34"/>
  <c r="BP124" i="34"/>
  <c r="BP170" i="34" s="1"/>
  <c r="BS135" i="34"/>
  <c r="BB124" i="34"/>
  <c r="BB170" i="34" s="1"/>
  <c r="BA124" i="34"/>
  <c r="BA170" i="34" s="1"/>
  <c r="AZ135" i="34"/>
  <c r="T208" i="34"/>
  <c r="X209" i="34" s="1"/>
  <c r="Z209" i="34" s="1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X207" i="34" l="1"/>
  <c r="X208" i="34"/>
  <c r="CP144" i="34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BC11" i="31" s="1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BA4" i="31" s="1"/>
  <c r="S4" i="7"/>
  <c r="BA5" i="31" s="1"/>
  <c r="S5" i="7"/>
  <c r="BA6" i="31" s="1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BB11" i="31" s="1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BA11" i="31" s="1"/>
  <c r="R9" i="7"/>
  <c r="S9" i="7"/>
  <c r="R13" i="7"/>
  <c r="S13" i="7"/>
  <c r="R21" i="7"/>
  <c r="S21" i="7"/>
  <c r="U33" i="7"/>
  <c r="M23" i="7"/>
  <c r="M4" i="7"/>
  <c r="T4" i="7" s="1"/>
  <c r="BB5" i="31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BB12" i="31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BB6" i="31" s="1"/>
  <c r="V3" i="7"/>
  <c r="T3" i="7"/>
  <c r="BB4" i="31" s="1"/>
  <c r="V12" i="7"/>
  <c r="T12" i="7"/>
  <c r="V11" i="7"/>
  <c r="U11" i="7"/>
  <c r="BC12" i="31" s="1"/>
  <c r="V4" i="7"/>
  <c r="U4" i="7"/>
  <c r="BC5" i="31" s="1"/>
  <c r="R26" i="7"/>
  <c r="S26" i="7"/>
  <c r="U5" i="7"/>
  <c r="BC6" i="31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BC4" i="31" s="1"/>
  <c r="U32" i="7"/>
  <c r="R35" i="7"/>
  <c r="S35" i="7"/>
  <c r="S16" i="7"/>
  <c r="BA17" i="31" s="1"/>
  <c r="R16" i="7"/>
  <c r="R11" i="7"/>
  <c r="S11" i="7"/>
  <c r="BA12" i="31" s="1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AD22" i="31" s="1"/>
  <c r="AF22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AK26" i="31" s="1"/>
  <c r="C184" i="34" s="1"/>
  <c r="D184" i="34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66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66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D166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66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G166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66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J192" i="18" l="1"/>
  <c r="J166" i="18"/>
  <c r="I192" i="18"/>
  <c r="I198" i="18" s="1"/>
  <c r="I217" i="18" s="1"/>
  <c r="N7" i="22" s="1"/>
  <c r="AZ17" i="23" s="1"/>
  <c r="AZ35" i="23" s="1"/>
  <c r="I166" i="18"/>
  <c r="H192" i="18"/>
  <c r="H198" i="18" s="1"/>
  <c r="H217" i="18" s="1"/>
  <c r="M7" i="22" s="1"/>
  <c r="AY17" i="23" s="1"/>
  <c r="AY35" i="23" s="1"/>
  <c r="H166" i="18"/>
  <c r="K192" i="18"/>
  <c r="K198" i="18" s="1"/>
  <c r="K217" i="18" s="1"/>
  <c r="P7" i="22" s="1"/>
  <c r="BB17" i="23" s="1"/>
  <c r="BB35" i="23" s="1"/>
  <c r="K166" i="18"/>
  <c r="C192" i="18"/>
  <c r="C166" i="18"/>
  <c r="C183" i="34"/>
  <c r="C185" i="34" s="1"/>
  <c r="D185" i="34" s="1"/>
  <c r="D183" i="34" s="1"/>
  <c r="T234" i="33"/>
  <c r="B83" i="32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AA140" i="18"/>
  <c r="T158" i="18"/>
  <c r="C52" i="15"/>
  <c r="C24" i="15"/>
  <c r="C39" i="15"/>
  <c r="C10" i="33" s="1"/>
  <c r="G150" i="34" s="1"/>
  <c r="C43" i="15"/>
  <c r="C9" i="33" s="1"/>
  <c r="G149" i="34" s="1"/>
  <c r="B192" i="18" l="1"/>
  <c r="B166" i="18"/>
  <c r="R175" i="18"/>
  <c r="R185" i="18" s="1"/>
  <c r="R216" i="18" s="1"/>
  <c r="W6" i="22" s="1"/>
  <c r="BI16" i="23" s="1"/>
  <c r="BI29" i="23" s="1"/>
  <c r="R162" i="18"/>
  <c r="R172" i="18" s="1"/>
  <c r="R215" i="18" s="1"/>
  <c r="W5" i="22" s="1"/>
  <c r="BI15" i="23" s="1"/>
  <c r="BI21" i="23" s="1"/>
  <c r="AJ216" i="34"/>
  <c r="AN216" i="34" s="1"/>
  <c r="AK225" i="34"/>
  <c r="AO225" i="34" s="1"/>
  <c r="AO228" i="34" s="1"/>
  <c r="AR228" i="34" s="1"/>
  <c r="AS228" i="34" s="1"/>
  <c r="AT228" i="34" s="1"/>
  <c r="AW228" i="34" s="1"/>
  <c r="D192" i="34"/>
  <c r="D235" i="34" s="1"/>
  <c r="D236" i="34" s="1"/>
  <c r="F83" i="32"/>
  <c r="F84" i="32"/>
  <c r="T272" i="33"/>
  <c r="X272" i="33" s="1"/>
  <c r="X234" i="33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D276" i="34" l="1"/>
  <c r="D290" i="34" s="1"/>
  <c r="D292" i="34" s="1"/>
  <c r="C307" i="34"/>
  <c r="X237" i="33"/>
  <c r="B115" i="32"/>
  <c r="B126" i="32" s="1"/>
  <c r="C192" i="34"/>
  <c r="C276" i="34" s="1"/>
  <c r="B167" i="33"/>
  <c r="J167" i="33" s="1"/>
  <c r="D142" i="34"/>
  <c r="D143" i="34"/>
  <c r="D119" i="32"/>
  <c r="B122" i="32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D293" i="34" l="1"/>
  <c r="D294" i="34" s="1"/>
  <c r="B128" i="32"/>
  <c r="B130" i="32" s="1"/>
  <c r="C293" i="34"/>
  <c r="C290" i="34"/>
  <c r="C292" i="34" s="1"/>
  <c r="C235" i="34"/>
  <c r="C236" i="34" s="1"/>
  <c r="J170" i="33"/>
  <c r="AA237" i="33"/>
  <c r="D161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C294" i="34" l="1"/>
  <c r="AB237" i="33"/>
  <c r="AC237" i="33" s="1"/>
  <c r="AF237" i="33" s="1"/>
  <c r="D162" i="34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179" i="34" l="1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C21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C157" i="34"/>
  <c r="D151" i="34"/>
  <c r="D157" i="34" l="1"/>
  <c r="D194" i="34"/>
  <c r="AE33" i="31" l="1"/>
  <c r="T240" i="33" s="1"/>
  <c r="T273" i="33" l="1"/>
  <c r="X273" i="33" s="1"/>
  <c r="J142" i="33" s="1"/>
  <c r="C186" i="34"/>
  <c r="D186" i="34" s="1"/>
  <c r="X240" i="33"/>
  <c r="AA240" i="33" l="1"/>
  <c r="C310" i="34"/>
  <c r="C243" i="34"/>
  <c r="D243" i="34" s="1"/>
  <c r="AJ217" i="34"/>
  <c r="AN217" i="34" s="1"/>
  <c r="D220" i="34" s="1"/>
  <c r="D221" i="34" s="1"/>
  <c r="D237" i="34" s="1"/>
  <c r="AK231" i="34"/>
  <c r="AO231" i="34" s="1"/>
  <c r="AR231" i="34" s="1"/>
  <c r="AS231" i="34" s="1"/>
  <c r="AT231" i="34" s="1"/>
  <c r="AW231" i="34" s="1"/>
  <c r="D240" i="34" s="1"/>
  <c r="C220" i="34"/>
  <c r="C221" i="34" s="1"/>
  <c r="C237" i="34" s="1"/>
  <c r="J145" i="33"/>
  <c r="B174" i="33" s="1"/>
  <c r="B175" i="33" l="1"/>
  <c r="D238" i="34"/>
  <c r="D241" i="34"/>
  <c r="D242" i="34" s="1"/>
  <c r="C238" i="34"/>
  <c r="AB240" i="33"/>
  <c r="AC240" i="33" s="1"/>
  <c r="AF240" i="33" s="1"/>
  <c r="B178" i="33" s="1"/>
  <c r="C240" i="34" s="1"/>
  <c r="C241" i="34" s="1"/>
  <c r="C242" i="34" s="1"/>
  <c r="C244" i="34"/>
  <c r="D244" i="34" s="1"/>
  <c r="B180" i="33" l="1"/>
  <c r="B181" i="33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<sst xmlns="http://schemas.openxmlformats.org/spreadsheetml/2006/main" count="3030" uniqueCount="1509">
  <si>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</si>
  <si>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</si>
  <si>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</si>
  <si>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</si>
  <si>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</si>
  <si>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</si>
  <si>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</si>
  <si>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</si>
  <si>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</si>
  <si>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</si>
  <si>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</si>
  <si>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</si>
  <si>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</si>
  <si>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</si>
  <si>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</si>
  <si>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</si>
  <si>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</si>
  <si>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</si>
  <si>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</si>
  <si>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</si>
  <si>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</si>
  <si>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</si>
  <si>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</si>
  <si>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</si>
  <si>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</si>
  <si>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</si>
  <si>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</si>
  <si>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</si>
  <si>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</si>
  <si>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</si>
  <si>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</si>
  <si>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</si>
  <si>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</si>
  <si>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</si>
  <si>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</si>
  <si>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</si>
  <si>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</si>
  <si>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</si>
  <si>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</si>
  <si>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</si>
  <si>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</si>
  <si>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</si>
  <si>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</si>
  <si>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</si>
  <si>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</si>
  <si>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</si>
  <si>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</si>
  <si>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</si>
  <si>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</si>
  <si>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</si>
  <si>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</si>
  <si>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</si>
  <si>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</si>
  <si>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</si>
  <si>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</si>
  <si>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</si>
  <si>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</si>
  <si>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</si>
  <si>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</si>
  <si>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</si>
  <si>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</si>
  <si>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</si>
  <si>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</si>
  <si>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</si>
  <si>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</si>
  <si>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</si>
  <si>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</si>
  <si>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</si>
  <si>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</si>
  <si>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</si>
  <si>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</si>
  <si>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</si>
  <si>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</si>
  <si>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</si>
  <si>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</si>
  <si>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</si>
  <si>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</si>
  <si>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</si>
  <si>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</si>
  <si>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</si>
  <si>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</si>
  <si>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</si>
  <si>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</si>
  <si>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</si>
  <si>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</si>
  <si>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</si>
  <si>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</si>
  <si>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</si>
  <si>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</si>
  <si>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</si>
  <si>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</si>
  <si>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</si>
  <si>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</si>
  <si>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</si>
  <si>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</si>
  <si>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</si>
  <si>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</si>
  <si>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</si>
  <si>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</si>
  <si>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</si>
  <si>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</si>
  <si>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</si>
  <si>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</si>
  <si>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</si>
  <si>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</si>
  <si>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</si>
  <si>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</si>
  <si>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</si>
  <si>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</si>
  <si>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</si>
  <si>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</si>
  <si>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</si>
  <si>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</si>
  <si>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</si>
  <si>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</si>
  <si>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</si>
  <si>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</si>
  <si>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</si>
  <si>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</si>
  <si>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</si>
  <si>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</si>
  <si>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</si>
  <si>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</si>
  <si>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</si>
  <si>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</si>
  <si>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</si>
  <si>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</si>
  <si>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</si>
  <si>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</si>
  <si>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</si>
  <si>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</si>
  <si>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</si>
  <si>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</si>
  <si>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</si>
  <si>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</si>
  <si>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</si>
  <si>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</si>
  <si>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</si>
  <si>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</si>
  <si>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</si>
  <si>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</si>
  <si>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</si>
  <si>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</si>
  <si>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</si>
  <si>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</si>
  <si>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</si>
  <si>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</si>
  <si>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</si>
  <si>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</si>
  <si>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</si>
  <si>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</si>
  <si>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</si>
  <si>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</si>
  <si>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</si>
  <si>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</si>
  <si>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</si>
  <si>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</si>
  <si>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</si>
  <si>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</si>
  <si>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</si>
  <si>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</si>
  <si>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</si>
  <si>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</si>
  <si>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</si>
  <si>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</si>
  <si>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</si>
  <si>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</si>
  <si>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</si>
  <si>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</si>
  <si>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</si>
  <si>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</si>
  <si>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</si>
  <si>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</si>
  <si>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</si>
  <si>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</si>
  <si>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</si>
  <si>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</si>
  <si>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</si>
  <si>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</si>
  <si>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</si>
  <si>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</si>
  <si>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</si>
  <si>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</si>
  <si>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</si>
  <si>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</si>
  <si>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</si>
  <si>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</si>
  <si>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</si>
  <si>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</si>
  <si>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</si>
  <si>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</si>
  <si>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</si>
  <si>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</si>
  <si>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</si>
  <si>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</si>
  <si>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</si>
  <si>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</si>
  <si>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</si>
  <si>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</si>
  <si>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</si>
  <si>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</si>
  <si>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</si>
  <si>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</si>
  <si>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</si>
  <si>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</si>
  <si>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</si>
  <si>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</si>
  <si>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</si>
  <si>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</si>
  <si>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</si>
  <si>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</si>
  <si>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</si>
  <si>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</si>
  <si>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</si>
  <si>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</si>
  <si>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</si>
  <si>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</si>
  <si>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</si>
  <si>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</si>
  <si>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</si>
  <si>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</si>
  <si>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</si>
  <si>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</si>
  <si>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</si>
  <si>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</si>
  <si>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</si>
  <si>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</si>
  <si>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</si>
  <si>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</si>
  <si>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</si>
  <si>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</si>
  <si>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</si>
  <si>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</si>
  <si>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</si>
  <si>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</si>
  <si>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</si>
  <si>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</si>
  <si>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</si>
  <si>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</si>
  <si>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</si>
  <si>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</si>
  <si>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</si>
  <si>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</si>
  <si>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</si>
  <si>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</si>
  <si>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</si>
  <si>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</si>
  <si>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</si>
  <si>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</si>
  <si>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</si>
  <si>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</si>
  <si>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</si>
  <si>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</si>
  <si>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</si>
  <si>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</si>
  <si>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</si>
  <si>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</si>
  <si>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</si>
  <si>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</si>
  <si>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</si>
  <si>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</si>
  <si>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</si>
  <si>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</si>
  <si>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</si>
  <si>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</si>
  <si>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</si>
  <si>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</si>
  <si>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</si>
  <si>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</si>
  <si>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</si>
  <si>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</si>
  <si>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</si>
  <si>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</si>
  <si>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</si>
  <si>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</si>
  <si>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</si>
  <si>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</si>
  <si>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</si>
  <si>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</si>
  <si>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</si>
  <si>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</si>
  <si>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</si>
  <si>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</si>
  <si>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</si>
  <si>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</si>
  <si>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</si>
  <si>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</si>
  <si>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</si>
  <si>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</si>
  <si>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</si>
  <si>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</si>
  <si>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</si>
  <si>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</si>
  <si>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</si>
  <si>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</si>
  <si>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</si>
  <si>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</si>
  <si>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</si>
  <si>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</si>
  <si>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</si>
  <si>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</si>
  <si>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</si>
  <si>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</si>
  <si>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</si>
  <si>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</si>
  <si>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</si>
  <si>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</si>
  <si>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</si>
  <si>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</si>
  <si>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</si>
  <si>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</si>
  <si>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</si>
  <si>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</si>
  <si>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</si>
  <si>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</si>
  <si>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</si>
  <si>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</si>
  <si>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</si>
  <si>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</si>
  <si>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</si>
  <si>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</si>
  <si>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</si>
  <si>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</si>
  <si>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</si>
  <si>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</si>
  <si>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</si>
  <si>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</si>
  <si>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</si>
  <si>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</si>
  <si>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</si>
  <si>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</si>
  <si>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</si>
  <si>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</si>
  <si>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</si>
  <si>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</si>
  <si>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</si>
  <si>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</si>
  <si>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</si>
  <si>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</si>
  <si>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</si>
  <si>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</si>
  <si>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</si>
  <si>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</si>
  <si>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</si>
  <si>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</si>
  <si>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</si>
  <si>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</si>
  <si>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</si>
  <si>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</si>
  <si>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</si>
  <si>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</si>
  <si>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</si>
  <si>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</si>
  <si>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</si>
  <si>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</si>
  <si>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</si>
  <si>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</si>
  <si>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</si>
  <si>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</si>
  <si>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</si>
  <si>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</si>
  <si>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</si>
  <si>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</si>
  <si>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</si>
  <si>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</si>
  <si>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</si>
  <si>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</si>
  <si>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</si>
  <si>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</si>
  <si>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</si>
  <si>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</si>
  <si>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</si>
  <si>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</si>
  <si>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</si>
  <si>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</si>
  <si>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</si>
  <si>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</si>
  <si>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</si>
  <si>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</si>
  <si>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</si>
  <si>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</si>
  <si>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</si>
  <si>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</si>
  <si>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</si>
  <si>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</si>
  <si>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</si>
  <si>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</si>
  <si>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</si>
  <si>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</si>
  <si>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</si>
  <si>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</si>
  <si>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</si>
  <si>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</si>
  <si>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</si>
  <si>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</si>
  <si>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</si>
  <si>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</si>
  <si>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</si>
  <si>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</si>
  <si>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</si>
  <si>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</si>
  <si>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</si>
  <si>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</si>
  <si>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</si>
  <si>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</si>
  <si>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</si>
  <si>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</si>
  <si>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</si>
  <si>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</si>
  <si>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</si>
  <si>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</si>
  <si>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</si>
  <si>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</si>
  <si>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</si>
  <si>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</si>
  <si>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</si>
  <si>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</si>
  <si>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</si>
  <si>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</si>
  <si>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</si>
  <si>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</si>
  <si>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</si>
  <si>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</si>
  <si>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</si>
  <si>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</si>
  <si>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</si>
  <si>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</si>
  <si>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</si>
  <si>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</si>
  <si>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</si>
  <si>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</si>
  <si>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</si>
  <si>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</si>
  <si>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</si>
  <si>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</si>
  <si>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</si>
  <si>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</si>
  <si>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</si>
  <si>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</si>
  <si>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</si>
  <si>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</si>
  <si>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</si>
  <si>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</si>
  <si>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</si>
  <si>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</si>
  <si>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</si>
  <si>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</si>
  <si>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</si>
  <si>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</si>
  <si>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</si>
  <si>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</si>
  <si>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</si>
  <si>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</si>
  <si>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</si>
  <si>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</si>
  <si>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</si>
  <si>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</si>
  <si>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</si>
  <si>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</si>
  <si>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</si>
  <si>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</si>
  <si>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</si>
  <si>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</si>
  <si>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</si>
  <si>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</si>
  <si>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</si>
  <si>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</si>
  <si>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</si>
  <si>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</si>
  <si>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</si>
  <si>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</si>
  <si>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</si>
  <si>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</si>
  <si>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</si>
  <si>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</si>
  <si>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</si>
  <si>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</si>
  <si>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</si>
  <si>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</si>
  <si>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</si>
  <si>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</si>
  <si>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</si>
  <si>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</si>
  <si>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</si>
  <si>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</si>
  <si>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</si>
  <si>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</si>
  <si>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</si>
  <si>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</si>
  <si>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</si>
  <si>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</si>
  <si>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</si>
  <si>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</si>
  <si>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</si>
  <si>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</si>
  <si>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</si>
  <si>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</si>
  <si>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</si>
  <si>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</si>
  <si>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</si>
  <si>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</si>
  <si>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</si>
  <si>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</si>
  <si>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</si>
  <si>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</si>
  <si>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</si>
  <si>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</si>
  <si>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</si>
  <si>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</si>
  <si>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</si>
  <si>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</si>
  <si>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</si>
  <si>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</si>
  <si>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</si>
  <si>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</si>
  <si>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</si>
  <si>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</si>
  <si>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</si>
  <si>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</si>
  <si>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</si>
  <si>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</si>
  <si>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</si>
  <si>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</si>
  <si>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</si>
  <si>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</si>
  <si>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</si>
  <si>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</si>
  <si>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</si>
  <si>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</si>
  <si>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</si>
  <si>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</si>
  <si>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</si>
  <si>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</si>
  <si>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</si>
  <si>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</si>
  <si>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</si>
  <si>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</si>
  <si>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</si>
  <si>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</si>
  <si>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</si>
  <si>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</si>
  <si>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</si>
  <si>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</si>
  <si>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</si>
  <si>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</si>
  <si>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</si>
  <si>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</si>
  <si>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</si>
  <si>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</si>
  <si>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</si>
  <si>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</si>
  <si>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</si>
  <si>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</si>
  <si>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</si>
  <si>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</si>
  <si>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</si>
  <si>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</si>
  <si>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</si>
  <si>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</si>
  <si>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</si>
  <si>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</si>
  <si>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</si>
  <si>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</si>
  <si>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</si>
  <si>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</si>
  <si>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</si>
  <si>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</si>
  <si>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</si>
  <si>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</si>
  <si>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</si>
  <si>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</si>
  <si>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</si>
  <si>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</si>
  <si>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</si>
  <si>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</si>
  <si>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</si>
  <si>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</si>
  <si>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</si>
  <si>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</si>
  <si>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</si>
  <si>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</si>
  <si>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</si>
  <si>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</si>
  <si>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</si>
  <si>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</si>
  <si>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</si>
  <si>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</si>
  <si>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</si>
  <si>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</si>
  <si>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</si>
  <si>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</si>
  <si>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</si>
  <si>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</si>
  <si>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</si>
  <si>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</si>
  <si>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</si>
  <si>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</si>
  <si>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</si>
  <si>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</si>
  <si>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</si>
  <si>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</si>
  <si>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</si>
  <si>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</si>
  <si>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</si>
  <si>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</si>
  <si>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</si>
  <si>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</si>
  <si>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</si>
  <si>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</si>
  <si>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</si>
  <si>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</si>
  <si>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</si>
  <si>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</si>
  <si>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</si>
  <si>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</si>
  <si>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</si>
  <si>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</si>
  <si>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</si>
  <si>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</si>
  <si>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</si>
  <si>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</si>
  <si>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</si>
  <si>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</si>
  <si>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</si>
  <si>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</si>
  <si>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</si>
  <si>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</si>
  <si>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</si>
  <si>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</si>
  <si>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</si>
  <si>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</si>
  <si>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</si>
  <si>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</si>
  <si>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</si>
  <si>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</si>
  <si>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</si>
  <si>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</si>
  <si>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</si>
  <si>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</si>
  <si>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</si>
  <si>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</si>
  <si>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</si>
  <si>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</si>
  <si>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</si>
  <si>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</si>
  <si>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</si>
  <si>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</si>
  <si>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</si>
  <si>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</si>
  <si>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</si>
  <si>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</si>
  <si>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</si>
  <si>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</si>
  <si>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</si>
  <si>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</si>
  <si>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</si>
  <si>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</si>
  <si>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</si>
  <si>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</si>
  <si>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</si>
  <si>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</si>
  <si>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</si>
  <si>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</si>
  <si>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</si>
  <si>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</si>
  <si>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</si>
  <si>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</si>
  <si>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</si>
  <si>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</si>
  <si>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</si>
  <si>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</si>
  <si>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</si>
  <si>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</si>
  <si>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</si>
  <si>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</si>
  <si>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</si>
  <si>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</si>
  <si>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</si>
  <si>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</si>
  <si>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</si>
  <si>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</si>
  <si>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</si>
  <si>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</si>
  <si>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</si>
  <si>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</si>
  <si>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</si>
  <si>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</si>
  <si>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</si>
  <si>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</si>
  <si>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</si>
  <si>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</si>
  <si>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</si>
  <si>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</si>
  <si>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</si>
  <si>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</si>
  <si>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</si>
  <si>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</si>
  <si>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</si>
  <si>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</si>
  <si>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</si>
  <si>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</si>
  <si>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</si>
  <si>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</si>
  <si>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</si>
  <si>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</si>
  <si>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</si>
  <si>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</si>
  <si>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</si>
  <si>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</si>
  <si>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</si>
  <si>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</si>
  <si>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</si>
  <si>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</si>
  <si>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</si>
  <si>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</si>
  <si>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</si>
  <si>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</si>
  <si>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</si>
  <si>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</si>
  <si>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</si>
  <si>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</si>
  <si>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</si>
  <si>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</si>
  <si>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</si>
  <si>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</si>
  <si>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</si>
  <si>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</si>
  <si>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</si>
  <si>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</si>
  <si>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</si>
  <si>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</si>
  <si>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</si>
  <si>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</si>
  <si>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</si>
  <si>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</si>
  <si>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</si>
  <si>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</si>
  <si>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</si>
  <si>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</si>
  <si>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</si>
  <si>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</si>
  <si>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</si>
  <si>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</si>
  <si>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</si>
  <si>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</si>
  <si>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</si>
  <si>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</si>
  <si>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</si>
  <si>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</si>
  <si>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</si>
  <si>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</si>
  <si>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</si>
  <si>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</si>
  <si>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</si>
  <si>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</si>
  <si>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</si>
  <si>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</si>
  <si>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</si>
  <si>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</si>
  <si>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</si>
  <si>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</si>
  <si>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</si>
  <si>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</si>
  <si>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</si>
  <si>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</si>
  <si>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</si>
  <si>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</si>
  <si>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</si>
  <si>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</si>
  <si>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</si>
  <si>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</si>
  <si>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</si>
  <si>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</si>
  <si>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</si>
  <si>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</si>
  <si>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</si>
  <si>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</si>
  <si>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</si>
  <si>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</si>
  <si>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</si>
  <si>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</si>
  <si>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</si>
  <si>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</si>
  <si>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</si>
  <si>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</si>
  <si>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</si>
  <si>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</si>
  <si>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</si>
  <si>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</si>
  <si>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</si>
  <si>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</si>
  <si>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</si>
  <si>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</si>
  <si>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</si>
  <si>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</si>
  <si>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</si>
  <si>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</si>
  <si>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</si>
  <si>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</si>
  <si>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</si>
  <si>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</si>
  <si>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</si>
  <si>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</si>
  <si>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</si>
  <si>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</si>
  <si>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</si>
  <si>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</si>
  <si>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</si>
  <si>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</si>
  <si>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</si>
  <si>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</si>
  <si>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</si>
  <si>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</si>
  <si>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</si>
  <si>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</si>
  <si>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</si>
  <si>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</si>
  <si>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</si>
  <si>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</si>
  <si>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</si>
  <si>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</si>
  <si>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</si>
  <si>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</si>
  <si>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</si>
  <si>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</si>
  <si>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</si>
  <si>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</si>
  <si>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</si>
  <si>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</si>
  <si>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</si>
  <si>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</si>
  <si>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</si>
  <si>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</si>
  <si>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</si>
  <si>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</si>
  <si>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</si>
  <si>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</si>
  <si>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</si>
  <si>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</si>
  <si>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</si>
  <si>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</si>
  <si>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</si>
  <si>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</si>
  <si>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</si>
  <si>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</si>
  <si>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</si>
  <si>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</si>
  <si>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</si>
  <si>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</si>
  <si>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</si>
  <si>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</si>
  <si>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</si>
  <si>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</si>
  <si>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</si>
  <si>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</si>
  <si>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</si>
  <si>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</si>
  <si>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</si>
  <si>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</si>
  <si>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</si>
  <si>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</si>
  <si>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</si>
  <si>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</si>
  <si>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</si>
  <si>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</si>
  <si>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</si>
  <si>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</si>
  <si>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</si>
  <si>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</si>
  <si>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</si>
  <si>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</si>
  <si>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</si>
  <si>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</si>
  <si>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</si>
  <si>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</si>
  <si>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</si>
  <si>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</si>
  <si>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</si>
  <si>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</si>
  <si>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</si>
  <si>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</si>
  <si>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</si>
  <si>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</si>
  <si>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</si>
  <si>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</si>
  <si>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</si>
  <si>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</si>
  <si>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</si>
  <si>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</si>
  <si>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</si>
  <si>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</si>
  <si>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</si>
  <si>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</si>
  <si>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</si>
  <si>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</si>
  <si>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</si>
  <si>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</si>
  <si>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</si>
  <si>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</si>
  <si>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</si>
  <si>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</si>
  <si>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</si>
  <si>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</si>
  <si>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</si>
  <si>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</si>
  <si>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</si>
  <si>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</si>
  <si>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</si>
  <si>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</si>
  <si>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</si>
  <si>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</si>
  <si>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</si>
  <si>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</si>
  <si>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</si>
  <si>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</si>
  <si>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</si>
  <si>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</si>
  <si>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</si>
  <si>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</si>
  <si>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</si>
  <si>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</si>
  <si>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</si>
  <si>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</si>
  <si>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</si>
  <si>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</si>
  <si>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</si>
  <si>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</si>
  <si>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</si>
  <si>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</si>
  <si>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</si>
  <si>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</si>
  <si>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</si>
  <si>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</si>
  <si>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</si>
  <si>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</si>
  <si>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</si>
  <si>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</si>
  <si>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</si>
  <si>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</si>
  <si>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</si>
  <si>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</si>
  <si>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</si>
  <si>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</si>
  <si>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</si>
  <si>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</si>
  <si>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</si>
  <si>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</si>
  <si>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</si>
  <si>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</si>
  <si>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</si>
  <si>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</si>
  <si>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</si>
  <si>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</si>
  <si>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</si>
  <si>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</si>
  <si>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</si>
  <si>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</si>
  <si>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</si>
  <si>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</si>
  <si>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</si>
  <si>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</si>
  <si>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</si>
  <si>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</si>
  <si>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</si>
  <si>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</si>
  <si>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</si>
  <si>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</si>
  <si>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</si>
  <si>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</si>
  <si>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</si>
  <si>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</si>
  <si>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</si>
  <si>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</si>
  <si>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</si>
  <si>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</si>
  <si>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</si>
  <si>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</si>
  <si>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</si>
  <si>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</si>
  <si>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</si>
  <si>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</si>
  <si>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</si>
  <si>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</si>
  <si>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</si>
  <si>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</si>
  <si>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</si>
  <si>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</si>
  <si>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</si>
  <si>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</si>
  <si>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</si>
  <si>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</si>
  <si>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</si>
  <si>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</si>
  <si>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</si>
  <si>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</si>
  <si>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</si>
  <si>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</si>
  <si>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</si>
  <si>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</si>
  <si>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</si>
  <si>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</si>
  <si>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</si>
  <si>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</si>
  <si>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</si>
  <si>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</si>
  <si>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</si>
  <si>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</si>
  <si>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</si>
  <si>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</si>
  <si>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</si>
  <si>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</si>
  <si>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</si>
  <si>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</si>
  <si>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</si>
  <si>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</si>
  <si>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</si>
  <si>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</si>
  <si>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</si>
  <si>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</si>
  <si>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</si>
  <si>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</si>
  <si>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</si>
  <si>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</si>
  <si>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</si>
  <si>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</si>
  <si>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</si>
  <si>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</si>
  <si>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</si>
  <si>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</si>
  <si>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</si>
  <si>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</si>
  <si>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</si>
  <si>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</si>
  <si>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</si>
  <si>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</si>
  <si>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</si>
  <si>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</si>
  <si>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</si>
  <si>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</si>
  <si>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</si>
  <si>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</si>
  <si>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</si>
  <si>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</si>
  <si>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</si>
  <si>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</si>
  <si>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</si>
  <si>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</si>
  <si>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</si>
  <si>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</si>
  <si>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</si>
  <si>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</si>
  <si>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</si>
  <si>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</si>
  <si>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</si>
  <si>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</si>
  <si>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</si>
  <si>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</si>
  <si>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</si>
  <si>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</si>
  <si>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</si>
  <si>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</si>
  <si>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</si>
  <si>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</si>
  <si>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</si>
  <si>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</si>
  <si>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</si>
  <si>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</si>
  <si>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</si>
  <si>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</si>
  <si>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</si>
  <si>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</si>
  <si>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</si>
  <si>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</si>
  <si>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</si>
  <si>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</si>
  <si>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</si>
  <si>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</si>
  <si>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</si>
  <si>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</si>
  <si>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</si>
  <si>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</si>
  <si>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</si>
  <si>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</si>
  <si>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</si>
  <si>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</si>
  <si>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</si>
  <si>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</si>
  <si>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</si>
  <si>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</si>
  <si>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</si>
  <si>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</si>
  <si>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</si>
  <si>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</si>
  <si>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</si>
  <si>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</si>
  <si>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</si>
  <si>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</si>
  <si>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</si>
  <si>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</si>
  <si>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</si>
  <si>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</si>
  <si>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</si>
  <si>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</si>
  <si>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</si>
  <si>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</si>
  <si>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</si>
  <si>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</si>
  <si>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</si>
  <si>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</si>
  <si>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</si>
  <si>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</si>
  <si>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</si>
  <si>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</si>
  <si>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</si>
  <si>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</si>
  <si>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</si>
  <si>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</si>
  <si>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</si>
  <si>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</si>
  <si>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</si>
  <si>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</si>
  <si>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</si>
  <si>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</si>
  <si>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</si>
  <si>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</si>
  <si>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</si>
  <si>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</si>
  <si>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</si>
  <si>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</si>
  <si>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</si>
  <si>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</si>
  <si>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</si>
  <si>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</si>
  <si>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</si>
  <si>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</si>
  <si>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</si>
  <si>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</si>
  <si>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</si>
  <si>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</si>
  <si>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</si>
  <si>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</si>
  <si>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</si>
  <si>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</si>
  <si>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</si>
  <si>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</si>
  <si>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</si>
  <si>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</si>
  <si>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</si>
  <si>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</si>
  <si>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</si>
  <si>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</si>
  <si>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</si>
  <si>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</si>
  <si>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</si>
  <si>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</si>
  <si>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</si>
  <si>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</si>
  <si>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</si>
  <si>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</si>
  <si>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</si>
  <si>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</si>
  <si>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</si>
  <si>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</si>
  <si>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</si>
  <si>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</si>
  <si>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</si>
  <si>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</si>
  <si>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</si>
  <si>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</si>
  <si>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</si>
  <si>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</si>
  <si>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</si>
  <si>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</si>
  <si>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</si>
  <si>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</si>
  <si>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</si>
  <si>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</si>
  <si>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</si>
  <si>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</si>
  <si>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</si>
  <si>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</si>
  <si>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</si>
  <si>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</si>
  <si>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</si>
  <si>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</si>
  <si>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</si>
  <si>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</si>
  <si>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</si>
  <si>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</si>
  <si>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</si>
  <si>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</si>
  <si>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</si>
  <si>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</si>
  <si>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</si>
  <si>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</si>
  <si>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</si>
  <si>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</si>
  <si>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</si>
  <si>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</si>
  <si>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</si>
  <si>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</si>
  <si>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</si>
  <si>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</si>
  <si>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</si>
  <si>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</si>
  <si>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</si>
  <si>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</si>
  <si>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</si>
  <si>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</si>
  <si>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</si>
  <si>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</si>
  <si>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</si>
  <si>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</si>
  <si>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</si>
  <si>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</si>
  <si>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</si>
  <si>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</si>
  <si>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</si>
  <si>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</si>
  <si>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</si>
  <si>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</si>
  <si>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</si>
  <si>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</si>
  <si>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</si>
  <si>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</si>
  <si>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</si>
  <si>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</si>
  <si>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</si>
  <si>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</si>
  <si>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</si>
  <si>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</si>
  <si>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</si>
  <si>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</si>
  <si>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</si>
  <si>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</si>
  <si>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</si>
  <si>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</si>
  <si>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</si>
  <si>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</si>
  <si>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</si>
  <si>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</si>
  <si>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</si>
  <si>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</si>
  <si>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</si>
  <si>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</si>
  <si>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</si>
  <si>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</si>
  <si>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</si>
  <si>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</si>
  <si>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</si>
  <si>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</si>
  <si>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</si>
  <si>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</si>
  <si>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</si>
  <si>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</si>
  <si>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</si>
  <si>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</si>
  <si>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</si>
  <si>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</si>
  <si>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</si>
  <si>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</si>
  <si>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</si>
  <si>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</si>
  <si>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</si>
  <si>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</si>
  <si>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</si>
  <si>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</si>
  <si>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</si>
  <si>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</si>
  <si>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</si>
  <si>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</si>
  <si>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</si>
  <si>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</si>
  <si>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</si>
  <si>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</si>
  <si>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</si>
  <si>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</si>
  <si>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</si>
  <si>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</si>
  <si>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</si>
  <si>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</si>
  <si>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</si>
  <si>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</si>
  <si>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</si>
  <si>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</si>
  <si>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</si>
  <si>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</si>
  <si>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</si>
  <si>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</si>
  <si>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</si>
  <si>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</si>
  <si>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</si>
  <si>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</si>
  <si>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</si>
  <si>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</si>
  <si>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</si>
  <si>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</si>
  <si>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</si>
  <si>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</si>
  <si>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</si>
  <si>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</si>
  <si>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</si>
  <si>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</si>
  <si>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</si>
  <si>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</si>
  <si>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</si>
  <si>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</si>
  <si>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</si>
  <si>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</si>
  <si>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</si>
  <si>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</si>
  <si>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</si>
  <si>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</si>
  <si>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</si>
  <si>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</si>
  <si>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</si>
  <si>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</si>
  <si>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</si>
  <si>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</si>
  <si>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</si>
  <si>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</si>
  <si>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</si>
  <si>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</si>
  <si>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</si>
  <si>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</si>
  <si>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</si>
  <si>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</si>
  <si>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</si>
  <si>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</si>
  <si>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</si>
  <si>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</si>
  <si>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</si>
  <si>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</si>
  <si>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</si>
  <si>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</si>
  <si>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</si>
  <si>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</si>
  <si>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</si>
  <si>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</si>
  <si>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</si>
  <si>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</si>
  <si>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</si>
  <si>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</si>
  <si>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</si>
  <si>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</si>
  <si>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</si>
  <si>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</si>
  <si>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</si>
  <si>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</si>
  <si>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</si>
  <si>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</si>
  <si>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</si>
  <si>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</si>
  <si>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</si>
  <si>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</si>
  <si>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</si>
  <si>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</si>
  <si>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</si>
  <si>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</si>
  <si>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</si>
  <si>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</si>
  <si>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</si>
  <si>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</si>
  <si>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</si>
  <si>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</si>
  <si>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</si>
  <si>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</si>
  <si>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</si>
  <si>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</si>
  <si>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</si>
  <si>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</si>
  <si>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</si>
  <si>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</si>
  <si>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</si>
  <si>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</si>
  <si>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</si>
  <si>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</si>
  <si>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</si>
  <si>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</si>
  <si>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</si>
  <si>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</si>
  <si>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</si>
  <si>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</si>
  <si>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</si>
  <si>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</si>
  <si>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</si>
  <si>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</si>
  <si>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</si>
  <si>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</si>
  <si>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</si>
  <si>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</si>
  <si>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</si>
  <si>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</si>
  <si>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</si>
  <si>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</si>
  <si>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</si>
  <si>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</si>
  <si>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</si>
  <si>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</si>
  <si>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</si>
  <si>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</si>
  <si>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</si>
  <si>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</si>
  <si>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</si>
  <si>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</si>
  <si>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</si>
  <si>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</si>
  <si>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</si>
  <si>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</si>
  <si>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</si>
  <si>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</si>
  <si>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</si>
  <si>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</si>
  <si>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</si>
  <si>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</si>
  <si>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</si>
  <si>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</si>
  <si>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</si>
  <si>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</si>
  <si>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</si>
  <si>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</si>
  <si>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</si>
  <si>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</si>
  <si>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</si>
  <si>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</si>
  <si>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</si>
  <si>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</si>
  <si>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</si>
  <si>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</si>
  <si>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</si>
  <si>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</si>
  <si>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</si>
  <si>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</si>
  <si>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</si>
  <si>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</si>
  <si>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</si>
  <si>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</si>
  <si>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</si>
  <si>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</si>
  <si>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</si>
  <si>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</si>
  <si>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</si>
  <si>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</si>
  <si>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</si>
  <si>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</si>
  <si>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</si>
  <si>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</si>
  <si>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</si>
  <si>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</si>
  <si>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</si>
  <si>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</si>
  <si>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</si>
  <si>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</si>
  <si>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</si>
  <si>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</si>
  <si>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</si>
  <si>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</si>
  <si>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</si>
  <si>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</si>
  <si>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</si>
  <si>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</si>
  <si>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</si>
  <si>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</si>
  <si>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</si>
  <si>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</si>
  <si>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</si>
  <si>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</si>
  <si>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</si>
  <si>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</si>
  <si>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</si>
  <si>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</si>
  <si>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</si>
  <si>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</si>
  <si>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</si>
  <si>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</si>
  <si>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</si>
  <si>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</si>
  <si>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</si>
  <si>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</si>
  <si>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</si>
  <si>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</si>
  <si>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</si>
  <si>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</si>
  <si>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</si>
  <si>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</si>
  <si>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</si>
  <si>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</si>
  <si>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</si>
  <si>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</si>
  <si>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</si>
  <si>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</si>
  <si>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</si>
  <si>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</si>
  <si>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</si>
  <si>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</si>
  <si>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</si>
  <si>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</si>
  <si>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</si>
  <si>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</si>
  <si>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</si>
  <si>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</si>
  <si>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</si>
  <si>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</si>
  <si>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</si>
  <si>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</si>
  <si>
    <t>tardive + vides</t>
  </si>
  <si>
    <t>Broutards</t>
  </si>
  <si>
    <t>génisses &lt; 1 an</t>
  </si>
  <si>
    <t>Z3_OLBV_B_s4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</si>
</sst>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2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77.500399999999985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228.41619443073296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4.7991861050000004</v>
      </c>
      <c r="H5" s="143">
        <f>CdTrp1!C215+CdTrp2!C215+CdTrp3!C215+CdTrp4!C215</f>
        <v>3.603636540000001</v>
      </c>
      <c r="I5" s="143">
        <f>CdTrp1!D215+CdTrp2!D215+CdTrp3!D215+CdTrp4!D215</f>
        <v>3.2486187825000004</v>
      </c>
      <c r="J5" s="143">
        <f>CdTrp1!E215+CdTrp2!E215+CdTrp3!E215+CdTrp4!E215</f>
        <v>3.0279383400000017</v>
      </c>
      <c r="K5" s="143">
        <f>CdTrp1!F215+CdTrp2!F215+CdTrp3!F215+CdTrp4!F215</f>
        <v>3.3432023625000009</v>
      </c>
      <c r="L5" s="143">
        <f>CdTrp1!G215+CdTrp2!G215+CdTrp3!G215+CdTrp4!G215</f>
        <v>3.334044420000001</v>
      </c>
      <c r="M5" s="143">
        <f>CdTrp1!H215+CdTrp2!H215+CdTrp3!H215+CdTrp4!H215</f>
        <v>7.2989631750000008</v>
      </c>
      <c r="N5" s="143">
        <f>CdTrp1!I215+CdTrp2!I215+CdTrp3!I215+CdTrp4!I215</f>
        <v>9.2787487227272738</v>
      </c>
      <c r="O5" s="143">
        <f>CdTrp1!J215+CdTrp2!J215+CdTrp3!J215+CdTrp4!J215</f>
        <v>9.6026395643181832</v>
      </c>
      <c r="P5" s="143">
        <f>CdTrp1!K215+CdTrp2!K215+CdTrp3!K215+CdTrp4!K215</f>
        <v>9.6545115155681831</v>
      </c>
      <c r="Q5" s="143">
        <f>CdTrp1!L215+CdTrp2!L215+CdTrp3!L215+CdTrp4!L215</f>
        <v>6.3784098477272737</v>
      </c>
      <c r="R5" s="143">
        <f>CdTrp1!M215+CdTrp2!M215+CdTrp3!M215+CdTrp4!M215</f>
        <v>6.3784098477272737</v>
      </c>
      <c r="S5" s="143">
        <f>CdTrp1!N215+CdTrp2!N215+CdTrp3!N215+CdTrp4!N215</f>
        <v>6.5910235093181821</v>
      </c>
      <c r="T5" s="143">
        <f>CdTrp1!O215+CdTrp2!O215+CdTrp3!O215+CdTrp4!O215</f>
        <v>6.5910235093181821</v>
      </c>
      <c r="U5" s="143">
        <f>CdTrp1!P215+CdTrp2!P215+CdTrp3!P215+CdTrp4!P215</f>
        <v>7.0874812877272735</v>
      </c>
      <c r="V5" s="143">
        <f>CdTrp1!Q215+CdTrp2!Q215+CdTrp3!Q215+CdTrp4!Q215</f>
        <v>7.0874812877272735</v>
      </c>
      <c r="W5" s="143">
        <f>CdTrp1!R215+CdTrp2!R215+CdTrp3!R215+CdTrp4!R215</f>
        <v>4.302164093181819</v>
      </c>
      <c r="X5" s="143">
        <f>CdTrp1!S215+CdTrp2!S215+CdTrp3!S215+CdTrp4!S215</f>
        <v>4.1430271431818193</v>
      </c>
      <c r="Y5" s="143">
        <f>CdTrp1!T215+CdTrp2!T215+CdTrp3!T215+CdTrp4!T215</f>
        <v>4.2811280479545459</v>
      </c>
      <c r="Z5" s="143">
        <f>CdTrp1!U215+CdTrp2!U215+CdTrp3!U215+CdTrp4!U215</f>
        <v>2.6396362824999997</v>
      </c>
      <c r="AA5" s="143">
        <f>CdTrp1!V215+CdTrp2!V215+CdTrp3!V215+CdTrp4!V215</f>
        <v>4.5644235000000011</v>
      </c>
      <c r="AB5" s="143">
        <f>CdTrp1!W215+CdTrp2!W215+CdTrp3!W215+CdTrp4!W215</f>
        <v>4.5644235000000011</v>
      </c>
      <c r="AC5" s="143">
        <f>CdTrp1!X215+CdTrp2!X215+CdTrp3!X215+CdTrp4!X215</f>
        <v>4.7991861050000004</v>
      </c>
      <c r="AD5" s="143">
        <f>CdTrp1!Y215+CdTrp2!Y215+CdTrp3!Y215+CdTrp4!Y215</f>
        <v>4.7991861050000004</v>
      </c>
      <c r="AE5" s="153"/>
      <c r="AF5" s="144">
        <f>AF8+AF9</f>
        <v>154.59703939511363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1.9203127840909093</v>
      </c>
      <c r="O6" s="143">
        <f>CdTrp1!J216+CdTrp2!J216+CdTrp3!J216+CdTrp4!J216</f>
        <v>2.1293186647727276</v>
      </c>
      <c r="P6" s="143">
        <f>CdTrp1!K216+CdTrp2!K216+CdTrp3!K216+CdTrp4!K216</f>
        <v>0</v>
      </c>
      <c r="Q6" s="143">
        <f>CdTrp1!L216+CdTrp2!L216+CdTrp3!L216+CdTrp4!L216</f>
        <v>2.146283522727273</v>
      </c>
      <c r="R6" s="143">
        <f>CdTrp1!M216+CdTrp2!M216+CdTrp3!M216+CdTrp4!M216</f>
        <v>2.146283522727273</v>
      </c>
      <c r="S6" s="143">
        <f>CdTrp1!N216+CdTrp2!N216+CdTrp3!N216+CdTrp4!N216</f>
        <v>2.2178263068181816</v>
      </c>
      <c r="T6" s="143">
        <f>CdTrp1!O216+CdTrp2!O216+CdTrp3!O216+CdTrp4!O216</f>
        <v>2.2178263068181816</v>
      </c>
      <c r="U6" s="143">
        <f>CdTrp1!P216+CdTrp2!P216+CdTrp3!P216+CdTrp4!P216</f>
        <v>0</v>
      </c>
      <c r="V6" s="143">
        <f>CdTrp1!Q216+CdTrp2!Q216+CdTrp3!Q216+CdTrp4!Q216</f>
        <v>1.6683539488636363</v>
      </c>
      <c r="W6" s="143">
        <f>CdTrp1!R216+CdTrp2!R216+CdTrp3!R216+CdTrp4!R216</f>
        <v>1.6771530681818183</v>
      </c>
      <c r="X6" s="143">
        <f>CdTrp1!S216+CdTrp2!S216+CdTrp3!S216+CdTrp4!S216</f>
        <v>0</v>
      </c>
      <c r="Y6" s="143">
        <f>CdTrp1!T216+CdTrp2!T216+CdTrp3!T216+CdTrp4!T216</f>
        <v>1.5668571306818184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209.9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2.1293186647727276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1.6539752329545454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1.7250366477272729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4.7991861050000004</v>
      </c>
      <c r="H8" s="143">
        <f t="shared" ref="H8:AD8" si="0">SUM(H5:H7)</f>
        <v>3.603636540000001</v>
      </c>
      <c r="I8" s="143">
        <f t="shared" si="0"/>
        <v>3.2486187825000004</v>
      </c>
      <c r="J8" s="143">
        <f t="shared" si="0"/>
        <v>3.0279383400000017</v>
      </c>
      <c r="K8" s="143">
        <f t="shared" si="0"/>
        <v>3.3432023625000009</v>
      </c>
      <c r="L8" s="143">
        <f t="shared" si="0"/>
        <v>3.334044420000001</v>
      </c>
      <c r="M8" s="143">
        <f t="shared" si="0"/>
        <v>7.2989631750000008</v>
      </c>
      <c r="N8" s="143">
        <f t="shared" si="0"/>
        <v>11.199061506818182</v>
      </c>
      <c r="O8" s="143">
        <f t="shared" si="0"/>
        <v>11.73195822909091</v>
      </c>
      <c r="P8" s="143">
        <f t="shared" si="0"/>
        <v>11.78383018034091</v>
      </c>
      <c r="Q8" s="143">
        <f t="shared" si="0"/>
        <v>8.5246933704545462</v>
      </c>
      <c r="R8" s="143">
        <f t="shared" si="0"/>
        <v>8.5246933704545462</v>
      </c>
      <c r="S8" s="143">
        <f t="shared" si="0"/>
        <v>8.8088498161363642</v>
      </c>
      <c r="T8" s="143">
        <f t="shared" si="0"/>
        <v>8.8088498161363642</v>
      </c>
      <c r="U8" s="143">
        <f t="shared" si="0"/>
        <v>8.7414565206818189</v>
      </c>
      <c r="V8" s="143">
        <f t="shared" si="0"/>
        <v>8.7558352365909098</v>
      </c>
      <c r="W8" s="143">
        <f t="shared" si="0"/>
        <v>5.9793171613636371</v>
      </c>
      <c r="X8" s="143">
        <f t="shared" si="0"/>
        <v>5.8680637909090922</v>
      </c>
      <c r="Y8" s="143">
        <f t="shared" si="0"/>
        <v>5.8479851786363639</v>
      </c>
      <c r="Z8" s="143">
        <f t="shared" si="0"/>
        <v>2.6396362824999997</v>
      </c>
      <c r="AA8" s="143">
        <f t="shared" si="0"/>
        <v>4.5644235000000011</v>
      </c>
      <c r="AB8" s="143">
        <f t="shared" si="0"/>
        <v>4.5644235000000011</v>
      </c>
      <c r="AC8" s="143">
        <f t="shared" si="0"/>
        <v>4.7991861050000004</v>
      </c>
      <c r="AD8" s="143">
        <f t="shared" si="0"/>
        <v>4.7991861050000004</v>
      </c>
      <c r="AE8" s="153"/>
      <c r="AF8" s="144">
        <f>SUM(G8:AD8)</f>
        <v>154.59703939511363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40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34</v>
      </c>
      <c r="H18" s="158">
        <f>G18/$G$17</f>
        <v>0.85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4.5</v>
      </c>
      <c r="H19" s="158">
        <f>G19/$G$17</f>
        <v>0.1125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1.5</v>
      </c>
      <c r="H20" s="158">
        <f>G20/$G$17</f>
        <v>3.7499999999999999E-2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>
        <f>G21/$G$17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4" zoomScale="90" zoomScaleNormal="9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5" t="s">
        <v>249</v>
      </c>
      <c r="AT2" s="295"/>
      <c r="AU2" s="294" t="s">
        <v>250</v>
      </c>
      <c r="AV2" s="294"/>
      <c r="AW2" s="294" t="s">
        <v>251</v>
      </c>
      <c r="AX2" s="294"/>
      <c r="AY2" s="294" t="s">
        <v>252</v>
      </c>
      <c r="AZ2" s="294"/>
      <c r="BA2" s="294" t="s">
        <v>253</v>
      </c>
      <c r="BB2" s="294"/>
      <c r="BC2" s="294" t="s">
        <v>254</v>
      </c>
      <c r="BD2" s="294"/>
      <c r="BE2" s="294" t="s">
        <v>255</v>
      </c>
      <c r="BF2" s="294"/>
      <c r="BG2" s="294" t="s">
        <v>256</v>
      </c>
      <c r="BH2" s="294"/>
      <c r="BI2" s="294" t="s">
        <v>257</v>
      </c>
      <c r="BJ2" s="294"/>
      <c r="BK2" s="294" t="s">
        <v>258</v>
      </c>
      <c r="BL2" s="294"/>
      <c r="BM2" s="294" t="s">
        <v>259</v>
      </c>
      <c r="BN2" s="294"/>
      <c r="BO2" s="294" t="s">
        <v>260</v>
      </c>
      <c r="BP2" s="294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4.7991861050000004</v>
      </c>
      <c r="AT5" s="13">
        <f>'Conduite Trp'!H8</f>
        <v>3.603636540000001</v>
      </c>
      <c r="AU5" s="13">
        <f>'Conduite Trp'!I8</f>
        <v>3.2486187825000004</v>
      </c>
      <c r="AV5" s="13">
        <f>'Conduite Trp'!J8</f>
        <v>3.0279383400000017</v>
      </c>
      <c r="AW5" s="13">
        <f>'Conduite Trp'!K8</f>
        <v>3.3432023625000009</v>
      </c>
      <c r="AX5" s="13">
        <f>'Conduite Trp'!L8</f>
        <v>3.334044420000001</v>
      </c>
      <c r="AY5" s="13">
        <f>'Conduite Trp'!M8</f>
        <v>7.2989631750000008</v>
      </c>
      <c r="AZ5" s="13">
        <f>'Conduite Trp'!N8</f>
        <v>11.199061506818182</v>
      </c>
      <c r="BA5" s="13">
        <f>'Conduite Trp'!O8</f>
        <v>11.73195822909091</v>
      </c>
      <c r="BB5" s="13">
        <f>'Conduite Trp'!P8</f>
        <v>11.78383018034091</v>
      </c>
      <c r="BC5" s="13">
        <f>'Conduite Trp'!Q8</f>
        <v>8.5246933704545462</v>
      </c>
      <c r="BD5" s="13">
        <f>'Conduite Trp'!R8</f>
        <v>8.5246933704545462</v>
      </c>
      <c r="BE5" s="13">
        <f>'Conduite Trp'!S8</f>
        <v>8.8088498161363642</v>
      </c>
      <c r="BF5" s="13">
        <f>'Conduite Trp'!T8</f>
        <v>8.8088498161363642</v>
      </c>
      <c r="BG5" s="13">
        <f>'Conduite Trp'!U8</f>
        <v>8.7414565206818189</v>
      </c>
      <c r="BH5" s="13">
        <f>'Conduite Trp'!V8</f>
        <v>8.7558352365909098</v>
      </c>
      <c r="BI5" s="13">
        <f>'Conduite Trp'!W8</f>
        <v>5.9793171613636371</v>
      </c>
      <c r="BJ5" s="13">
        <f>'Conduite Trp'!X8</f>
        <v>5.8680637909090922</v>
      </c>
      <c r="BK5" s="13">
        <f>'Conduite Trp'!Y8</f>
        <v>5.8479851786363639</v>
      </c>
      <c r="BL5" s="13">
        <f>'Conduite Trp'!Z8</f>
        <v>2.6396362824999997</v>
      </c>
      <c r="BM5" s="13">
        <f>'Conduite Trp'!AA8</f>
        <v>4.5644235000000011</v>
      </c>
      <c r="BN5" s="13">
        <f>'Conduite Trp'!AB8</f>
        <v>4.5644235000000011</v>
      </c>
      <c r="BO5" s="13">
        <f>'Conduite Trp'!AC8</f>
        <v>4.7991861050000004</v>
      </c>
      <c r="BP5" s="13">
        <f>'Conduite Trp'!AD8</f>
        <v>4.7991861050000004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8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20.7</v>
      </c>
      <c r="P7">
        <v>1</v>
      </c>
      <c r="Q7" s="39">
        <v>301</v>
      </c>
      <c r="R7" s="39">
        <v>2.5</v>
      </c>
      <c r="S7" s="289" t="str">
        <f>VLOOKUP($Q7,[1]MEP!$A$5:$D$300,3)</f>
        <v>PP EXCELLENTE 1 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4.5</v>
      </c>
      <c r="AF7" s="61">
        <f t="shared" ref="AF7:AF26" si="1">$R7*W7</f>
        <v>3</v>
      </c>
      <c r="AG7" s="61">
        <f t="shared" ref="AG7:AG26" si="2">$R7*X7</f>
        <v>6.25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12.5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7.2989631750000008</v>
      </c>
      <c r="AZ7" s="61">
        <f t="shared" si="7"/>
        <v>11.199061506818182</v>
      </c>
      <c r="BA7" s="61">
        <f t="shared" si="7"/>
        <v>11.73195822909091</v>
      </c>
      <c r="BB7" s="61">
        <f t="shared" si="7"/>
        <v>11.78383018034091</v>
      </c>
      <c r="BC7" s="61">
        <f t="shared" si="7"/>
        <v>8.5246933704545462</v>
      </c>
      <c r="BD7" s="61">
        <f t="shared" si="7"/>
        <v>8.5246933704545462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59.063199832159086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77.500399999999985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302</v>
      </c>
      <c r="R8" s="39"/>
      <c r="S8" s="289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8.8088498161363642</v>
      </c>
      <c r="BF8" s="61">
        <f t="shared" si="9"/>
        <v>8.8088498161363642</v>
      </c>
      <c r="BG8" s="61">
        <f t="shared" si="9"/>
        <v>8.7414565206818189</v>
      </c>
      <c r="BH8" s="61">
        <f t="shared" si="9"/>
        <v>8.7558352365909098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35.114991389545459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77.500399999999985</v>
      </c>
      <c r="G9" s="81"/>
      <c r="H9" s="61">
        <f>SUM(L34:L43)</f>
        <v>17</v>
      </c>
      <c r="I9" s="81"/>
      <c r="J9" s="81"/>
      <c r="K9" s="93">
        <f>H9-F9</f>
        <v>-60.500399999999985</v>
      </c>
      <c r="L9" s="81"/>
      <c r="M9" s="100"/>
      <c r="P9">
        <v>3</v>
      </c>
      <c r="Q9" s="39">
        <v>303</v>
      </c>
      <c r="R9" s="39">
        <v>7</v>
      </c>
      <c r="S9" s="289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24.5</v>
      </c>
      <c r="AF9" s="61">
        <f t="shared" si="1"/>
        <v>24.5</v>
      </c>
      <c r="AG9" s="61">
        <f t="shared" si="2"/>
        <v>24.5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4.7991861050000004</v>
      </c>
      <c r="AT9" s="61">
        <f t="shared" ref="AT9:BP9" si="10">IF(AT$4=3,AT$5,0)</f>
        <v>3.603636540000001</v>
      </c>
      <c r="AU9" s="61">
        <f t="shared" si="10"/>
        <v>3.2486187825000004</v>
      </c>
      <c r="AV9" s="61">
        <f t="shared" si="10"/>
        <v>3.0279383400000017</v>
      </c>
      <c r="AW9" s="61">
        <f t="shared" si="10"/>
        <v>3.3432023625000009</v>
      </c>
      <c r="AX9" s="61">
        <f t="shared" si="10"/>
        <v>3.334044420000001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5.9793171613636371</v>
      </c>
      <c r="BJ9" s="61">
        <f t="shared" si="10"/>
        <v>5.8680637909090922</v>
      </c>
      <c r="BK9" s="61">
        <f t="shared" si="10"/>
        <v>5.8479851786363639</v>
      </c>
      <c r="BL9" s="61">
        <f t="shared" si="10"/>
        <v>2.6396362824999997</v>
      </c>
      <c r="BM9" s="61">
        <f t="shared" si="10"/>
        <v>4.5644235000000011</v>
      </c>
      <c r="BN9" s="61">
        <f t="shared" si="10"/>
        <v>4.5644235000000011</v>
      </c>
      <c r="BO9" s="61">
        <f t="shared" si="10"/>
        <v>4.7991861050000004</v>
      </c>
      <c r="BP9" s="61">
        <f t="shared" si="10"/>
        <v>4.7991861050000004</v>
      </c>
      <c r="BR9" s="61">
        <f t="shared" si="8"/>
        <v>60.418848173409103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304</v>
      </c>
      <c r="R10" s="39"/>
      <c r="S10" s="289" t="str">
        <f>VLOOKUP($Q10,[1]MEP!$A$5:$D$300,3)</f>
        <v>PP EXCELLENTE 2 C PRECOCES pat AUT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12</v>
      </c>
      <c r="R11" s="39">
        <v>1.2</v>
      </c>
      <c r="S11" s="289" t="str">
        <f>VLOOKUP($Q11,[1]MEP!$A$5:$D$300,3)</f>
        <v xml:space="preserve">dérobé pâturé 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0</v>
      </c>
      <c r="X11" s="76">
        <f>VLOOKUP($Q11,[1]MEP!$A$4:$K$300,7)</f>
        <v>3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1.2</v>
      </c>
      <c r="AF11" s="61">
        <f t="shared" si="1"/>
        <v>0</v>
      </c>
      <c r="AG11" s="61">
        <f t="shared" si="2"/>
        <v>3.5999999999999996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307</v>
      </c>
      <c r="R12" s="39"/>
      <c r="S12" s="289" t="str">
        <f>VLOOKUP($Q12,[1]MEP!$A$5:$D$300,3)</f>
        <v>PP excellente 2 coupes tardives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308</v>
      </c>
      <c r="R13" s="39">
        <v>4</v>
      </c>
      <c r="S13" s="289" t="str">
        <f>VLOOKUP($Q13,[1]MEP!$A$5:$D$300,3)</f>
        <v>PP excellente 2 coupes ESTIVALES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1.5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7</v>
      </c>
      <c r="AE13" s="61">
        <f t="shared" si="0"/>
        <v>8</v>
      </c>
      <c r="AF13" s="61">
        <f t="shared" si="1"/>
        <v>0</v>
      </c>
      <c r="AG13" s="61">
        <f t="shared" si="2"/>
        <v>6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28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198</v>
      </c>
      <c r="R14" s="39">
        <v>4</v>
      </c>
      <c r="S14" s="289" t="str">
        <f>VLOOKUP($Q14,[1]MEP!$A$5:$D$300,3)</f>
        <v>PT Excellente 2 coupes avec deprimage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1.1000000000000001</v>
      </c>
      <c r="W14" s="76">
        <f>VLOOKUP($Q14,[1]MEP!$A$4:$K$300,6)</f>
        <v>0</v>
      </c>
      <c r="X14" s="76">
        <f>VLOOKUP($Q14,[1]MEP!$A$4:$K$300,7)</f>
        <v>2.2999999999999998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7.5</v>
      </c>
      <c r="AE14" s="61">
        <f t="shared" si="0"/>
        <v>4.4000000000000004</v>
      </c>
      <c r="AF14" s="61">
        <f t="shared" si="1"/>
        <v>0</v>
      </c>
      <c r="AG14" s="61">
        <f t="shared" si="2"/>
        <v>9.1999999999999993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30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>
        <v>49</v>
      </c>
      <c r="R15" s="39">
        <v>2</v>
      </c>
      <c r="S15" s="289" t="str">
        <f>VLOOKUP($Q15,[1]MEP!$A$5:$D$300,3)</f>
        <v>PP EXCELLENTE  1 COUPE ESTIVALE</v>
      </c>
      <c r="T15" s="76" t="str">
        <f>VLOOKUP($Q15,[1]MEP!$A$5:$D$300,4)</f>
        <v>zone3</v>
      </c>
      <c r="U15" s="76">
        <f>VLOOKUP($Q15,[1]MEP!$A$4:$K$300,2)</f>
        <v>0</v>
      </c>
      <c r="V15" s="76">
        <f>VLOOKUP($Q15,[1]MEP!$A$4:$K$300,5)</f>
        <v>3.5</v>
      </c>
      <c r="W15" s="76">
        <f>VLOOKUP($Q15,[1]MEP!$A$4:$K$300,6)</f>
        <v>0</v>
      </c>
      <c r="X15" s="76">
        <f>VLOOKUP($Q15,[1]MEP!$A$4:$K$300,7)</f>
        <v>3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4</v>
      </c>
      <c r="AE15" s="61">
        <f t="shared" si="0"/>
        <v>7</v>
      </c>
      <c r="AF15" s="61">
        <f t="shared" si="1"/>
        <v>0</v>
      </c>
      <c r="AG15" s="61">
        <f t="shared" si="2"/>
        <v>6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8</v>
      </c>
      <c r="AR15" s="32" t="s">
        <v>491</v>
      </c>
      <c r="AS15" s="13">
        <f>'Conduite Trp'!G5</f>
        <v>4.7991861050000004</v>
      </c>
      <c r="AT15" s="13">
        <f>'Conduite Trp'!H5</f>
        <v>3.603636540000001</v>
      </c>
      <c r="AU15" s="13">
        <f>'Conduite Trp'!I5</f>
        <v>3.2486187825000004</v>
      </c>
      <c r="AV15" s="13">
        <f>'Conduite Trp'!J5</f>
        <v>3.0279383400000017</v>
      </c>
      <c r="AW15" s="13">
        <f>'Conduite Trp'!K5</f>
        <v>3.3432023625000009</v>
      </c>
      <c r="AX15" s="13">
        <f>'Conduite Trp'!L5</f>
        <v>3.334044420000001</v>
      </c>
      <c r="AY15" s="13">
        <f>'Conduite Trp'!M5</f>
        <v>7.2989631750000008</v>
      </c>
      <c r="AZ15" s="13">
        <f>'Conduite Trp'!N5</f>
        <v>9.2787487227272738</v>
      </c>
      <c r="BA15" s="13">
        <f>'Conduite Trp'!O5</f>
        <v>9.6026395643181832</v>
      </c>
      <c r="BB15" s="13">
        <f>'Conduite Trp'!P5</f>
        <v>9.6545115155681831</v>
      </c>
      <c r="BC15" s="13">
        <f>'Conduite Trp'!Q5</f>
        <v>6.3784098477272737</v>
      </c>
      <c r="BD15" s="13">
        <f>'Conduite Trp'!R5</f>
        <v>6.3784098477272737</v>
      </c>
      <c r="BE15" s="13">
        <f>'Conduite Trp'!S5</f>
        <v>6.5910235093181821</v>
      </c>
      <c r="BF15" s="13">
        <f>'Conduite Trp'!T5</f>
        <v>6.5910235093181821</v>
      </c>
      <c r="BG15" s="13">
        <f>'Conduite Trp'!U5</f>
        <v>7.0874812877272735</v>
      </c>
      <c r="BH15" s="13">
        <f>'Conduite Trp'!V5</f>
        <v>7.0874812877272735</v>
      </c>
      <c r="BI15" s="13">
        <f>'Conduite Trp'!W5</f>
        <v>4.302164093181819</v>
      </c>
      <c r="BJ15" s="13">
        <f>'Conduite Trp'!X5</f>
        <v>4.1430271431818193</v>
      </c>
      <c r="BK15" s="13">
        <f>'Conduite Trp'!Y5</f>
        <v>4.2811280479545459</v>
      </c>
      <c r="BL15" s="13">
        <f>'Conduite Trp'!Z5</f>
        <v>2.6396362824999997</v>
      </c>
      <c r="BM15" s="13">
        <f>'Conduite Trp'!AA5</f>
        <v>4.5644235000000011</v>
      </c>
      <c r="BN15" s="13">
        <f>'Conduite Trp'!AB5</f>
        <v>4.5644235000000011</v>
      </c>
      <c r="BO15" s="13">
        <f>'Conduite Trp'!AC5</f>
        <v>4.7991861050000004</v>
      </c>
      <c r="BP15" s="13">
        <f>'Conduite Trp'!AD5</f>
        <v>4.7991861050000004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89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1.9203127840909093</v>
      </c>
      <c r="BA16" s="13">
        <f>'Conduite Trp'!O6</f>
        <v>2.1293186647727276</v>
      </c>
      <c r="BB16" s="13">
        <f>'Conduite Trp'!P6</f>
        <v>0</v>
      </c>
      <c r="BC16" s="13">
        <f>'Conduite Trp'!Q6</f>
        <v>2.146283522727273</v>
      </c>
      <c r="BD16" s="13">
        <f>'Conduite Trp'!R6</f>
        <v>2.146283522727273</v>
      </c>
      <c r="BE16" s="13">
        <f>'Conduite Trp'!S6</f>
        <v>2.2178263068181816</v>
      </c>
      <c r="BF16" s="13">
        <f>'Conduite Trp'!T6</f>
        <v>2.2178263068181816</v>
      </c>
      <c r="BG16" s="13">
        <f>'Conduite Trp'!U6</f>
        <v>0</v>
      </c>
      <c r="BH16" s="13">
        <f>'Conduite Trp'!V6</f>
        <v>1.6683539488636363</v>
      </c>
      <c r="BI16" s="13">
        <f>'Conduite Trp'!W6</f>
        <v>1.6771530681818183</v>
      </c>
      <c r="BJ16" s="13">
        <f>'Conduite Trp'!X6</f>
        <v>0</v>
      </c>
      <c r="BK16" s="13">
        <f>'Conduite Trp'!Y6</f>
        <v>1.5668571306818184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89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2.1293186647727276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1.6539752329545454</v>
      </c>
      <c r="BH17" s="13">
        <f>'Conduite Trp'!V7</f>
        <v>0</v>
      </c>
      <c r="BI17" s="13">
        <f>'Conduite Trp'!W7</f>
        <v>0</v>
      </c>
      <c r="BJ17" s="13">
        <f>'Conduite Trp'!X7</f>
        <v>1.7250366477272729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9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9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7.2989631750000008</v>
      </c>
      <c r="AZ19" s="61">
        <f t="shared" si="14"/>
        <v>9.2787487227272738</v>
      </c>
      <c r="BA19" s="61">
        <f t="shared" si="14"/>
        <v>9.6026395643181832</v>
      </c>
      <c r="BB19" s="61">
        <f t="shared" si="14"/>
        <v>9.6545115155681831</v>
      </c>
      <c r="BC19" s="61">
        <f t="shared" si="14"/>
        <v>6.3784098477272737</v>
      </c>
      <c r="BD19" s="61">
        <f t="shared" si="14"/>
        <v>6.3784098477272737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48.591682673068192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9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6.5910235093181821</v>
      </c>
      <c r="BF20" s="61">
        <f t="shared" si="15"/>
        <v>6.5910235093181821</v>
      </c>
      <c r="BG20" s="61">
        <f t="shared" si="15"/>
        <v>7.0874812877272735</v>
      </c>
      <c r="BH20" s="61">
        <f t="shared" si="15"/>
        <v>7.0874812877272735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27.357009594090911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9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4.7991861050000004</v>
      </c>
      <c r="AT21" s="61">
        <f t="shared" ref="AT21:BP21" si="17">IF(AT$4=3,AT$15,0)</f>
        <v>3.603636540000001</v>
      </c>
      <c r="AU21" s="61">
        <f t="shared" si="17"/>
        <v>3.2486187825000004</v>
      </c>
      <c r="AV21" s="61">
        <f t="shared" si="17"/>
        <v>3.0279383400000017</v>
      </c>
      <c r="AW21" s="61">
        <f t="shared" si="17"/>
        <v>3.3432023625000009</v>
      </c>
      <c r="AX21" s="61">
        <f t="shared" si="17"/>
        <v>3.334044420000001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4.302164093181819</v>
      </c>
      <c r="BJ21" s="61">
        <f t="shared" si="17"/>
        <v>4.1430271431818193</v>
      </c>
      <c r="BK21" s="61">
        <f t="shared" si="17"/>
        <v>4.2811280479545459</v>
      </c>
      <c r="BL21" s="61">
        <f t="shared" si="17"/>
        <v>2.6396362824999997</v>
      </c>
      <c r="BM21" s="61">
        <f t="shared" si="17"/>
        <v>4.5644235000000011</v>
      </c>
      <c r="BN21" s="61">
        <f t="shared" si="17"/>
        <v>4.5644235000000011</v>
      </c>
      <c r="BO21" s="61">
        <f t="shared" si="17"/>
        <v>4.7991861050000004</v>
      </c>
      <c r="BP21" s="61">
        <f t="shared" si="17"/>
        <v>4.7991861050000004</v>
      </c>
      <c r="BR21" s="61">
        <f t="shared" si="16"/>
        <v>55.449801326818204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9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9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60.8</v>
      </c>
      <c r="E24" s="61">
        <f t="shared" si="20"/>
        <v>35.9</v>
      </c>
      <c r="F24" s="61">
        <f t="shared" si="20"/>
        <v>74.599999999999994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187.5</v>
      </c>
      <c r="L24" s="52"/>
      <c r="M24" s="100"/>
      <c r="P24">
        <v>18</v>
      </c>
      <c r="Q24" s="39"/>
      <c r="R24" s="39"/>
      <c r="S24" s="289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59.063199832159086</v>
      </c>
      <c r="E25" s="61">
        <f>BR8</f>
        <v>35.114991389545459</v>
      </c>
      <c r="F25" s="61">
        <f>BR9</f>
        <v>60.418848173409103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209.9</v>
      </c>
      <c r="L25" s="63"/>
      <c r="M25" s="100"/>
      <c r="P25">
        <v>19</v>
      </c>
      <c r="Q25" s="39"/>
      <c r="R25" s="39"/>
      <c r="S25" s="289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9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1.7368001678409115</v>
      </c>
      <c r="E27" s="93">
        <f t="shared" si="22"/>
        <v>0.78500861045453973</v>
      </c>
      <c r="F27" s="93">
        <f t="shared" si="22"/>
        <v>14.181151826590892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-22.400000000000006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49.6</v>
      </c>
      <c r="AF27" s="75">
        <f t="shared" si="23"/>
        <v>27.5</v>
      </c>
      <c r="AG27" s="75">
        <f t="shared" si="23"/>
        <v>55.55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78.5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</v>
      </c>
      <c r="AZ27" s="61">
        <f t="shared" si="24"/>
        <v>1.9203127840909093</v>
      </c>
      <c r="BA27" s="61">
        <f t="shared" si="24"/>
        <v>2.1293186647727276</v>
      </c>
      <c r="BB27" s="61">
        <f t="shared" si="24"/>
        <v>0</v>
      </c>
      <c r="BC27" s="61">
        <f t="shared" si="24"/>
        <v>2.146283522727273</v>
      </c>
      <c r="BD27" s="61">
        <f t="shared" si="24"/>
        <v>2.146283522727273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8.3421984943181826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2.2178263068181816</v>
      </c>
      <c r="BF28" s="61">
        <f t="shared" si="25"/>
        <v>2.2178263068181816</v>
      </c>
      <c r="BG28" s="61">
        <f t="shared" si="25"/>
        <v>0</v>
      </c>
      <c r="BH28" s="61">
        <f t="shared" si="25"/>
        <v>1.6683539488636363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6.1040065624999995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301</v>
      </c>
      <c r="R29" s="39">
        <v>4.5</v>
      </c>
      <c r="S29" s="289" t="str">
        <f>VLOOKUP($Q29,[1]MEP!$A$5:$D$300,3)</f>
        <v>PP EXCELLENTE 1  COUPE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2.5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7">$R29*V29</f>
        <v>8.1</v>
      </c>
      <c r="AF29" s="61">
        <f t="shared" ref="AF29:AF48" si="28">$R29*W29</f>
        <v>5.3999999999999995</v>
      </c>
      <c r="AG29" s="61">
        <f t="shared" ref="AG29:AG48" si="29">$R29*X29</f>
        <v>11.25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22.5</v>
      </c>
      <c r="AR29" s="69">
        <v>3</v>
      </c>
      <c r="AS29" s="61">
        <f>IF(AS$4=3,AS$16,0)</f>
        <v>0</v>
      </c>
      <c r="AT29" s="61">
        <f t="shared" ref="AT29:BP29" si="34">IF(AT$4=3,AT$16,0)</f>
        <v>0</v>
      </c>
      <c r="AU29" s="61">
        <f t="shared" si="34"/>
        <v>0</v>
      </c>
      <c r="AV29" s="61">
        <f t="shared" si="34"/>
        <v>0</v>
      </c>
      <c r="AW29" s="61">
        <f t="shared" si="34"/>
        <v>0</v>
      </c>
      <c r="AX29" s="61">
        <f t="shared" si="34"/>
        <v>0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1.6771530681818183</v>
      </c>
      <c r="BJ29" s="61">
        <f t="shared" si="34"/>
        <v>0</v>
      </c>
      <c r="BK29" s="61">
        <f t="shared" si="34"/>
        <v>1.5668571306818184</v>
      </c>
      <c r="BL29" s="61">
        <f t="shared" si="34"/>
        <v>0</v>
      </c>
      <c r="BM29" s="61">
        <f t="shared" si="34"/>
        <v>0</v>
      </c>
      <c r="BN29" s="61">
        <f t="shared" si="34"/>
        <v>0</v>
      </c>
      <c r="BO29" s="61">
        <f t="shared" si="34"/>
        <v>0</v>
      </c>
      <c r="BP29" s="61">
        <f t="shared" si="34"/>
        <v>0</v>
      </c>
      <c r="BR29" s="61">
        <f t="shared" si="26"/>
        <v>3.244010198863637</v>
      </c>
    </row>
    <row r="30" spans="2:72" ht="15" customHeight="1" x14ac:dyDescent="0.25">
      <c r="N30" s="17" t="s">
        <v>88</v>
      </c>
      <c r="O30" s="42">
        <f>SUM(R29:R48)</f>
        <v>15.5</v>
      </c>
      <c r="P30">
        <v>2</v>
      </c>
      <c r="Q30" s="39">
        <v>303</v>
      </c>
      <c r="R30" s="39"/>
      <c r="S30" s="289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7"/>
        <v>0</v>
      </c>
      <c r="AF30" s="61">
        <f t="shared" si="28"/>
        <v>0</v>
      </c>
      <c r="AG30" s="61">
        <f t="shared" si="29"/>
        <v>0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0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1">
        <v>198</v>
      </c>
      <c r="R31" s="39">
        <v>1</v>
      </c>
      <c r="S31" s="289" t="str">
        <f>VLOOKUP($Q31,[1]MEP!$A$5:$D$300,3)</f>
        <v>PT Excellente 2 coupes avec deprimage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1.1000000000000001</v>
      </c>
      <c r="W31" s="76">
        <f>VLOOKUP($Q31,[1]MEP!$A$4:$K$300,6)</f>
        <v>0</v>
      </c>
      <c r="X31" s="76">
        <f>VLOOKUP($Q31,[1]MEP!$A$4:$K$300,7)</f>
        <v>2.2999999999999998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7"/>
        <v>1.1000000000000001</v>
      </c>
      <c r="AF31" s="61">
        <f t="shared" si="28"/>
        <v>0</v>
      </c>
      <c r="AG31" s="61">
        <f t="shared" si="29"/>
        <v>2.2999999999999998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7.5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4" t="s">
        <v>275</v>
      </c>
      <c r="G32" s="294"/>
      <c r="H32" s="82"/>
      <c r="I32" s="68" t="s">
        <v>279</v>
      </c>
      <c r="J32" s="82" t="s">
        <v>279</v>
      </c>
      <c r="K32" s="294" t="s">
        <v>277</v>
      </c>
      <c r="L32" s="294"/>
      <c r="M32" s="82"/>
      <c r="P32">
        <v>4</v>
      </c>
      <c r="Q32" s="156">
        <v>307</v>
      </c>
      <c r="R32" s="39">
        <v>1</v>
      </c>
      <c r="S32" s="289" t="str">
        <f>VLOOKUP($Q32,[1]MEP!$A$5:$D$300,3)</f>
        <v>PP excellente 2 coupes tardives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1.5</v>
      </c>
      <c r="X32" s="76">
        <f>VLOOKUP($Q32,[1]MEP!$A$4:$K$300,7)</f>
        <v>2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7</v>
      </c>
      <c r="AE32" s="61">
        <f t="shared" si="27"/>
        <v>0</v>
      </c>
      <c r="AF32" s="61">
        <f t="shared" si="28"/>
        <v>1.5</v>
      </c>
      <c r="AG32" s="61">
        <f t="shared" si="29"/>
        <v>2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7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>
        <v>45</v>
      </c>
      <c r="R33" s="39">
        <v>9</v>
      </c>
      <c r="S33" s="289" t="str">
        <f>VLOOKUP($Q33,[1]MEP!$A$5:$D$300,3)</f>
        <v>PP EXCELLENTES 2 COUPES</v>
      </c>
      <c r="T33" s="76" t="str">
        <f>VLOOKUP($Q33,[1]MEP!$A$5:$D$300,4)</f>
        <v>zone 3</v>
      </c>
      <c r="U33" s="76" t="str">
        <f>VLOOKUP($Q33,[1]MEP!$A$4:$K$300,2)</f>
        <v>F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8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72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89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89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</v>
      </c>
      <c r="AZ35" s="61">
        <f t="shared" si="42"/>
        <v>0</v>
      </c>
      <c r="BA35" s="61">
        <f t="shared" si="42"/>
        <v>0</v>
      </c>
      <c r="BB35" s="61">
        <f t="shared" si="42"/>
        <v>2.1293186647727276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2.1293186647727276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15</v>
      </c>
      <c r="M36" s="61">
        <f t="shared" si="40"/>
        <v>0</v>
      </c>
      <c r="P36">
        <v>8</v>
      </c>
      <c r="Q36" s="39"/>
      <c r="R36" s="39"/>
      <c r="S36" s="289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1.6539752329545454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1.6539752329545454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89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5">IF(AT$4=3,AT$17,0)</f>
        <v>0</v>
      </c>
      <c r="AU37" s="61">
        <f t="shared" si="45"/>
        <v>0</v>
      </c>
      <c r="AV37" s="61">
        <f t="shared" si="45"/>
        <v>0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1.7250366477272729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1.7250366477272729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89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89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89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89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89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89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9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9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9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9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9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9.1999999999999993</v>
      </c>
      <c r="AF49" s="75">
        <f t="shared" si="49"/>
        <v>6.8999999999999995</v>
      </c>
      <c r="AG49" s="75">
        <f t="shared" si="49"/>
        <v>15.55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109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89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3</v>
      </c>
      <c r="R52" s="39">
        <v>4</v>
      </c>
      <c r="S52" s="289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2</v>
      </c>
      <c r="AF52" s="61">
        <f t="shared" si="56"/>
        <v>1</v>
      </c>
      <c r="AG52" s="61">
        <f t="shared" si="57"/>
        <v>3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43</v>
      </c>
      <c r="R53" s="39">
        <v>1</v>
      </c>
      <c r="S53" s="289" t="str">
        <f>VLOOKUP($Q53,[1]MEP!$A$5:$D$300,3)</f>
        <v>bois pâturé</v>
      </c>
      <c r="T53" s="76" t="str">
        <f>VLOOKUP($Q53,[1]MEP!$A$5:$D$300,4)</f>
        <v>zone 3</v>
      </c>
      <c r="U53" s="76" t="str">
        <f>VLOOKUP($Q53,[1]MEP!$A$4:$K$300,2)</f>
        <v>P</v>
      </c>
      <c r="V53" s="76">
        <f>VLOOKUP($Q53,[1]MEP!$A$4:$K$300,5)</f>
        <v>0</v>
      </c>
      <c r="W53" s="76">
        <f>VLOOKUP($Q53,[1]MEP!$A$4:$K$300,6)</f>
        <v>0.5</v>
      </c>
      <c r="X53" s="76">
        <f>VLOOKUP($Q53,[1]MEP!$A$4:$K$300,7)</f>
        <v>0.5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0.5</v>
      </c>
      <c r="AG53" s="61">
        <f t="shared" si="57"/>
        <v>0.5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89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89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89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89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89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89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89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89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9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9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9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9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89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9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9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9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9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2</v>
      </c>
      <c r="AF71" s="75">
        <f t="shared" si="63"/>
        <v>1.5</v>
      </c>
      <c r="AG71" s="75">
        <f t="shared" si="63"/>
        <v>3.5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49.6</v>
      </c>
      <c r="E72" s="61">
        <f t="shared" ref="E72:H72" si="64">AF27</f>
        <v>27.5</v>
      </c>
      <c r="F72" s="61">
        <f t="shared" si="64"/>
        <v>55.55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187.5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48.591682673068192</v>
      </c>
      <c r="E73" s="61">
        <f>BR20</f>
        <v>27.357009594090911</v>
      </c>
      <c r="F73" s="61">
        <f>BR21</f>
        <v>55.449801326818204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209.9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1.0083173269318095</v>
      </c>
      <c r="E75" s="93">
        <f t="shared" ref="E75:I75" si="66">E72-E73</f>
        <v>0.14299040590908874</v>
      </c>
      <c r="F75" s="93">
        <f t="shared" si="66"/>
        <v>0.10019867318179365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-22.400000000000006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9.1999999999999993</v>
      </c>
      <c r="E82" s="61">
        <f t="shared" ref="E82:H82" si="67">AF49</f>
        <v>6.8999999999999995</v>
      </c>
      <c r="F82" s="61">
        <f t="shared" si="67"/>
        <v>15.55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8.3421984943181826</v>
      </c>
      <c r="E83" s="61">
        <f>BR28</f>
        <v>6.1040065624999995</v>
      </c>
      <c r="F83" s="61">
        <f>BR29</f>
        <v>3.244010198863637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0.85780150568181668</v>
      </c>
      <c r="E85" s="93">
        <f t="shared" ref="E85:H85" si="68">E82-E83</f>
        <v>0.79599343749999996</v>
      </c>
      <c r="F85" s="93">
        <f t="shared" si="68"/>
        <v>12.305989801136363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2</v>
      </c>
      <c r="E92" s="61">
        <f t="shared" ref="E92:I92" si="69">AF71</f>
        <v>1.5</v>
      </c>
      <c r="F92" s="61">
        <f t="shared" si="69"/>
        <v>3.5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2.1293186647727276</v>
      </c>
      <c r="E93" s="61">
        <f>BR36</f>
        <v>1.6539752329545454</v>
      </c>
      <c r="F93" s="61">
        <f>BR37</f>
        <v>1.7250366477272729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-0.12931866477272758</v>
      </c>
      <c r="E95" s="93">
        <f t="shared" ref="E95:H95" si="70">E92-E93</f>
        <v>-0.1539752329545454</v>
      </c>
      <c r="F95" s="93">
        <f t="shared" si="70"/>
        <v>1.7749633522727271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1" t="s">
        <v>1504</v>
      </c>
      <c r="B3" s="291" t="s">
        <v>1501</v>
      </c>
    </row>
    <row r="4" spans="1:5" x14ac:dyDescent="0.25">
      <c r="A4" s="291" t="s">
        <v>1503</v>
      </c>
      <c r="B4" t="s">
        <v>521</v>
      </c>
      <c r="C4" t="s">
        <v>520</v>
      </c>
      <c r="D4" t="s">
        <v>450</v>
      </c>
      <c r="E4" t="s">
        <v>1502</v>
      </c>
    </row>
    <row r="5" spans="1:5" x14ac:dyDescent="0.25">
      <c r="A5" s="15">
        <v>3</v>
      </c>
      <c r="B5" s="292">
        <v>4</v>
      </c>
      <c r="C5" s="292"/>
      <c r="D5" s="292"/>
      <c r="E5" s="292">
        <v>4</v>
      </c>
    </row>
    <row r="6" spans="1:5" x14ac:dyDescent="0.25">
      <c r="A6" s="15">
        <v>12</v>
      </c>
      <c r="B6" s="292"/>
      <c r="C6" s="292">
        <v>1.4</v>
      </c>
      <c r="D6" s="292"/>
      <c r="E6" s="292">
        <v>1.4</v>
      </c>
    </row>
    <row r="7" spans="1:5" x14ac:dyDescent="0.25">
      <c r="A7" s="15">
        <v>43</v>
      </c>
      <c r="B7" s="292"/>
      <c r="C7" s="292"/>
      <c r="D7" s="292">
        <v>1</v>
      </c>
      <c r="E7" s="292">
        <v>1</v>
      </c>
    </row>
    <row r="8" spans="1:5" x14ac:dyDescent="0.25">
      <c r="A8" s="15">
        <v>47</v>
      </c>
      <c r="B8" s="292">
        <v>5.9</v>
      </c>
      <c r="C8" s="292"/>
      <c r="D8" s="292"/>
      <c r="E8" s="292">
        <v>5.9</v>
      </c>
    </row>
    <row r="9" spans="1:5" x14ac:dyDescent="0.25">
      <c r="A9" s="15">
        <v>198</v>
      </c>
      <c r="B9" s="292">
        <v>4</v>
      </c>
      <c r="C9" s="292">
        <v>4.2</v>
      </c>
      <c r="D9" s="292"/>
      <c r="E9" s="292">
        <v>8.1999999999999993</v>
      </c>
    </row>
    <row r="10" spans="1:5" x14ac:dyDescent="0.25">
      <c r="A10" s="15">
        <v>301</v>
      </c>
      <c r="B10" s="292">
        <v>7</v>
      </c>
      <c r="C10" s="292">
        <v>10.199999999999999</v>
      </c>
      <c r="D10" s="292"/>
      <c r="E10" s="292">
        <v>17.2</v>
      </c>
    </row>
    <row r="11" spans="1:5" x14ac:dyDescent="0.25">
      <c r="A11" s="15">
        <v>302</v>
      </c>
      <c r="B11" s="292"/>
      <c r="C11" s="292"/>
      <c r="D11" s="292"/>
      <c r="E11" s="292"/>
    </row>
    <row r="12" spans="1:5" x14ac:dyDescent="0.25">
      <c r="A12" s="15">
        <v>303</v>
      </c>
      <c r="B12" s="292">
        <v>3.5</v>
      </c>
      <c r="C12" s="292">
        <v>3.1</v>
      </c>
      <c r="D12" s="292"/>
      <c r="E12" s="292">
        <v>6.6</v>
      </c>
    </row>
    <row r="13" spans="1:5" x14ac:dyDescent="0.25">
      <c r="A13" s="15">
        <v>304</v>
      </c>
      <c r="B13" s="292"/>
      <c r="C13" s="292"/>
      <c r="D13" s="292"/>
      <c r="E13" s="292"/>
    </row>
    <row r="14" spans="1:5" x14ac:dyDescent="0.25">
      <c r="A14" s="15">
        <v>307</v>
      </c>
      <c r="B14" s="292"/>
      <c r="C14" s="292"/>
      <c r="D14" s="292"/>
      <c r="E14" s="292"/>
    </row>
    <row r="15" spans="1:5" x14ac:dyDescent="0.25">
      <c r="A15" s="15">
        <v>308</v>
      </c>
      <c r="B15" s="292"/>
      <c r="C15" s="292">
        <v>2.8</v>
      </c>
      <c r="D15" s="292"/>
      <c r="E15" s="292">
        <v>2.8</v>
      </c>
    </row>
    <row r="16" spans="1:5" x14ac:dyDescent="0.25">
      <c r="A16" s="15" t="s">
        <v>1502</v>
      </c>
      <c r="B16" s="292">
        <v>24.4</v>
      </c>
      <c r="C16" s="292">
        <v>21.7</v>
      </c>
      <c r="D16" s="292">
        <v>1</v>
      </c>
      <c r="E16" s="292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tabSelected="1" topLeftCell="A2"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521</v>
      </c>
      <c r="E2" s="9" t="s">
        <v>1498</v>
      </c>
      <c r="F2" s="9">
        <v>301</v>
      </c>
      <c r="G2" s="290">
        <v>7</v>
      </c>
      <c r="H2" s="290"/>
      <c r="I2" s="290">
        <v>3</v>
      </c>
      <c r="J2" s="290">
        <v>0.5</v>
      </c>
      <c r="K2" s="8">
        <f>IF(B2=2,0,IF(I2=$Y$10,G2*$AB$10,IF(I2=$Y$11,G2*$AB$11,IF(I2=$Y$12,G2*$AB$12,""))))</f>
        <v>0</v>
      </c>
      <c r="L2" s="8">
        <f t="shared" ref="L2:L37" si="0">IF(J2=$Y$5,K2*$AA$5,IF(J2=$Y$6,K2*$AA$6,IF(J2=$Y$7,K2*$AA$7,"")))</f>
        <v>0</v>
      </c>
      <c r="M2" s="10">
        <f>IF(I2=$Y$10,SQRT(L2*10000),SQRT(Parcellaire!L2*10000)/$AC$11)</f>
        <v>0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0</v>
      </c>
      <c r="U2" s="10">
        <f>IF(C2=2,Q2*M2,0)</f>
        <v>0</v>
      </c>
      <c r="V2" s="27">
        <f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521</v>
      </c>
      <c r="E3" s="9" t="s">
        <v>1498</v>
      </c>
      <c r="F3" s="290">
        <v>303</v>
      </c>
      <c r="G3" s="290">
        <v>1.5</v>
      </c>
      <c r="H3" s="290"/>
      <c r="I3" s="290">
        <v>3</v>
      </c>
      <c r="J3" s="290">
        <v>0.5</v>
      </c>
      <c r="K3" s="8">
        <f t="shared" ref="K3:K17" si="1">IF(B3=2,0,IF(I3=$Y$10,G3*$AB$10,IF(I3=$Y$11,G3*$AB$11,IF(I3=$Y$12,G3*$AB$12,""))))</f>
        <v>0</v>
      </c>
      <c r="L3" s="8">
        <f t="shared" si="0"/>
        <v>0</v>
      </c>
      <c r="M3" s="10">
        <f>IF(I3=$Y$10,SQRT(L3*10000),SQRT(Parcellaire!L3*10000)/$AC$11)</f>
        <v>0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0</v>
      </c>
      <c r="U3" s="10">
        <f t="shared" ref="U3:U37" si="6">IF(C3=2,Q3*M3,0)</f>
        <v>0</v>
      </c>
      <c r="V3" s="27">
        <f t="shared" ref="V3:V37" si="7">O3*M3</f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521</v>
      </c>
      <c r="E4" s="9" t="s">
        <v>565</v>
      </c>
      <c r="F4" s="9">
        <v>198</v>
      </c>
      <c r="G4" s="290">
        <v>4</v>
      </c>
      <c r="H4" s="290"/>
      <c r="I4" s="290">
        <v>3</v>
      </c>
      <c r="J4" s="290">
        <v>0.5</v>
      </c>
      <c r="K4" s="8">
        <f t="shared" si="1"/>
        <v>0</v>
      </c>
      <c r="L4" s="8">
        <f t="shared" si="0"/>
        <v>0</v>
      </c>
      <c r="M4" s="10">
        <f>IF(I4=$Y$10,SQRT(L4*10000),SQRT(Parcellaire!L4*10000)/$AC$11)</f>
        <v>0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0</v>
      </c>
      <c r="U4" s="10">
        <f>IF(C4=2,Q4*M4,0)</f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2</v>
      </c>
      <c r="C5" s="9">
        <v>2</v>
      </c>
      <c r="D5" s="9" t="s">
        <v>521</v>
      </c>
      <c r="E5" s="9" t="s">
        <v>1498</v>
      </c>
      <c r="F5" s="9">
        <v>303</v>
      </c>
      <c r="G5" s="290">
        <v>2</v>
      </c>
      <c r="H5" s="290"/>
      <c r="I5" s="290">
        <v>3</v>
      </c>
      <c r="J5" s="290">
        <v>0.5</v>
      </c>
      <c r="K5" s="8">
        <f t="shared" si="1"/>
        <v>0</v>
      </c>
      <c r="L5" s="8">
        <f t="shared" si="0"/>
        <v>0</v>
      </c>
      <c r="M5" s="10">
        <f>IF(I5=$Y$10,SQRT(L5*10000),SQRT(Parcellaire!L5*10000)/$AC$11)</f>
        <v>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0</v>
      </c>
      <c r="U5" s="10">
        <f t="shared" si="6"/>
        <v>0</v>
      </c>
      <c r="V5" s="27">
        <f t="shared" si="7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1499</v>
      </c>
      <c r="F6" s="9">
        <v>47</v>
      </c>
      <c r="G6" s="290">
        <v>5.9</v>
      </c>
      <c r="H6" s="290"/>
      <c r="I6" s="290">
        <v>3</v>
      </c>
      <c r="J6" s="290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0">
        <v>1.4</v>
      </c>
      <c r="H7" s="290"/>
      <c r="I7" s="290">
        <v>2</v>
      </c>
      <c r="J7" s="290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1498</v>
      </c>
      <c r="F8" s="9">
        <v>303</v>
      </c>
      <c r="G8" s="290">
        <v>3.1</v>
      </c>
      <c r="H8" s="290"/>
      <c r="I8" s="290">
        <v>3</v>
      </c>
      <c r="J8" s="290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0">
        <v>2.5</v>
      </c>
      <c r="H9" s="290"/>
      <c r="I9" s="290">
        <v>3</v>
      </c>
      <c r="J9" s="290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2</v>
      </c>
      <c r="C10" s="9">
        <v>0</v>
      </c>
      <c r="D10" s="9" t="s">
        <v>521</v>
      </c>
      <c r="E10" s="9" t="s">
        <v>1499</v>
      </c>
      <c r="F10" s="9">
        <v>3</v>
      </c>
      <c r="G10" s="290">
        <v>4</v>
      </c>
      <c r="H10" s="290"/>
      <c r="I10" s="290">
        <v>3</v>
      </c>
      <c r="J10" s="290">
        <v>0.5</v>
      </c>
      <c r="K10" s="8">
        <f t="shared" si="1"/>
        <v>0</v>
      </c>
      <c r="L10" s="8">
        <f t="shared" si="0"/>
        <v>0</v>
      </c>
      <c r="M10" s="10">
        <f>IF(I10=$Y$10,SQRT(L10*10000),SQRT(Parcellaire!L10*10000)/$AC$11)</f>
        <v>0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10">
        <f t="shared" si="6"/>
        <v>0</v>
      </c>
      <c r="V10" s="27">
        <f t="shared" si="7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450</v>
      </c>
      <c r="E11" s="9" t="s">
        <v>1499</v>
      </c>
      <c r="F11" s="9">
        <v>43</v>
      </c>
      <c r="G11" s="290">
        <v>1</v>
      </c>
      <c r="H11" s="290"/>
      <c r="I11" s="290">
        <v>3</v>
      </c>
      <c r="J11" s="290">
        <v>0.5</v>
      </c>
      <c r="K11" s="8">
        <f t="shared" si="1"/>
        <v>0</v>
      </c>
      <c r="L11" s="8">
        <f t="shared" si="0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0">
        <v>1.7</v>
      </c>
      <c r="H12" s="290"/>
      <c r="I12" s="290">
        <v>3</v>
      </c>
      <c r="J12" s="290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1498</v>
      </c>
      <c r="F13" s="9">
        <v>301</v>
      </c>
      <c r="G13" s="290">
        <v>10.199999999999999</v>
      </c>
      <c r="H13" s="290">
        <v>5.6</v>
      </c>
      <c r="I13" s="290">
        <v>3</v>
      </c>
      <c r="J13" s="290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0">
        <v>2</v>
      </c>
      <c r="C14" s="9">
        <v>3</v>
      </c>
      <c r="D14" s="9" t="s">
        <v>520</v>
      </c>
      <c r="E14" s="9" t="s">
        <v>1498</v>
      </c>
      <c r="F14" s="290">
        <v>302</v>
      </c>
      <c r="G14" s="290"/>
      <c r="H14" s="290">
        <v>3</v>
      </c>
      <c r="I14" s="290">
        <v>3</v>
      </c>
      <c r="J14" s="290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0">
        <v>2</v>
      </c>
      <c r="C15" s="9">
        <v>4</v>
      </c>
      <c r="D15" s="9" t="s">
        <v>520</v>
      </c>
      <c r="E15" s="9" t="s">
        <v>1498</v>
      </c>
      <c r="F15" s="290">
        <v>304</v>
      </c>
      <c r="G15" s="290"/>
      <c r="H15" s="290">
        <v>0.8</v>
      </c>
      <c r="I15" s="290">
        <v>3</v>
      </c>
      <c r="J15" s="290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0">
        <v>2</v>
      </c>
      <c r="C16" s="9">
        <v>5</v>
      </c>
      <c r="D16" s="9" t="s">
        <v>520</v>
      </c>
      <c r="E16" s="9" t="s">
        <v>1498</v>
      </c>
      <c r="F16" s="290">
        <v>307</v>
      </c>
      <c r="G16" s="290"/>
      <c r="H16" s="290">
        <v>0.8</v>
      </c>
      <c r="I16" s="290">
        <v>3</v>
      </c>
      <c r="J16" s="290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0">
        <v>1</v>
      </c>
      <c r="C17" s="9">
        <v>6</v>
      </c>
      <c r="D17" s="9" t="s">
        <v>520</v>
      </c>
      <c r="E17" s="9" t="s">
        <v>1498</v>
      </c>
      <c r="F17" s="290">
        <v>308</v>
      </c>
      <c r="G17" s="290">
        <v>2.8</v>
      </c>
      <c r="H17" s="290">
        <v>2</v>
      </c>
      <c r="I17" s="290">
        <v>3</v>
      </c>
      <c r="J17" s="290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3649.0960487166458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3649.0960487166458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21.7</v>
      </c>
      <c r="H64" s="135"/>
      <c r="I64" s="135">
        <f>SUMIF(Parcellaire!$B$2:$B$63,1,Parcellaire!I2:I63)</f>
        <v>17</v>
      </c>
      <c r="J64" s="135">
        <f>SUMIF(Parcellaire!$B$2:$B$63,1,Parcellaire!J2:J63)</f>
        <v>2.5</v>
      </c>
      <c r="K64" s="135">
        <f>SUMIF(Parcellaire!$B$2:$B$63,1,Parcellaire!K2:K63)</f>
        <v>23.729999999999997</v>
      </c>
      <c r="L64" s="135">
        <f>SUMIF(Parcellaire!$B$2:$B$63,1,Parcellaire!L2:L63)</f>
        <v>25.963000000000005</v>
      </c>
      <c r="M64" s="135">
        <f>SUMIF(Parcellaire!$B$2:$B$63,1,Parcellaire!M2:M63)</f>
        <v>823.58235664618212</v>
      </c>
      <c r="N64" s="135">
        <f>SUMIF(Parcellaire!$B$2:$B$63,1,Parcellaire!N2:N63)</f>
        <v>36</v>
      </c>
      <c r="O64" s="135">
        <f>SUMIF(Parcellaire!$B$2:$B$63,1,Parcellaire!O2:O63)</f>
        <v>34</v>
      </c>
      <c r="P64" s="135">
        <f>SUMIF(Parcellaire!$B$2:$B$63,1,Parcellaire!P2:P63)</f>
        <v>0</v>
      </c>
      <c r="Q64" s="135">
        <f>SUMIF(Parcellaire!$B$2:$B$63,1,Parcellaire!Q2:Q63)</f>
        <v>16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3649.0960487166458</v>
      </c>
      <c r="U64" s="135">
        <f>SUMIF(Parcellaire!$B$2:$B$63,1,Parcellaire!U2:U63)</f>
        <v>1692.3389007158728</v>
      </c>
      <c r="V64" s="135">
        <f>SUMIF(Parcellaire!$B$2:$B$63,1,Parcellaire!V2:V63)</f>
        <v>4774.162134570277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4" t="s">
        <v>2</v>
      </c>
      <c r="C37" s="294"/>
      <c r="D37" s="294" t="s">
        <v>0</v>
      </c>
      <c r="E37" s="294"/>
      <c r="F37" s="294" t="s">
        <v>1</v>
      </c>
      <c r="G37" s="294"/>
      <c r="H37" s="294" t="s">
        <v>3</v>
      </c>
      <c r="I37" s="294"/>
      <c r="J37" s="294" t="s">
        <v>4</v>
      </c>
      <c r="K37" s="294"/>
      <c r="L37" s="294" t="s">
        <v>5</v>
      </c>
      <c r="M37" s="294"/>
      <c r="N37" s="294" t="s">
        <v>6</v>
      </c>
      <c r="O37" s="294"/>
      <c r="P37" s="294" t="s">
        <v>7</v>
      </c>
      <c r="Q37" s="294"/>
      <c r="R37" s="294" t="s">
        <v>8</v>
      </c>
      <c r="S37" s="294"/>
      <c r="T37" s="294" t="s">
        <v>9</v>
      </c>
      <c r="U37" s="294"/>
      <c r="V37" s="294" t="s">
        <v>10</v>
      </c>
      <c r="W37" s="294"/>
      <c r="X37" s="294" t="s">
        <v>11</v>
      </c>
      <c r="Y37" s="294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96" zoomScale="80" zoomScaleNormal="80" workbookViewId="0">
      <selection activeCell="K111" sqref="K11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1508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5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5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28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19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5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7.2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5</v>
      </c>
    </row>
    <row r="41" spans="10:132" x14ac:dyDescent="0.25">
      <c r="J41" s="14" t="s">
        <v>599</v>
      </c>
      <c r="K41" s="178">
        <f>AD228</f>
        <v>30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8.4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37.200000000000003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1</v>
      </c>
      <c r="AW52">
        <f>IF(CdTrp1!C80=1,1,IF(CdTrp1!C80=2,2,IF(CdTrp1!C80=3,2,0)))</f>
        <v>1</v>
      </c>
      <c r="AX52">
        <f>IF(CdTrp1!D80=1,1,IF(CdTrp1!D80=2,2,IF(CdTrp1!D80=3,2,0)))</f>
        <v>1</v>
      </c>
      <c r="AY52">
        <f>IF(CdTrp1!E80=1,1,IF(CdTrp1!E80=2,2,IF(CdTrp1!E80=3,2,0)))</f>
        <v>1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4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>
        <v>1</v>
      </c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676</v>
      </c>
      <c r="L97" s="30" t="str">
        <f>CdTrp1!A16</f>
        <v>lot2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676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676</v>
      </c>
      <c r="L100" s="30" t="str">
        <f>CdTrp1!A19</f>
        <v>tardive + vides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 t="s">
        <v>676</v>
      </c>
      <c r="L109" s="30" t="str">
        <f>CdTrp2!A18</f>
        <v>Broutards</v>
      </c>
    </row>
    <row r="110" spans="9:17" x14ac:dyDescent="0.25">
      <c r="J110" s="14" t="s">
        <v>157</v>
      </c>
      <c r="K110" s="80" t="s">
        <v>676</v>
      </c>
      <c r="L110" s="30" t="str">
        <f>CdTrp2!A19</f>
        <v>génisses &lt; 1 an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>
        <v>1</v>
      </c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301</v>
      </c>
      <c r="S164" s="178">
        <f>'Alim -Surf'!R7</f>
        <v>2.5</v>
      </c>
      <c r="T164" s="178">
        <f>VLOOKUP($R164,[1]MEP!$A$4:$M$300,13)</f>
        <v>1</v>
      </c>
      <c r="U164" s="178">
        <f>IF($T164&gt;0,$S164,0)</f>
        <v>2.5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2.5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2.5</v>
      </c>
      <c r="AJ164" s="178">
        <f>IF(T164&gt;1,AD164,0)</f>
        <v>0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302</v>
      </c>
      <c r="S165" s="178">
        <f>'Alim -Surf'!R8</f>
        <v>0</v>
      </c>
      <c r="T165" s="178">
        <f>VLOOKUP(R165,[1]MEP!$A$4:$M$300,13)</f>
        <v>2</v>
      </c>
      <c r="U165" s="178">
        <f t="shared" ref="U165:U207" si="10">IF($T165&gt;0,$S165,0)</f>
        <v>0</v>
      </c>
      <c r="V165" s="178">
        <f t="shared" ref="V165:V207" si="11">IF($T165&gt;1,$S165,0)</f>
        <v>0</v>
      </c>
      <c r="W165" s="178">
        <f t="shared" ref="W165:W207" si="12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0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0</v>
      </c>
      <c r="AL165" s="5"/>
      <c r="AN165" s="32" t="s">
        <v>704</v>
      </c>
      <c r="AO165" s="178">
        <f>SUM(AD164:AD183)</f>
        <v>15.5</v>
      </c>
    </row>
    <row r="166" spans="17:41" x14ac:dyDescent="0.25">
      <c r="Q166">
        <v>3</v>
      </c>
      <c r="R166" s="178">
        <f>'Alim -Surf'!Q9</f>
        <v>303</v>
      </c>
      <c r="S166" s="178">
        <f>'Alim -Surf'!R9</f>
        <v>7</v>
      </c>
      <c r="T166" s="178">
        <f>VLOOKUP(R166,[1]MEP!$A$4:$M$300,13)</f>
        <v>0</v>
      </c>
      <c r="U166" s="178">
        <f t="shared" si="10"/>
        <v>0</v>
      </c>
      <c r="V166" s="178">
        <f t="shared" si="11"/>
        <v>0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7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7</v>
      </c>
      <c r="AI166" s="178">
        <f t="shared" si="19"/>
        <v>0</v>
      </c>
      <c r="AJ166" s="178">
        <f t="shared" si="20"/>
        <v>0</v>
      </c>
      <c r="AL166" s="5"/>
      <c r="AN166" s="32" t="s">
        <v>705</v>
      </c>
      <c r="AO166" s="178">
        <f>SUM(AC164:AC183)</f>
        <v>4</v>
      </c>
    </row>
    <row r="167" spans="17:41" x14ac:dyDescent="0.25">
      <c r="Q167">
        <v>4</v>
      </c>
      <c r="R167" s="178">
        <f>'Alim -Surf'!Q10</f>
        <v>304</v>
      </c>
      <c r="S167" s="178">
        <f>'Alim -Surf'!R10</f>
        <v>0</v>
      </c>
      <c r="T167" s="178">
        <f>VLOOKUP(R167,[1]MEP!$A$4:$M$300,13)</f>
        <v>2</v>
      </c>
      <c r="U167" s="178">
        <f t="shared" si="10"/>
        <v>0</v>
      </c>
      <c r="V167" s="178">
        <f t="shared" si="11"/>
        <v>0</v>
      </c>
      <c r="W167" s="178">
        <f t="shared" si="12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10"/>
        <v>0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14.5</v>
      </c>
    </row>
    <row r="169" spans="17:41" x14ac:dyDescent="0.25"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10"/>
        <v>0</v>
      </c>
      <c r="V169" s="178">
        <f t="shared" si="11"/>
        <v>0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</v>
      </c>
      <c r="AL169" s="5"/>
      <c r="AN169" s="32" t="s">
        <v>708</v>
      </c>
      <c r="AO169" s="178">
        <f>SUM(AC186:AC205)</f>
        <v>1</v>
      </c>
    </row>
    <row r="170" spans="17:41" x14ac:dyDescent="0.25">
      <c r="Q170">
        <v>7</v>
      </c>
      <c r="R170" s="178">
        <f>'Alim -Surf'!Q13</f>
        <v>308</v>
      </c>
      <c r="S170" s="178">
        <f>'Alim -Surf'!R13</f>
        <v>4</v>
      </c>
      <c r="T170" s="178">
        <f>VLOOKUP(R170,[1]MEP!$A$4:$M$300,13)</f>
        <v>2</v>
      </c>
      <c r="U170" s="178">
        <f t="shared" si="10"/>
        <v>4</v>
      </c>
      <c r="V170" s="178">
        <f t="shared" si="11"/>
        <v>4</v>
      </c>
      <c r="W170" s="178">
        <f t="shared" si="12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4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4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198</v>
      </c>
      <c r="S171" s="178">
        <f>'Alim -Surf'!R14</f>
        <v>4</v>
      </c>
      <c r="T171" s="178">
        <f>VLOOKUP(R171,[1]MEP!$A$4:$M$300,13)</f>
        <v>2</v>
      </c>
      <c r="U171" s="178">
        <f t="shared" si="10"/>
        <v>4</v>
      </c>
      <c r="V171" s="178">
        <f t="shared" si="11"/>
        <v>4</v>
      </c>
      <c r="W171" s="178">
        <f t="shared" si="12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8"/>
        <v>0</v>
      </c>
      <c r="AB171" s="178">
        <f t="shared" si="9"/>
        <v>0</v>
      </c>
      <c r="AC171" s="178">
        <f t="shared" si="13"/>
        <v>4</v>
      </c>
      <c r="AD171" s="178">
        <f t="shared" si="14"/>
        <v>0</v>
      </c>
      <c r="AE171" s="178">
        <f t="shared" si="15"/>
        <v>0</v>
      </c>
      <c r="AF171" s="178">
        <f t="shared" si="16"/>
        <v>0</v>
      </c>
      <c r="AG171" s="178">
        <f t="shared" si="17"/>
        <v>4</v>
      </c>
      <c r="AH171" s="178">
        <f t="shared" si="18"/>
        <v>0</v>
      </c>
      <c r="AI171" s="178">
        <f t="shared" si="19"/>
        <v>0</v>
      </c>
      <c r="AJ171" s="178">
        <f t="shared" si="20"/>
        <v>0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49</v>
      </c>
      <c r="S172" s="178">
        <f>'Alim -Surf'!R15</f>
        <v>2</v>
      </c>
      <c r="T172" s="178">
        <f>VLOOKUP(R172,[1]MEP!$A$4:$M$300,13)</f>
        <v>1</v>
      </c>
      <c r="U172" s="178">
        <f t="shared" si="10"/>
        <v>2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2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2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301</v>
      </c>
      <c r="S186" s="178">
        <f>'Alim -Surf'!R29</f>
        <v>4.5</v>
      </c>
      <c r="T186" s="178">
        <f>VLOOKUP(R186,[1]MEP!$A$4:$M$300,13)</f>
        <v>1</v>
      </c>
      <c r="U186" s="178">
        <f t="shared" si="10"/>
        <v>4.5</v>
      </c>
      <c r="V186" s="178">
        <f t="shared" si="11"/>
        <v>0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4.5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4.5</v>
      </c>
      <c r="AJ186" s="178">
        <f t="shared" si="20"/>
        <v>0</v>
      </c>
      <c r="AL186" s="5"/>
    </row>
    <row r="187" spans="17:38" x14ac:dyDescent="0.25">
      <c r="Q187">
        <v>2</v>
      </c>
      <c r="R187" s="178">
        <f>'Alim -Surf'!Q30</f>
        <v>303</v>
      </c>
      <c r="S187" s="178">
        <f>'Alim -Surf'!R30</f>
        <v>0</v>
      </c>
      <c r="T187" s="178">
        <f>VLOOKUP(R187,[1]MEP!$A$4:$M$300,13)</f>
        <v>0</v>
      </c>
      <c r="U187" s="178">
        <f t="shared" si="10"/>
        <v>0</v>
      </c>
      <c r="V187" s="178">
        <f t="shared" si="11"/>
        <v>0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0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0</v>
      </c>
      <c r="AI187" s="178">
        <f t="shared" si="19"/>
        <v>0</v>
      </c>
      <c r="AJ187" s="178">
        <f t="shared" si="20"/>
        <v>0</v>
      </c>
      <c r="AL187" s="5"/>
    </row>
    <row r="188" spans="17:38" x14ac:dyDescent="0.25">
      <c r="Q188">
        <v>3</v>
      </c>
      <c r="R188" s="178">
        <f>'Alim -Surf'!Q31</f>
        <v>198</v>
      </c>
      <c r="S188" s="178">
        <f>'Alim -Surf'!R31</f>
        <v>1</v>
      </c>
      <c r="T188" s="178">
        <f>VLOOKUP(R188,[1]MEP!$A$4:$M$300,13)</f>
        <v>2</v>
      </c>
      <c r="U188" s="178">
        <f t="shared" si="10"/>
        <v>1</v>
      </c>
      <c r="V188" s="178">
        <f t="shared" si="11"/>
        <v>1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8"/>
        <v>0</v>
      </c>
      <c r="AB188" s="178">
        <f t="shared" si="9"/>
        <v>0</v>
      </c>
      <c r="AC188" s="178">
        <f t="shared" si="13"/>
        <v>1</v>
      </c>
      <c r="AD188" s="178">
        <f t="shared" si="14"/>
        <v>0</v>
      </c>
      <c r="AE188" s="178">
        <f t="shared" si="15"/>
        <v>0</v>
      </c>
      <c r="AF188" s="178">
        <f t="shared" si="16"/>
        <v>0</v>
      </c>
      <c r="AG188" s="178">
        <f t="shared" si="17"/>
        <v>1</v>
      </c>
      <c r="AH188" s="178">
        <f t="shared" si="18"/>
        <v>0</v>
      </c>
      <c r="AI188" s="178">
        <f t="shared" si="19"/>
        <v>0</v>
      </c>
      <c r="AJ188" s="178">
        <f t="shared" si="20"/>
        <v>0</v>
      </c>
      <c r="AL188" s="5"/>
    </row>
    <row r="189" spans="17:38" x14ac:dyDescent="0.25">
      <c r="Q189">
        <v>4</v>
      </c>
      <c r="R189" s="178">
        <f>'Alim -Surf'!Q32</f>
        <v>307</v>
      </c>
      <c r="S189" s="178">
        <f>'Alim -Surf'!R32</f>
        <v>1</v>
      </c>
      <c r="T189" s="178">
        <f>VLOOKUP(R189,[1]MEP!$A$4:$M$300,13)</f>
        <v>2</v>
      </c>
      <c r="U189" s="178">
        <f t="shared" si="10"/>
        <v>1</v>
      </c>
      <c r="V189" s="178">
        <f t="shared" si="11"/>
        <v>1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1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1</v>
      </c>
      <c r="AL189" s="5"/>
    </row>
    <row r="190" spans="17:38" x14ac:dyDescent="0.25">
      <c r="Q190">
        <v>5</v>
      </c>
      <c r="R190" s="178">
        <f>'Alim -Surf'!Q33</f>
        <v>45</v>
      </c>
      <c r="S190" s="178">
        <f>'Alim -Surf'!R33</f>
        <v>9</v>
      </c>
      <c r="T190" s="178">
        <f>VLOOKUP(R190,[1]MEP!$A$4:$M$300,13)</f>
        <v>2</v>
      </c>
      <c r="U190" s="178">
        <f t="shared" si="10"/>
        <v>9</v>
      </c>
      <c r="V190" s="178">
        <f t="shared" si="11"/>
        <v>9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9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9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36.200000000000003</v>
      </c>
      <c r="U228" s="62">
        <f>SUM(U164:U227)</f>
        <v>28</v>
      </c>
      <c r="V228" s="62">
        <f t="shared" ref="V228:W228" si="22">SUM(V164:V227)</f>
        <v>19</v>
      </c>
      <c r="W228" s="62">
        <f t="shared" si="22"/>
        <v>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5</v>
      </c>
      <c r="AD228" s="62">
        <f>SUM(AD164:AD227)</f>
        <v>30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7</v>
      </c>
      <c r="AI228" s="62">
        <f t="shared" si="24"/>
        <v>9</v>
      </c>
      <c r="AJ228" s="62">
        <f t="shared" si="24"/>
        <v>14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2</v>
      </c>
      <c r="D2" s="182">
        <f t="shared" ref="D2:Z2" si="0">SUM(D3:D4)</f>
        <v>2</v>
      </c>
      <c r="E2" s="182">
        <f t="shared" si="0"/>
        <v>2</v>
      </c>
      <c r="F2" s="182">
        <f t="shared" si="0"/>
        <v>2</v>
      </c>
      <c r="G2" s="182">
        <f t="shared" si="0"/>
        <v>2</v>
      </c>
      <c r="H2" s="182">
        <f t="shared" si="0"/>
        <v>2</v>
      </c>
      <c r="I2" s="182">
        <f t="shared" si="0"/>
        <v>2</v>
      </c>
      <c r="J2" s="182">
        <f t="shared" si="0"/>
        <v>2</v>
      </c>
      <c r="K2" s="182">
        <f t="shared" si="0"/>
        <v>2</v>
      </c>
      <c r="L2" s="182">
        <f t="shared" si="0"/>
        <v>2</v>
      </c>
      <c r="M2" s="182">
        <f t="shared" si="0"/>
        <v>1</v>
      </c>
      <c r="N2" s="182">
        <f t="shared" si="0"/>
        <v>1</v>
      </c>
      <c r="O2" s="182">
        <f t="shared" si="0"/>
        <v>1</v>
      </c>
      <c r="P2" s="182">
        <f t="shared" si="0"/>
        <v>1</v>
      </c>
      <c r="Q2" s="182">
        <f t="shared" si="0"/>
        <v>2</v>
      </c>
      <c r="R2" s="182">
        <f t="shared" si="0"/>
        <v>2</v>
      </c>
      <c r="S2" s="182">
        <f t="shared" si="0"/>
        <v>2</v>
      </c>
      <c r="T2" s="182">
        <f t="shared" si="0"/>
        <v>2</v>
      </c>
      <c r="U2" s="182">
        <f t="shared" si="0"/>
        <v>2</v>
      </c>
      <c r="V2" s="182">
        <f t="shared" si="0"/>
        <v>2</v>
      </c>
      <c r="W2" s="182">
        <f t="shared" si="0"/>
        <v>2</v>
      </c>
      <c r="X2" s="182">
        <f t="shared" si="0"/>
        <v>2</v>
      </c>
      <c r="Y2" s="182">
        <f t="shared" si="0"/>
        <v>2</v>
      </c>
      <c r="Z2" s="182">
        <f t="shared" si="0"/>
        <v>2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2</v>
      </c>
      <c r="D3" s="182">
        <f t="shared" si="1"/>
        <v>2</v>
      </c>
      <c r="E3" s="182">
        <f t="shared" si="1"/>
        <v>2</v>
      </c>
      <c r="F3" s="182">
        <f t="shared" si="1"/>
        <v>2</v>
      </c>
      <c r="G3" s="182">
        <f t="shared" si="1"/>
        <v>2</v>
      </c>
      <c r="H3" s="182">
        <f t="shared" si="1"/>
        <v>2</v>
      </c>
      <c r="I3" s="182">
        <f t="shared" si="1"/>
        <v>2</v>
      </c>
      <c r="J3" s="182">
        <f t="shared" si="1"/>
        <v>2</v>
      </c>
      <c r="K3" s="182">
        <f t="shared" si="1"/>
        <v>2</v>
      </c>
      <c r="L3" s="182">
        <f t="shared" si="1"/>
        <v>2</v>
      </c>
      <c r="M3" s="182">
        <f t="shared" si="1"/>
        <v>1</v>
      </c>
      <c r="N3" s="182">
        <f t="shared" si="1"/>
        <v>1</v>
      </c>
      <c r="O3" s="182">
        <f t="shared" si="1"/>
        <v>1</v>
      </c>
      <c r="P3" s="182">
        <f t="shared" si="1"/>
        <v>1</v>
      </c>
      <c r="Q3" s="182">
        <f t="shared" si="1"/>
        <v>2</v>
      </c>
      <c r="R3" s="182">
        <f t="shared" si="1"/>
        <v>2</v>
      </c>
      <c r="S3" s="182">
        <f t="shared" si="1"/>
        <v>2</v>
      </c>
      <c r="T3" s="182">
        <f t="shared" si="1"/>
        <v>2</v>
      </c>
      <c r="U3" s="182">
        <f t="shared" si="1"/>
        <v>2</v>
      </c>
      <c r="V3" s="182">
        <f t="shared" si="1"/>
        <v>2</v>
      </c>
      <c r="W3" s="182">
        <f t="shared" si="1"/>
        <v>2</v>
      </c>
      <c r="X3" s="182">
        <f t="shared" si="1"/>
        <v>2</v>
      </c>
      <c r="Y3" s="182">
        <f t="shared" si="1"/>
        <v>2</v>
      </c>
      <c r="Z3" s="182">
        <f t="shared" si="1"/>
        <v>2</v>
      </c>
      <c r="AO3" s="14" t="s">
        <v>727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2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/>
      </c>
      <c r="BE3" s="30" t="str">
        <f>IF(AW3=2,"",VLOOKUP(BD3,[1]MEP!$AC$5:$AD$10,2))</f>
        <v/>
      </c>
      <c r="BF3" s="30" t="str">
        <f>IF(BE3="LP","LP",IF(AND(BE3="P",AX3="proche"),"PF",IF(AND(BE3="P",AX3="éloigné"),"PE","AU")))</f>
        <v>AU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0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0</v>
      </c>
    </row>
    <row r="4" spans="1:64" x14ac:dyDescent="0.25">
      <c r="A4" s="14" t="s">
        <v>728</v>
      </c>
      <c r="B4" t="s">
        <v>606</v>
      </c>
      <c r="C4" s="182">
        <f>COUNTIF(C81:C90,2)</f>
        <v>0</v>
      </c>
      <c r="D4" s="182">
        <f t="shared" ref="D4:Z4" si="2">COUNTIF(D81:D90,2)</f>
        <v>0</v>
      </c>
      <c r="E4" s="182">
        <f t="shared" si="2"/>
        <v>0</v>
      </c>
      <c r="F4" s="182">
        <f t="shared" si="2"/>
        <v>0</v>
      </c>
      <c r="G4" s="182">
        <f t="shared" si="2"/>
        <v>0</v>
      </c>
      <c r="H4" s="182">
        <f t="shared" si="2"/>
        <v>0</v>
      </c>
      <c r="I4" s="182">
        <f t="shared" si="2"/>
        <v>0</v>
      </c>
      <c r="J4" s="182">
        <f t="shared" si="2"/>
        <v>0</v>
      </c>
      <c r="K4" s="182">
        <f t="shared" si="2"/>
        <v>0</v>
      </c>
      <c r="L4" s="182">
        <f t="shared" si="2"/>
        <v>0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0</v>
      </c>
      <c r="Q4" s="182">
        <f t="shared" si="2"/>
        <v>0</v>
      </c>
      <c r="R4" s="182">
        <f t="shared" si="2"/>
        <v>0</v>
      </c>
      <c r="S4" s="182">
        <f t="shared" si="2"/>
        <v>0</v>
      </c>
      <c r="T4" s="182">
        <f t="shared" si="2"/>
        <v>0</v>
      </c>
      <c r="U4" s="182">
        <f t="shared" si="2"/>
        <v>0</v>
      </c>
      <c r="V4" s="182">
        <f t="shared" si="2"/>
        <v>0</v>
      </c>
      <c r="W4" s="182">
        <f t="shared" si="2"/>
        <v>0</v>
      </c>
      <c r="X4" s="182">
        <f t="shared" si="2"/>
        <v>0</v>
      </c>
      <c r="Y4" s="182">
        <f t="shared" si="2"/>
        <v>0</v>
      </c>
      <c r="Z4" s="182">
        <f t="shared" si="2"/>
        <v>0</v>
      </c>
      <c r="AO4" s="14" t="s">
        <v>729</v>
      </c>
      <c r="AP4" s="30">
        <f>SUM(BG31:BI31)</f>
        <v>3398</v>
      </c>
      <c r="AQ4">
        <f>SUM(BJ31:BL31)</f>
        <v>20.3</v>
      </c>
      <c r="AV4" s="30">
        <f>Parcellaire!A3</f>
        <v>2</v>
      </c>
      <c r="AW4" s="30">
        <f>Parcellaire!B3</f>
        <v>2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0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0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0</v>
      </c>
      <c r="D5" s="182">
        <f t="shared" si="10"/>
        <v>0</v>
      </c>
      <c r="E5" s="182">
        <f t="shared" si="10"/>
        <v>0</v>
      </c>
      <c r="F5" s="182">
        <f t="shared" si="10"/>
        <v>0</v>
      </c>
      <c r="G5" s="182">
        <f t="shared" si="10"/>
        <v>0</v>
      </c>
      <c r="H5" s="182">
        <f t="shared" si="10"/>
        <v>0</v>
      </c>
      <c r="I5" s="182">
        <f t="shared" si="10"/>
        <v>0</v>
      </c>
      <c r="J5" s="182">
        <f t="shared" si="10"/>
        <v>0</v>
      </c>
      <c r="K5" s="182">
        <f t="shared" si="10"/>
        <v>0</v>
      </c>
      <c r="L5" s="182">
        <f t="shared" si="10"/>
        <v>0</v>
      </c>
      <c r="M5" s="182">
        <f t="shared" si="10"/>
        <v>0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4</v>
      </c>
      <c r="AO5" s="14" t="s">
        <v>732</v>
      </c>
      <c r="AP5" s="30">
        <f>BI31</f>
        <v>0</v>
      </c>
      <c r="AV5" s="30">
        <f>Parcellaire!A4</f>
        <v>3</v>
      </c>
      <c r="AW5" s="30">
        <f>Parcellaire!B4</f>
        <v>2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8">
        <f t="shared" si="4"/>
        <v>0</v>
      </c>
      <c r="BH5" s="178">
        <f t="shared" si="5"/>
        <v>0</v>
      </c>
      <c r="BI5" s="178">
        <f t="shared" si="6"/>
        <v>0</v>
      </c>
      <c r="BJ5" s="178">
        <f t="shared" si="7"/>
        <v>0</v>
      </c>
      <c r="BK5" s="178">
        <f t="shared" si="8"/>
        <v>0</v>
      </c>
      <c r="BL5" s="178">
        <f t="shared" si="9"/>
        <v>0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2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3"/>
        <v>AU</v>
      </c>
      <c r="BG6" s="178">
        <f t="shared" si="4"/>
        <v>0</v>
      </c>
      <c r="BH6" s="178">
        <f t="shared" si="5"/>
        <v>0</v>
      </c>
      <c r="BI6" s="178">
        <f t="shared" si="6"/>
        <v>0</v>
      </c>
      <c r="BJ6" s="178">
        <f t="shared" si="7"/>
        <v>0</v>
      </c>
      <c r="BK6" s="178">
        <f t="shared" si="8"/>
        <v>0</v>
      </c>
      <c r="BL6" s="178">
        <f t="shared" si="9"/>
        <v>0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4</v>
      </c>
      <c r="D8" s="182">
        <f>(D3+D4)*[1]Protect!$B$12</f>
        <v>4</v>
      </c>
      <c r="E8" s="182">
        <f>(E3+E4)*[1]Protect!$B$12</f>
        <v>4</v>
      </c>
      <c r="F8" s="182">
        <f>(F3+F4)*[1]Protect!$B$12</f>
        <v>4</v>
      </c>
      <c r="G8" s="182">
        <f>(G3+G4)*[1]Protect!$B$12</f>
        <v>4</v>
      </c>
      <c r="H8" s="182">
        <f>(H3+H4)*[1]Protect!$B$12</f>
        <v>4</v>
      </c>
      <c r="I8" s="182">
        <f>(I3+I4)*[1]Protect!$B$12</f>
        <v>4</v>
      </c>
      <c r="J8" s="182">
        <f>(J3+J4)*[1]Protect!$B$12</f>
        <v>4</v>
      </c>
      <c r="K8" s="182">
        <f>(K3+K4)*[1]Protect!$B$12</f>
        <v>4</v>
      </c>
      <c r="L8" s="182">
        <f>(L3+L4)*[1]Protect!$B$12</f>
        <v>4</v>
      </c>
      <c r="M8" s="182">
        <f>(M3+M4)*[1]Protect!$B$12</f>
        <v>2</v>
      </c>
      <c r="N8" s="182">
        <f>(N3+N4)*[1]Protect!$B$12</f>
        <v>2</v>
      </c>
      <c r="O8" s="182">
        <f>(O3+O4)*[1]Protect!$B$12</f>
        <v>2</v>
      </c>
      <c r="P8" s="182">
        <f>(P3+P4)*[1]Protect!$B$12</f>
        <v>2</v>
      </c>
      <c r="Q8" s="182">
        <f>(Q3+Q4)*[1]Protect!$B$12</f>
        <v>4</v>
      </c>
      <c r="R8" s="182">
        <f>(R3+R4)*[1]Protect!$B$12</f>
        <v>4</v>
      </c>
      <c r="S8" s="182">
        <f>(S3+S4)*[1]Protect!$B$12</f>
        <v>4</v>
      </c>
      <c r="T8" s="182">
        <f>(T3+T4)*[1]Protect!$B$12</f>
        <v>4</v>
      </c>
      <c r="U8" s="182">
        <f>(U3+U4)*[1]Protect!$B$12</f>
        <v>4</v>
      </c>
      <c r="V8" s="182">
        <f>(V3+V4)*[1]Protect!$B$12</f>
        <v>4</v>
      </c>
      <c r="W8" s="182">
        <f>(W3+W4)*[1]Protect!$B$12</f>
        <v>4</v>
      </c>
      <c r="X8" s="182">
        <f>(X3+X4)*[1]Protect!$B$12</f>
        <v>4</v>
      </c>
      <c r="Y8" s="182">
        <f>(Y3+Y4)*[1]Protect!$B$12</f>
        <v>4</v>
      </c>
      <c r="Z8" s="182">
        <f>(Z3+Z4)*[1]Protect!$B$12</f>
        <v>4</v>
      </c>
      <c r="AI8" s="40" t="s">
        <v>738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0</v>
      </c>
      <c r="D9" s="182">
        <f>D5*[1]Protect!$B$13</f>
        <v>0</v>
      </c>
      <c r="E9" s="182">
        <f>E5*[1]Protect!$B$13</f>
        <v>0</v>
      </c>
      <c r="F9" s="182">
        <f>F5*[1]Protect!$B$13</f>
        <v>0</v>
      </c>
      <c r="G9" s="182">
        <f>G5*[1]Protect!$B$13</f>
        <v>0</v>
      </c>
      <c r="H9" s="182">
        <f>H5*[1]Protect!$B$13</f>
        <v>0</v>
      </c>
      <c r="I9" s="182">
        <f>I5*[1]Protect!$B$13</f>
        <v>0</v>
      </c>
      <c r="J9" s="182">
        <f>J5*[1]Protect!$B$13</f>
        <v>0</v>
      </c>
      <c r="K9" s="182">
        <f>K5*[1]Protect!$B$13</f>
        <v>0</v>
      </c>
      <c r="L9" s="182">
        <f>L5*[1]Protect!$B$13</f>
        <v>0</v>
      </c>
      <c r="M9" s="182">
        <f>M5*[1]Protect!$B$13</f>
        <v>0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4</v>
      </c>
      <c r="D11" s="182">
        <f t="shared" ref="D11:Z11" si="13">SUM(D8:D10)</f>
        <v>4</v>
      </c>
      <c r="E11" s="182">
        <f t="shared" si="13"/>
        <v>4</v>
      </c>
      <c r="F11" s="182">
        <f t="shared" si="13"/>
        <v>4</v>
      </c>
      <c r="G11" s="182">
        <f t="shared" si="13"/>
        <v>4</v>
      </c>
      <c r="H11" s="182">
        <f t="shared" si="13"/>
        <v>4</v>
      </c>
      <c r="I11" s="182">
        <f t="shared" si="13"/>
        <v>4</v>
      </c>
      <c r="J11" s="182">
        <f t="shared" si="13"/>
        <v>4</v>
      </c>
      <c r="K11" s="182">
        <f t="shared" si="13"/>
        <v>4</v>
      </c>
      <c r="L11" s="182">
        <f t="shared" si="13"/>
        <v>4</v>
      </c>
      <c r="M11" s="182">
        <f t="shared" si="13"/>
        <v>2</v>
      </c>
      <c r="N11" s="182">
        <f t="shared" si="13"/>
        <v>2</v>
      </c>
      <c r="O11" s="182">
        <f t="shared" si="13"/>
        <v>2</v>
      </c>
      <c r="P11" s="182">
        <f t="shared" si="13"/>
        <v>2</v>
      </c>
      <c r="Q11" s="182">
        <f t="shared" si="13"/>
        <v>4</v>
      </c>
      <c r="R11" s="182">
        <f t="shared" si="13"/>
        <v>4</v>
      </c>
      <c r="S11" s="182">
        <f t="shared" si="13"/>
        <v>4</v>
      </c>
      <c r="T11" s="182">
        <f t="shared" si="13"/>
        <v>4</v>
      </c>
      <c r="U11" s="182">
        <f t="shared" si="13"/>
        <v>4</v>
      </c>
      <c r="V11" s="182">
        <f t="shared" si="13"/>
        <v>4</v>
      </c>
      <c r="W11" s="182">
        <f t="shared" si="13"/>
        <v>4</v>
      </c>
      <c r="X11" s="182">
        <f t="shared" si="13"/>
        <v>4</v>
      </c>
      <c r="Y11" s="182">
        <f t="shared" si="13"/>
        <v>4</v>
      </c>
      <c r="Z11" s="182">
        <f t="shared" si="13"/>
        <v>4</v>
      </c>
      <c r="AB11" s="2" t="s">
        <v>742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8">
        <f t="shared" si="4"/>
        <v>0</v>
      </c>
      <c r="BH11" s="178">
        <f t="shared" si="5"/>
        <v>0</v>
      </c>
      <c r="BI11" s="178">
        <f t="shared" si="6"/>
        <v>0</v>
      </c>
      <c r="BJ11" s="178">
        <f t="shared" si="7"/>
        <v>0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2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4</v>
      </c>
      <c r="D13" s="182">
        <f t="shared" ref="D13:Z13" si="14">D11+D12</f>
        <v>4</v>
      </c>
      <c r="E13" s="182">
        <f t="shared" si="14"/>
        <v>4</v>
      </c>
      <c r="F13" s="182">
        <f t="shared" si="14"/>
        <v>4</v>
      </c>
      <c r="G13" s="182">
        <f t="shared" si="14"/>
        <v>4</v>
      </c>
      <c r="H13" s="182">
        <f t="shared" si="14"/>
        <v>4</v>
      </c>
      <c r="I13" s="182">
        <f t="shared" si="14"/>
        <v>4</v>
      </c>
      <c r="J13" s="182">
        <f t="shared" si="14"/>
        <v>4</v>
      </c>
      <c r="K13" s="182">
        <f t="shared" si="14"/>
        <v>4</v>
      </c>
      <c r="L13" s="182">
        <f t="shared" si="14"/>
        <v>4</v>
      </c>
      <c r="M13" s="182">
        <f t="shared" si="14"/>
        <v>2</v>
      </c>
      <c r="N13" s="182">
        <f t="shared" si="14"/>
        <v>2</v>
      </c>
      <c r="O13" s="182">
        <f t="shared" si="14"/>
        <v>2</v>
      </c>
      <c r="P13" s="182">
        <f t="shared" si="14"/>
        <v>2</v>
      </c>
      <c r="Q13" s="182">
        <f t="shared" si="14"/>
        <v>4</v>
      </c>
      <c r="R13" s="182">
        <f t="shared" si="14"/>
        <v>4</v>
      </c>
      <c r="S13" s="182">
        <f t="shared" si="14"/>
        <v>4</v>
      </c>
      <c r="T13" s="182">
        <f t="shared" si="14"/>
        <v>4</v>
      </c>
      <c r="U13" s="182">
        <f t="shared" si="14"/>
        <v>4</v>
      </c>
      <c r="V13" s="182">
        <f t="shared" si="14"/>
        <v>4</v>
      </c>
      <c r="W13" s="182">
        <f t="shared" si="14"/>
        <v>4</v>
      </c>
      <c r="X13" s="182">
        <f t="shared" si="14"/>
        <v>4</v>
      </c>
      <c r="Y13" s="182">
        <f t="shared" si="14"/>
        <v>4</v>
      </c>
      <c r="Z13" s="182">
        <f t="shared" si="14"/>
        <v>4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0</v>
      </c>
      <c r="D15" s="178">
        <f t="shared" si="15"/>
        <v>0</v>
      </c>
      <c r="E15" s="178">
        <f t="shared" si="15"/>
        <v>0</v>
      </c>
      <c r="F15" s="178">
        <f t="shared" si="15"/>
        <v>0</v>
      </c>
      <c r="G15" s="178">
        <f t="shared" si="15"/>
        <v>0</v>
      </c>
      <c r="H15" s="178">
        <f t="shared" si="15"/>
        <v>0</v>
      </c>
      <c r="I15" s="178">
        <f t="shared" si="15"/>
        <v>0</v>
      </c>
      <c r="J15" s="178">
        <f t="shared" si="15"/>
        <v>0</v>
      </c>
      <c r="K15" s="178">
        <f t="shared" si="15"/>
        <v>0</v>
      </c>
      <c r="L15" s="178">
        <f t="shared" si="15"/>
        <v>0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0</v>
      </c>
      <c r="X15" s="178">
        <f t="shared" si="15"/>
        <v>0</v>
      </c>
      <c r="Y15" s="178">
        <f t="shared" si="15"/>
        <v>0</v>
      </c>
      <c r="Z15" s="17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2</v>
      </c>
      <c r="D16" s="178">
        <f t="shared" si="16"/>
        <v>2</v>
      </c>
      <c r="E16" s="178">
        <f t="shared" si="16"/>
        <v>2</v>
      </c>
      <c r="F16" s="178">
        <f t="shared" si="16"/>
        <v>2</v>
      </c>
      <c r="G16" s="178">
        <f t="shared" si="16"/>
        <v>2</v>
      </c>
      <c r="H16" s="178">
        <f t="shared" si="16"/>
        <v>2</v>
      </c>
      <c r="I16" s="178">
        <f t="shared" si="16"/>
        <v>2</v>
      </c>
      <c r="J16" s="178">
        <f t="shared" si="16"/>
        <v>2</v>
      </c>
      <c r="K16" s="178">
        <f t="shared" si="16"/>
        <v>2</v>
      </c>
      <c r="L16" s="178">
        <f t="shared" si="16"/>
        <v>2</v>
      </c>
      <c r="M16" s="178">
        <f t="shared" si="16"/>
        <v>1</v>
      </c>
      <c r="N16" s="178">
        <f t="shared" si="16"/>
        <v>1</v>
      </c>
      <c r="O16" s="178">
        <f t="shared" si="16"/>
        <v>1</v>
      </c>
      <c r="P16" s="178">
        <f t="shared" si="16"/>
        <v>1</v>
      </c>
      <c r="Q16" s="178">
        <f t="shared" si="16"/>
        <v>0</v>
      </c>
      <c r="R16" s="178">
        <f t="shared" si="16"/>
        <v>0</v>
      </c>
      <c r="S16" s="178">
        <f t="shared" si="16"/>
        <v>0</v>
      </c>
      <c r="T16" s="178">
        <f t="shared" si="16"/>
        <v>0</v>
      </c>
      <c r="U16" s="178">
        <f t="shared" si="16"/>
        <v>0</v>
      </c>
      <c r="V16" s="178">
        <f t="shared" si="16"/>
        <v>0</v>
      </c>
      <c r="W16" s="178">
        <f t="shared" si="16"/>
        <v>2</v>
      </c>
      <c r="X16" s="178">
        <f t="shared" si="16"/>
        <v>2</v>
      </c>
      <c r="Y16" s="178">
        <f t="shared" si="16"/>
        <v>2</v>
      </c>
      <c r="Z16" s="178">
        <f t="shared" si="16"/>
        <v>2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2</v>
      </c>
      <c r="D17" s="178">
        <f t="shared" si="17"/>
        <v>2</v>
      </c>
      <c r="E17" s="178">
        <f t="shared" si="17"/>
        <v>2</v>
      </c>
      <c r="F17" s="178">
        <f t="shared" si="17"/>
        <v>2</v>
      </c>
      <c r="G17" s="178">
        <f t="shared" si="17"/>
        <v>2</v>
      </c>
      <c r="H17" s="178">
        <f t="shared" si="17"/>
        <v>2</v>
      </c>
      <c r="I17" s="178">
        <f t="shared" si="17"/>
        <v>2</v>
      </c>
      <c r="J17" s="178">
        <f t="shared" si="17"/>
        <v>2</v>
      </c>
      <c r="K17" s="178">
        <f t="shared" si="17"/>
        <v>2</v>
      </c>
      <c r="L17" s="178">
        <f t="shared" si="17"/>
        <v>2</v>
      </c>
      <c r="M17" s="178">
        <f t="shared" si="17"/>
        <v>1</v>
      </c>
      <c r="N17" s="178">
        <f t="shared" si="17"/>
        <v>1</v>
      </c>
      <c r="O17" s="178">
        <f t="shared" si="17"/>
        <v>1</v>
      </c>
      <c r="P17" s="178">
        <f t="shared" si="17"/>
        <v>1</v>
      </c>
      <c r="Q17" s="178">
        <f t="shared" si="17"/>
        <v>2</v>
      </c>
      <c r="R17" s="178">
        <f t="shared" si="17"/>
        <v>2</v>
      </c>
      <c r="S17" s="178">
        <f t="shared" si="17"/>
        <v>2</v>
      </c>
      <c r="T17" s="178">
        <f t="shared" si="17"/>
        <v>2</v>
      </c>
      <c r="U17" s="178">
        <f t="shared" si="17"/>
        <v>2</v>
      </c>
      <c r="V17" s="178">
        <f t="shared" si="17"/>
        <v>2</v>
      </c>
      <c r="W17" s="178">
        <f t="shared" si="17"/>
        <v>2</v>
      </c>
      <c r="X17" s="178">
        <f t="shared" si="17"/>
        <v>2</v>
      </c>
      <c r="Y17" s="178">
        <f t="shared" si="17"/>
        <v>2</v>
      </c>
      <c r="Z17" s="178">
        <f t="shared" si="17"/>
        <v>2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3398</v>
      </c>
      <c r="AE20" s="64">
        <v>0</v>
      </c>
      <c r="AF20" s="64">
        <f>SUM(AD20:AE20)</f>
        <v>3398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3398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765</v>
      </c>
      <c r="AD22" s="64">
        <f>IF(AND(Scénario!K88=1,Troupeau!B3="OL"),Protection!AP6,0)</f>
        <v>3398</v>
      </c>
      <c r="AE22" s="64">
        <f>IF(AND(LEFT(Scénario!K12,2)="OL",Troupeau!C3&lt;&gt;"",Scénario!K91=1),Protection!AP5+Protection!AP3,0)</f>
        <v>0</v>
      </c>
      <c r="AF22" s="64">
        <f>SUM(AD22:AE22)</f>
        <v>3398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3</v>
      </c>
      <c r="K25" s="182">
        <f t="shared" si="22"/>
        <v>3</v>
      </c>
      <c r="L25" s="182">
        <f t="shared" si="22"/>
        <v>2</v>
      </c>
      <c r="M25" s="182">
        <f t="shared" si="22"/>
        <v>3</v>
      </c>
      <c r="N25" s="182">
        <f t="shared" si="22"/>
        <v>3</v>
      </c>
      <c r="O25" s="182">
        <f t="shared" si="22"/>
        <v>3</v>
      </c>
      <c r="P25" s="182">
        <f t="shared" si="22"/>
        <v>3</v>
      </c>
      <c r="Q25" s="182">
        <f t="shared" si="22"/>
        <v>2</v>
      </c>
      <c r="R25" s="182">
        <f t="shared" si="22"/>
        <v>3</v>
      </c>
      <c r="S25" s="182">
        <f t="shared" si="22"/>
        <v>3</v>
      </c>
      <c r="T25" s="182">
        <f t="shared" si="22"/>
        <v>2</v>
      </c>
      <c r="U25" s="182">
        <f t="shared" si="22"/>
        <v>3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3398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1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1</v>
      </c>
      <c r="R26" s="182">
        <f t="shared" si="23"/>
        <v>0</v>
      </c>
      <c r="S26" s="182">
        <f t="shared" si="23"/>
        <v>0</v>
      </c>
      <c r="T26" s="182">
        <f t="shared" si="23"/>
        <v>1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20.3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6</v>
      </c>
      <c r="K29" s="182">
        <f>K25*[1]Protect!$B$12</f>
        <v>6</v>
      </c>
      <c r="L29" s="182">
        <f>L25*[1]Protect!$B$12</f>
        <v>4</v>
      </c>
      <c r="M29" s="182">
        <f>M25*[1]Protect!$B$12</f>
        <v>6</v>
      </c>
      <c r="N29" s="182">
        <f>N25*[1]Protect!$B$12</f>
        <v>6</v>
      </c>
      <c r="O29" s="182">
        <f>O25*[1]Protect!$B$12</f>
        <v>6</v>
      </c>
      <c r="P29" s="182">
        <f>P25*[1]Protect!$B$12</f>
        <v>6</v>
      </c>
      <c r="Q29" s="182">
        <f>Q25*[1]Protect!$B$12</f>
        <v>4</v>
      </c>
      <c r="R29" s="182">
        <f>R25*[1]Protect!$B$12</f>
        <v>6</v>
      </c>
      <c r="S29" s="182">
        <f>S25*[1]Protect!$B$12</f>
        <v>6</v>
      </c>
      <c r="T29" s="182">
        <f>T25*[1]Protect!$B$12</f>
        <v>4</v>
      </c>
      <c r="U29" s="182">
        <f>U25*[1]Protect!$B$12</f>
        <v>6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3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3</v>
      </c>
      <c r="R30" s="182">
        <f>R26*[1]Protect!$B$13</f>
        <v>0</v>
      </c>
      <c r="S30" s="182">
        <f>S26*[1]Protect!$B$13</f>
        <v>0</v>
      </c>
      <c r="T30" s="182">
        <f>T26*[1]Protect!$B$13</f>
        <v>3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0</v>
      </c>
      <c r="BH31" s="62">
        <f t="shared" ref="BH31:BK31" si="26">SUM(BH3:BH30)</f>
        <v>3398</v>
      </c>
      <c r="BI31" s="62">
        <f t="shared" si="26"/>
        <v>0</v>
      </c>
      <c r="BJ31" s="62">
        <f t="shared" si="26"/>
        <v>0</v>
      </c>
      <c r="BK31" s="62">
        <f t="shared" si="26"/>
        <v>20.3</v>
      </c>
      <c r="BL31" s="62">
        <f>SUM(BL3:BL30)</f>
        <v>0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6</v>
      </c>
      <c r="K32" s="182">
        <f t="shared" si="27"/>
        <v>6</v>
      </c>
      <c r="L32" s="182">
        <f t="shared" si="27"/>
        <v>7</v>
      </c>
      <c r="M32" s="182">
        <f t="shared" si="27"/>
        <v>6</v>
      </c>
      <c r="N32" s="182">
        <f t="shared" si="27"/>
        <v>6</v>
      </c>
      <c r="O32" s="182">
        <f t="shared" si="27"/>
        <v>6</v>
      </c>
      <c r="P32" s="182">
        <f t="shared" si="27"/>
        <v>6</v>
      </c>
      <c r="Q32" s="182">
        <f t="shared" si="27"/>
        <v>7</v>
      </c>
      <c r="R32" s="182">
        <f t="shared" si="27"/>
        <v>6</v>
      </c>
      <c r="S32" s="182">
        <f t="shared" si="27"/>
        <v>6</v>
      </c>
      <c r="T32" s="182">
        <f t="shared" si="27"/>
        <v>7</v>
      </c>
      <c r="U32" s="182">
        <f t="shared" si="27"/>
        <v>6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6</v>
      </c>
      <c r="K34" s="182">
        <f t="shared" si="28"/>
        <v>6</v>
      </c>
      <c r="L34" s="182">
        <f t="shared" si="28"/>
        <v>7</v>
      </c>
      <c r="M34" s="182">
        <f t="shared" si="28"/>
        <v>6</v>
      </c>
      <c r="N34" s="182">
        <f t="shared" si="28"/>
        <v>6</v>
      </c>
      <c r="O34" s="182">
        <f t="shared" si="28"/>
        <v>6</v>
      </c>
      <c r="P34" s="182">
        <f t="shared" si="28"/>
        <v>6</v>
      </c>
      <c r="Q34" s="182">
        <f t="shared" si="28"/>
        <v>7</v>
      </c>
      <c r="R34" s="182">
        <f t="shared" si="28"/>
        <v>6</v>
      </c>
      <c r="S34" s="182">
        <f t="shared" si="28"/>
        <v>6</v>
      </c>
      <c r="T34" s="182">
        <f t="shared" si="28"/>
        <v>7</v>
      </c>
      <c r="U34" s="182">
        <f t="shared" si="28"/>
        <v>6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1</v>
      </c>
      <c r="K36" s="178">
        <f t="shared" si="29"/>
        <v>1</v>
      </c>
      <c r="L36" s="178">
        <f t="shared" si="29"/>
        <v>1</v>
      </c>
      <c r="M36" s="178">
        <f t="shared" si="29"/>
        <v>1</v>
      </c>
      <c r="N36" s="178">
        <f t="shared" si="29"/>
        <v>1</v>
      </c>
      <c r="O36" s="178">
        <f t="shared" si="29"/>
        <v>1</v>
      </c>
      <c r="P36" s="178">
        <f t="shared" si="29"/>
        <v>1</v>
      </c>
      <c r="Q36" s="178">
        <f t="shared" si="29"/>
        <v>1</v>
      </c>
      <c r="R36" s="178">
        <f t="shared" si="29"/>
        <v>1</v>
      </c>
      <c r="S36" s="178">
        <f t="shared" si="29"/>
        <v>1</v>
      </c>
      <c r="T36" s="178">
        <f t="shared" si="29"/>
        <v>1</v>
      </c>
      <c r="U36" s="178">
        <f t="shared" si="29"/>
        <v>1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5</v>
      </c>
      <c r="D37" s="178">
        <f t="shared" si="30"/>
        <v>5</v>
      </c>
      <c r="E37" s="178">
        <f t="shared" si="30"/>
        <v>5</v>
      </c>
      <c r="F37" s="178">
        <f t="shared" si="30"/>
        <v>5</v>
      </c>
      <c r="G37" s="178">
        <f t="shared" si="30"/>
        <v>5</v>
      </c>
      <c r="H37" s="178">
        <f t="shared" si="30"/>
        <v>5</v>
      </c>
      <c r="I37" s="178">
        <f t="shared" si="30"/>
        <v>5</v>
      </c>
      <c r="J37" s="178">
        <f t="shared" si="30"/>
        <v>2</v>
      </c>
      <c r="K37" s="178">
        <f t="shared" si="30"/>
        <v>2</v>
      </c>
      <c r="L37" s="178">
        <f t="shared" si="30"/>
        <v>2</v>
      </c>
      <c r="M37" s="178">
        <f t="shared" si="30"/>
        <v>2</v>
      </c>
      <c r="N37" s="178">
        <f t="shared" si="30"/>
        <v>2</v>
      </c>
      <c r="O37" s="178">
        <f t="shared" si="30"/>
        <v>2</v>
      </c>
      <c r="P37" s="178">
        <f t="shared" si="30"/>
        <v>2</v>
      </c>
      <c r="Q37" s="178">
        <f t="shared" si="30"/>
        <v>2</v>
      </c>
      <c r="R37" s="178">
        <f t="shared" si="30"/>
        <v>2</v>
      </c>
      <c r="S37" s="178">
        <f t="shared" si="30"/>
        <v>2</v>
      </c>
      <c r="T37" s="178">
        <f t="shared" si="30"/>
        <v>2</v>
      </c>
      <c r="U37" s="178">
        <f t="shared" si="30"/>
        <v>2</v>
      </c>
      <c r="V37" s="178">
        <f t="shared" si="30"/>
        <v>5</v>
      </c>
      <c r="W37" s="178">
        <f t="shared" si="30"/>
        <v>5</v>
      </c>
      <c r="X37" s="178">
        <f t="shared" si="30"/>
        <v>5</v>
      </c>
      <c r="Y37" s="178">
        <f t="shared" si="30"/>
        <v>5</v>
      </c>
      <c r="Z37" s="178">
        <f t="shared" si="30"/>
        <v>5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2</v>
      </c>
      <c r="K38" s="178">
        <f t="shared" si="31"/>
        <v>2</v>
      </c>
      <c r="L38" s="178">
        <f t="shared" si="31"/>
        <v>2</v>
      </c>
      <c r="M38" s="178">
        <f t="shared" si="31"/>
        <v>2</v>
      </c>
      <c r="N38" s="178">
        <f t="shared" si="31"/>
        <v>2</v>
      </c>
      <c r="O38" s="178">
        <f t="shared" si="31"/>
        <v>2</v>
      </c>
      <c r="P38" s="178">
        <f t="shared" si="31"/>
        <v>2</v>
      </c>
      <c r="Q38" s="178">
        <f t="shared" si="31"/>
        <v>2</v>
      </c>
      <c r="R38" s="178">
        <f t="shared" si="31"/>
        <v>2</v>
      </c>
      <c r="S38" s="178">
        <f t="shared" si="31"/>
        <v>2</v>
      </c>
      <c r="T38" s="178">
        <f t="shared" si="31"/>
        <v>2</v>
      </c>
      <c r="U38" s="178">
        <f t="shared" si="31"/>
        <v>2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1</v>
      </c>
      <c r="AW48" s="187">
        <f>IF(CdTrp1!C76=1,1,IF(CdTrp1!C76=2,2,IF(CdTrp1!C76=3,2,0)))</f>
        <v>1</v>
      </c>
      <c r="AX48" s="187">
        <f>IF(CdTrp1!D76=1,1,IF(CdTrp1!D76=2,2,IF(CdTrp1!D76=3,2,0)))</f>
        <v>1</v>
      </c>
      <c r="AY48" s="187">
        <f>IF(CdTrp1!E76=1,1,IF(CdTrp1!E76=2,2,IF(CdTrp1!E76=3,2,0)))</f>
        <v>1</v>
      </c>
      <c r="AZ48" s="187">
        <f>IF(CdTrp1!F76=1,1,IF(CdTrp1!F76=2,2,IF(CdTrp1!F76=3,2,0)))</f>
        <v>1</v>
      </c>
      <c r="BA48" s="187">
        <f>IF(CdTrp1!G76=1,1,IF(CdTrp1!G76=2,2,IF(CdTrp1!G76=3,2,0)))</f>
        <v>1</v>
      </c>
      <c r="BB48" s="187">
        <f>IF(CdTrp1!H76=1,1,IF(CdTrp1!H76=2,2,IF(CdTrp1!H76=3,2,0)))</f>
        <v>1</v>
      </c>
      <c r="BC48" s="187">
        <f>IF(CdTrp1!I76=1,1,IF(CdTrp1!I76=2,2,IF(CdTrp1!I76=3,2,0)))</f>
        <v>1</v>
      </c>
      <c r="BD48" s="187">
        <f>IF(CdTrp1!J76=1,1,IF(CdTrp1!J76=2,2,IF(CdTrp1!J76=3,2,0)))</f>
        <v>1</v>
      </c>
      <c r="BE48" s="187">
        <f>IF(CdTrp1!K76=1,1,IF(CdTrp1!K76=2,2,IF(CdTrp1!K76=3,2,0)))</f>
        <v>1</v>
      </c>
      <c r="BF48" s="187">
        <f>IF(CdTrp1!L76=1,1,IF(CdTrp1!L76=2,2,IF(CdTrp1!L76=3,2,0)))</f>
        <v>1</v>
      </c>
      <c r="BG48" s="187">
        <f>IF(CdTrp1!M76=1,1,IF(CdTrp1!M76=2,2,IF(CdTrp1!M76=3,2,0)))</f>
        <v>1</v>
      </c>
      <c r="BH48" s="187">
        <f>IF(CdTrp1!N76=1,1,IF(CdTrp1!N76=2,2,IF(CdTrp1!N76=3,2,0)))</f>
        <v>1</v>
      </c>
      <c r="BI48" s="187">
        <f>IF(CdTrp1!O76=1,1,IF(CdTrp1!O76=2,2,IF(CdTrp1!O76=3,2,0)))</f>
        <v>1</v>
      </c>
      <c r="BJ48" s="187">
        <f>IF(CdTrp1!P76=1,1,IF(CdTrp1!P76=2,2,IF(CdTrp1!P76=3,2,0)))</f>
        <v>1</v>
      </c>
      <c r="BK48" s="187">
        <f>IF(CdTrp1!Q76=1,1,IF(CdTrp1!Q76=2,2,IF(CdTrp1!Q76=3,2,0)))</f>
        <v>1</v>
      </c>
      <c r="BL48" s="187">
        <f>IF(CdTrp1!R76=1,1,IF(CdTrp1!R76=2,2,IF(CdTrp1!R76=3,2,0)))</f>
        <v>1</v>
      </c>
      <c r="BM48" s="187">
        <f>IF(CdTrp1!S76=1,1,IF(CdTrp1!S76=2,2,IF(CdTrp1!S76=3,2,0)))</f>
        <v>1</v>
      </c>
      <c r="BN48" s="187">
        <f>IF(CdTrp1!T76=1,1,IF(CdTrp1!T76=2,2,IF(CdTrp1!T76=3,2,0)))</f>
        <v>1</v>
      </c>
      <c r="BO48" s="187">
        <f>IF(CdTrp1!U76=1,1,IF(CdTrp1!U76=2,2,IF(CdTrp1!U76=3,2,0)))</f>
        <v>1</v>
      </c>
      <c r="BP48" s="187">
        <f>IF(CdTrp1!V76=1,1,IF(CdTrp1!V76=2,2,IF(CdTrp1!V76=3,2,0)))</f>
        <v>1</v>
      </c>
      <c r="BQ48" s="187">
        <f>IF(CdTrp1!W76=1,1,IF(CdTrp1!W76=2,2,IF(CdTrp1!W76=3,2,0)))</f>
        <v>1</v>
      </c>
      <c r="BR48" s="187">
        <f>IF(CdTrp1!X76=1,1,IF(CdTrp1!X76=2,2,IF(CdTrp1!X76=3,2,0)))</f>
        <v>1</v>
      </c>
      <c r="BS48" s="187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0</v>
      </c>
      <c r="AW49" s="187">
        <f>IF(CdTrp1!C77=1,1,IF(CdTrp1!C77=2,2,IF(CdTrp1!C77=3,2,0)))</f>
        <v>0</v>
      </c>
      <c r="AX49" s="187">
        <f>IF(CdTrp1!D77=1,1,IF(CdTrp1!D77=2,2,IF(CdTrp1!D77=3,2,0)))</f>
        <v>0</v>
      </c>
      <c r="AY49" s="187">
        <f>IF(CdTrp1!E77=1,1,IF(CdTrp1!E77=2,2,IF(CdTrp1!E77=3,2,0)))</f>
        <v>0</v>
      </c>
      <c r="AZ49" s="187">
        <f>IF(CdTrp1!F77=1,1,IF(CdTrp1!F77=2,2,IF(CdTrp1!F77=3,2,0)))</f>
        <v>0</v>
      </c>
      <c r="BA49" s="187">
        <f>IF(CdTrp1!G77=1,1,IF(CdTrp1!G77=2,2,IF(CdTrp1!G77=3,2,0)))</f>
        <v>0</v>
      </c>
      <c r="BB49" s="187">
        <f>IF(CdTrp1!H77=1,1,IF(CdTrp1!H77=2,2,IF(CdTrp1!H77=3,2,0)))</f>
        <v>0</v>
      </c>
      <c r="BC49" s="187">
        <f>IF(CdTrp1!I77=1,1,IF(CdTrp1!I77=2,2,IF(CdTrp1!I77=3,2,0)))</f>
        <v>0</v>
      </c>
      <c r="BD49" s="187">
        <f>IF(CdTrp1!J77=1,1,IF(CdTrp1!J77=2,2,IF(CdTrp1!J77=3,2,0)))</f>
        <v>0</v>
      </c>
      <c r="BE49" s="187">
        <f>IF(CdTrp1!K77=1,1,IF(CdTrp1!K77=2,2,IF(CdTrp1!K77=3,2,0)))</f>
        <v>0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0</v>
      </c>
      <c r="BN49" s="187">
        <f>IF(CdTrp1!T77=1,1,IF(CdTrp1!T77=2,2,IF(CdTrp1!T77=3,2,0)))</f>
        <v>0</v>
      </c>
      <c r="BO49" s="187">
        <f>IF(CdTrp1!U77=1,1,IF(CdTrp1!U77=2,2,IF(CdTrp1!U77=3,2,0)))</f>
        <v>0</v>
      </c>
      <c r="BP49" s="187">
        <f>IF(CdTrp1!V77=1,1,IF(CdTrp1!V77=2,2,IF(CdTrp1!V77=3,2,0)))</f>
        <v>0</v>
      </c>
      <c r="BQ49" s="187">
        <f>IF(CdTrp1!W77=1,1,IF(CdTrp1!W77=2,2,IF(CdTrp1!W77=3,2,0)))</f>
        <v>0</v>
      </c>
      <c r="BR49" s="187">
        <f>IF(CdTrp1!X77=1,1,IF(CdTrp1!X77=2,2,IF(CdTrp1!X77=3,2,0)))</f>
        <v>0</v>
      </c>
      <c r="BS49" s="18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1</v>
      </c>
      <c r="BK50" s="187">
        <f>IF(CdTrp1!Q78=1,1,IF(CdTrp1!Q78=2,2,IF(CdTrp1!Q78=3,2,0)))</f>
        <v>1</v>
      </c>
      <c r="BL50" s="187">
        <f>IF(CdTrp1!R78=1,1,IF(CdTrp1!R78=2,2,IF(CdTrp1!R78=3,2,0)))</f>
        <v>1</v>
      </c>
      <c r="BM50" s="187">
        <f>IF(CdTrp1!S78=1,1,IF(CdTrp1!S78=2,2,IF(CdTrp1!S78=3,2,0)))</f>
        <v>1</v>
      </c>
      <c r="BN50" s="187">
        <f>IF(CdTrp1!T78=1,1,IF(CdTrp1!T78=2,2,IF(CdTrp1!T78=3,2,0)))</f>
        <v>1</v>
      </c>
      <c r="BO50" s="187">
        <f>IF(CdTrp1!U78=1,1,IF(CdTrp1!U78=2,2,IF(CdTrp1!U78=3,2,0)))</f>
        <v>1</v>
      </c>
      <c r="BP50" s="187">
        <f>IF(CdTrp1!V78=1,1,IF(CdTrp1!V78=2,2,IF(CdTrp1!V78=3,2,0)))</f>
        <v>0</v>
      </c>
      <c r="BQ50" s="187">
        <f>IF(CdTrp1!W78=1,1,IF(CdTrp1!W78=2,2,IF(CdTrp1!W78=3,2,0)))</f>
        <v>0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0</v>
      </c>
      <c r="AW51" s="187">
        <f>IF(CdTrp1!C79=1,1,IF(CdTrp1!C79=2,2,IF(CdTrp1!C79=3,2,0)))</f>
        <v>0</v>
      </c>
      <c r="AX51" s="187">
        <f>IF(CdTrp1!D79=1,1,IF(CdTrp1!D79=2,2,IF(CdTrp1!D79=3,2,0)))</f>
        <v>0</v>
      </c>
      <c r="AY51" s="187">
        <f>IF(CdTrp1!E79=1,1,IF(CdTrp1!E79=2,2,IF(CdTrp1!E79=3,2,0)))</f>
        <v>0</v>
      </c>
      <c r="AZ51" s="187">
        <f>IF(CdTrp1!F79=1,1,IF(CdTrp1!F79=2,2,IF(CdTrp1!F79=3,2,0)))</f>
        <v>0</v>
      </c>
      <c r="BA51" s="187">
        <f>IF(CdTrp1!G79=1,1,IF(CdTrp1!G79=2,2,IF(CdTrp1!G79=3,2,0)))</f>
        <v>0</v>
      </c>
      <c r="BB51" s="187">
        <f>IF(CdTrp1!H79=1,1,IF(CdTrp1!H79=2,2,IF(CdTrp1!H79=3,2,0)))</f>
        <v>0</v>
      </c>
      <c r="BC51" s="187">
        <f>IF(CdTrp1!I79=1,1,IF(CdTrp1!I79=2,2,IF(CdTrp1!I79=3,2,0)))</f>
        <v>0</v>
      </c>
      <c r="BD51" s="187">
        <f>IF(CdTrp1!J79=1,1,IF(CdTrp1!J79=2,2,IF(CdTrp1!J79=3,2,0)))</f>
        <v>0</v>
      </c>
      <c r="BE51" s="187">
        <f>IF(CdTrp1!K79=1,1,IF(CdTrp1!K79=2,2,IF(CdTrp1!K79=3,2,0)))</f>
        <v>0</v>
      </c>
      <c r="BF51" s="187">
        <f>IF(CdTrp1!L79=1,1,IF(CdTrp1!L79=2,2,IF(CdTrp1!L79=3,2,0)))</f>
        <v>0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0</v>
      </c>
      <c r="BQ51" s="187">
        <f>IF(CdTrp1!W79=1,1,IF(CdTrp1!W79=2,2,IF(CdTrp1!W79=3,2,0)))</f>
        <v>0</v>
      </c>
      <c r="BR51" s="187">
        <f>IF(CdTrp1!X79=1,1,IF(CdTrp1!X79=2,2,IF(CdTrp1!X79=3,2,0)))</f>
        <v>0</v>
      </c>
      <c r="BS51" s="18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1</v>
      </c>
      <c r="AW52" s="187">
        <f>IF(CdTrp1!C80=1,1,IF(CdTrp1!C80=2,2,IF(CdTrp1!C80=3,2,0)))</f>
        <v>1</v>
      </c>
      <c r="AX52" s="187">
        <f>IF(CdTrp1!D80=1,1,IF(CdTrp1!D80=2,2,IF(CdTrp1!D80=3,2,0)))</f>
        <v>1</v>
      </c>
      <c r="AY52" s="187">
        <f>IF(CdTrp1!E80=1,1,IF(CdTrp1!E80=2,2,IF(CdTrp1!E80=3,2,0)))</f>
        <v>1</v>
      </c>
      <c r="AZ52" s="187">
        <f>IF(CdTrp1!F80=1,1,IF(CdTrp1!F80=2,2,IF(CdTrp1!F80=3,2,0)))</f>
        <v>1</v>
      </c>
      <c r="BA52" s="187">
        <f>IF(CdTrp1!G80=1,1,IF(CdTrp1!G80=2,2,IF(CdTrp1!G80=3,2,0)))</f>
        <v>1</v>
      </c>
      <c r="BB52" s="187">
        <f>IF(CdTrp1!H80=1,1,IF(CdTrp1!H80=2,2,IF(CdTrp1!H80=3,2,0)))</f>
        <v>1</v>
      </c>
      <c r="BC52" s="187">
        <f>IF(CdTrp1!I80=1,1,IF(CdTrp1!I80=2,2,IF(CdTrp1!I80=3,2,0)))</f>
        <v>1</v>
      </c>
      <c r="BD52" s="187">
        <f>IF(CdTrp1!J80=1,1,IF(CdTrp1!J80=2,2,IF(CdTrp1!J80=3,2,0)))</f>
        <v>1</v>
      </c>
      <c r="BE52" s="187">
        <f>IF(CdTrp1!K80=1,1,IF(CdTrp1!K80=2,2,IF(CdTrp1!K80=3,2,0)))</f>
        <v>1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1</v>
      </c>
      <c r="BQ52" s="187">
        <f>IF(CdTrp1!W80=1,1,IF(CdTrp1!W80=2,2,IF(CdTrp1!W80=3,2,0)))</f>
        <v>1</v>
      </c>
      <c r="BR52" s="187">
        <f>IF(CdTrp1!X80=1,1,IF(CdTrp1!X80=2,2,IF(CdTrp1!X80=3,2,0)))</f>
        <v>1</v>
      </c>
      <c r="BS52" s="187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0.5</v>
      </c>
      <c r="D68" s="178">
        <f>IF($AA68=0,99,IF(D81&gt;3,CdTrp1!C76,CdTrp1!C52))</f>
        <v>0.5</v>
      </c>
      <c r="E68" s="178">
        <f>IF($AA68=0,99,IF(E81&gt;3,CdTrp1!D76,CdTrp1!D52))</f>
        <v>0.5</v>
      </c>
      <c r="F68" s="178">
        <f>IF($AA68=0,99,IF(F81&gt;3,CdTrp1!E76,CdTrp1!E52))</f>
        <v>0.5</v>
      </c>
      <c r="G68" s="178">
        <f>IF($AA68=0,99,IF(G81&gt;3,CdTrp1!F76,CdTrp1!F52))</f>
        <v>0.5</v>
      </c>
      <c r="H68" s="178">
        <f>IF($AA68=0,99,IF(H81&gt;3,CdTrp1!G76,CdTrp1!G52))</f>
        <v>0.5</v>
      </c>
      <c r="I68" s="178">
        <f>IF($AA68=0,99,IF(I81&gt;3,CdTrp1!H76,CdTrp1!H52))</f>
        <v>0.5</v>
      </c>
      <c r="J68" s="178">
        <f>IF($AA68=0,99,IF(J81&gt;3,CdTrp1!I76,CdTrp1!I52))</f>
        <v>0.5</v>
      </c>
      <c r="K68" s="178">
        <f>IF($AA68=0,99,IF(K81&gt;3,CdTrp1!J76,CdTrp1!J52))</f>
        <v>0.5</v>
      </c>
      <c r="L68" s="178">
        <f>IF($AA68=0,99,IF(L81&gt;3,CdTrp1!K76,CdTrp1!K52))</f>
        <v>0.5</v>
      </c>
      <c r="M68" s="178">
        <f>IF($AA68=0,99,IF(M81&gt;3,CdTrp1!L76,CdTrp1!L52))</f>
        <v>0.5</v>
      </c>
      <c r="N68" s="178">
        <f>IF($AA68=0,99,IF(N81&gt;3,CdTrp1!M76,CdTrp1!M52))</f>
        <v>0.5</v>
      </c>
      <c r="O68" s="178">
        <f>IF($AA68=0,99,IF(O81&gt;3,CdTrp1!N76,CdTrp1!N52))</f>
        <v>0.5</v>
      </c>
      <c r="P68" s="178">
        <f>IF($AA68=0,99,IF(P81&gt;3,CdTrp1!O76,CdTrp1!O52))</f>
        <v>0.5</v>
      </c>
      <c r="Q68" s="178">
        <f>IF($AA68=0,99,IF(Q81&gt;3,CdTrp1!P76,CdTrp1!P52))</f>
        <v>0.5</v>
      </c>
      <c r="R68" s="178">
        <f>IF($AA68=0,99,IF(R81&gt;3,CdTrp1!Q76,CdTrp1!Q52))</f>
        <v>0.5</v>
      </c>
      <c r="S68" s="178">
        <f>IF($AA68=0,99,IF(S81&gt;3,CdTrp1!R76,CdTrp1!R52))</f>
        <v>0.5</v>
      </c>
      <c r="T68" s="178">
        <f>IF($AA68=0,99,IF(T81&gt;3,CdTrp1!S76,CdTrp1!S52))</f>
        <v>0.5</v>
      </c>
      <c r="U68" s="178">
        <f>IF($AA68=0,99,IF(U81&gt;3,CdTrp1!T76,CdTrp1!T52))</f>
        <v>0.5</v>
      </c>
      <c r="V68" s="178">
        <f>IF($AA68=0,99,IF(V81&gt;3,CdTrp1!U76,CdTrp1!U52))</f>
        <v>0.5</v>
      </c>
      <c r="W68" s="178">
        <f>IF($AA68=0,99,IF(W81&gt;3,CdTrp1!V76,CdTrp1!V52))</f>
        <v>0.5</v>
      </c>
      <c r="X68" s="178">
        <f>IF($AA68=0,99,IF(X81&gt;3,CdTrp1!W76,CdTrp1!W52))</f>
        <v>0.5</v>
      </c>
      <c r="Y68" s="178">
        <f>IF($AA68=0,99,IF(Y81&gt;3,CdTrp1!X76,CdTrp1!X52))</f>
        <v>0.5</v>
      </c>
      <c r="Z68" s="178">
        <f>IF($AA68=0,99,IF(Z81&gt;3,CdTrp1!Y76,CdTrp1!Y52))</f>
        <v>0.5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lot2</v>
      </c>
      <c r="C69" s="178">
        <f>IF($AA69=0,99,IF(C82&gt;3,CdTrp1!B77,CdTrp1!B53))</f>
        <v>99</v>
      </c>
      <c r="D69" s="178">
        <f>IF($AA69=0,99,IF(D82&gt;3,CdTrp1!C77,CdTrp1!C53))</f>
        <v>99</v>
      </c>
      <c r="E69" s="178">
        <f>IF($AA69=0,99,IF(E82&gt;3,CdTrp1!D77,CdTrp1!D53))</f>
        <v>99</v>
      </c>
      <c r="F69" s="178">
        <f>IF($AA69=0,99,IF(F82&gt;3,CdTrp1!E77,CdTrp1!E53))</f>
        <v>99</v>
      </c>
      <c r="G69" s="178">
        <f>IF($AA69=0,99,IF(G82&gt;3,CdTrp1!F77,CdTrp1!F53))</f>
        <v>99</v>
      </c>
      <c r="H69" s="178">
        <f>IF($AA69=0,99,IF(H82&gt;3,CdTrp1!G77,CdTrp1!G53))</f>
        <v>99</v>
      </c>
      <c r="I69" s="178">
        <f>IF($AA69=0,99,IF(I82&gt;3,CdTrp1!H77,CdTrp1!H53))</f>
        <v>99</v>
      </c>
      <c r="J69" s="178">
        <f>IF($AA69=0,99,IF(J82&gt;3,CdTrp1!I77,CdTrp1!I53))</f>
        <v>99</v>
      </c>
      <c r="K69" s="178">
        <f>IF($AA69=0,99,IF(K82&gt;3,CdTrp1!J77,CdTrp1!J53))</f>
        <v>99</v>
      </c>
      <c r="L69" s="178">
        <f>IF($AA69=0,99,IF(L82&gt;3,CdTrp1!K77,CdTrp1!K53))</f>
        <v>99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99</v>
      </c>
      <c r="X69" s="178">
        <f>IF($AA69=0,99,IF(X82&gt;3,CdTrp1!W77,CdTrp1!W53))</f>
        <v>99</v>
      </c>
      <c r="Y69" s="178">
        <f>IF($AA69=0,99,IF(Y82&gt;3,CdTrp1!X77,CdTrp1!X53))</f>
        <v>99</v>
      </c>
      <c r="Z69" s="178">
        <f>IF($AA69=0,99,IF(Z82&gt;3,CdTrp1!Y77,CdTrp1!Y53))</f>
        <v>99</v>
      </c>
      <c r="AA69" s="187">
        <f>SUM(CdTrp1!B16:Y16)/24</f>
        <v>0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0.5</v>
      </c>
      <c r="R70" s="178">
        <f>IF($AA70=0,99,IF(R83&gt;3,CdTrp1!Q78,CdTrp1!Q54))</f>
        <v>0.5</v>
      </c>
      <c r="S70" s="178">
        <f>IF($AA70=0,99,IF(S83&gt;3,CdTrp1!R78,CdTrp1!R54))</f>
        <v>0.5</v>
      </c>
      <c r="T70" s="178">
        <f>IF($AA70=0,99,IF(T83&gt;3,CdTrp1!S78,CdTrp1!S54))</f>
        <v>0.5</v>
      </c>
      <c r="U70" s="178">
        <f>IF($AA70=0,99,IF(U83&gt;3,CdTrp1!T78,CdTrp1!T54))</f>
        <v>0.5</v>
      </c>
      <c r="V70" s="178">
        <f>IF($AA70=0,99,IF(V83&gt;3,CdTrp1!U78,CdTrp1!U54))</f>
        <v>0.5</v>
      </c>
      <c r="W70" s="178">
        <f>IF($AA70=0,99,IF(W83&gt;3,CdTrp1!V78,CdTrp1!V54))</f>
        <v>1</v>
      </c>
      <c r="X70" s="178">
        <f>IF($AA70=0,99,IF(X83&gt;3,CdTrp1!W78,CdTrp1!W54))</f>
        <v>1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1</v>
      </c>
      <c r="D71" s="178">
        <f>IF($AA71=0,99,IF(D84&gt;3,CdTrp1!C79,CdTrp1!C55))</f>
        <v>1</v>
      </c>
      <c r="E71" s="178">
        <f>IF($AA71=0,99,IF(E84&gt;3,CdTrp1!D79,CdTrp1!D55))</f>
        <v>1</v>
      </c>
      <c r="F71" s="178">
        <f>IF($AA71=0,99,IF(F84&gt;3,CdTrp1!E79,CdTrp1!E55))</f>
        <v>1</v>
      </c>
      <c r="G71" s="178">
        <f>IF($AA71=0,99,IF(G84&gt;3,CdTrp1!F79,CdTrp1!F55))</f>
        <v>1</v>
      </c>
      <c r="H71" s="178">
        <f>IF($AA71=0,99,IF(H84&gt;3,CdTrp1!G79,CdTrp1!G55))</f>
        <v>1</v>
      </c>
      <c r="I71" s="178">
        <f>IF($AA71=0,99,IF(I84&gt;3,CdTrp1!H79,CdTrp1!H55))</f>
        <v>1</v>
      </c>
      <c r="J71" s="178">
        <f>IF($AA71=0,99,IF(J84&gt;3,CdTrp1!I79,CdTrp1!I55))</f>
        <v>1</v>
      </c>
      <c r="K71" s="178">
        <f>IF($AA71=0,99,IF(K84&gt;3,CdTrp1!J79,CdTrp1!J55))</f>
        <v>1</v>
      </c>
      <c r="L71" s="178">
        <f>IF($AA71=0,99,IF(L84&gt;3,CdTrp1!K79,CdTrp1!K55))</f>
        <v>1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1</v>
      </c>
      <c r="X71" s="178">
        <f>IF($AA71=0,99,IF(X84&gt;3,CdTrp1!W79,CdTrp1!W55))</f>
        <v>1</v>
      </c>
      <c r="Y71" s="178">
        <f>IF($AA71=0,99,IF(Y84&gt;3,CdTrp1!X79,CdTrp1!X55))</f>
        <v>1</v>
      </c>
      <c r="Z71" s="178">
        <f>IF($AA71=0,99,IF(Z84&gt;3,CdTrp1!Y79,CdTrp1!Y55))</f>
        <v>1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 + vides</v>
      </c>
      <c r="C72" s="178">
        <f>IF($AA72=0,99,IF(C85&gt;3,CdTrp1!B80,CdTrp1!B56))</f>
        <v>0.5</v>
      </c>
      <c r="D72" s="178">
        <f>IF($AA72=0,99,IF(D85&gt;3,CdTrp1!C80,CdTrp1!C56))</f>
        <v>0.5</v>
      </c>
      <c r="E72" s="178">
        <f>IF($AA72=0,99,IF(E85&gt;3,CdTrp1!D80,CdTrp1!D56))</f>
        <v>0.5</v>
      </c>
      <c r="F72" s="178">
        <f>IF($AA72=0,99,IF(F85&gt;3,CdTrp1!E80,CdTrp1!E56))</f>
        <v>0.5</v>
      </c>
      <c r="G72" s="178">
        <f>IF($AA72=0,99,IF(G85&gt;3,CdTrp1!F80,CdTrp1!F56))</f>
        <v>0.5</v>
      </c>
      <c r="H72" s="178">
        <f>IF($AA72=0,99,IF(H85&gt;3,CdTrp1!G80,CdTrp1!G56))</f>
        <v>0.5</v>
      </c>
      <c r="I72" s="178">
        <f>IF($AA72=0,99,IF(I85&gt;3,CdTrp1!H80,CdTrp1!H56))</f>
        <v>0.5</v>
      </c>
      <c r="J72" s="178">
        <f>IF($AA72=0,99,IF(J85&gt;3,CdTrp1!I80,CdTrp1!I56))</f>
        <v>0.5</v>
      </c>
      <c r="K72" s="178">
        <f>IF($AA72=0,99,IF(K85&gt;3,CdTrp1!J80,CdTrp1!J56))</f>
        <v>0.5</v>
      </c>
      <c r="L72" s="178">
        <f>IF($AA72=0,99,IF(L85&gt;3,CdTrp1!K80,CdTrp1!K56))</f>
        <v>0.5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0.5</v>
      </c>
      <c r="X72" s="178">
        <f>IF($AA72=0,99,IF(X85&gt;3,CdTrp1!W80,CdTrp1!W56))</f>
        <v>0.5</v>
      </c>
      <c r="Y72" s="178">
        <f>IF($AA72=0,99,IF(Y85&gt;3,CdTrp1!X80,CdTrp1!X56))</f>
        <v>0.5</v>
      </c>
      <c r="Z72" s="178">
        <f>IF($AA72=0,99,IF(Z85&gt;3,CdTrp1!Y80,CdTrp1!Y56))</f>
        <v>0.5</v>
      </c>
      <c r="AA72" s="187">
        <f>SUM(CdTrp1!B19:Y19)/24</f>
        <v>28.067708333333332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1</v>
      </c>
      <c r="D81" s="178">
        <f>CdTrp1!C76</f>
        <v>1</v>
      </c>
      <c r="E81" s="178">
        <f>CdTrp1!D76</f>
        <v>1</v>
      </c>
      <c r="F81" s="178">
        <f>CdTrp1!E76</f>
        <v>1</v>
      </c>
      <c r="G81" s="178">
        <f>CdTrp1!F76</f>
        <v>1</v>
      </c>
      <c r="H81" s="178">
        <f>CdTrp1!G76</f>
        <v>1</v>
      </c>
      <c r="I81" s="178">
        <f>CdTrp1!H76</f>
        <v>1</v>
      </c>
      <c r="J81" s="178">
        <f>CdTrp1!I76</f>
        <v>1</v>
      </c>
      <c r="K81" s="178">
        <f>CdTrp1!J76</f>
        <v>1</v>
      </c>
      <c r="L81" s="178">
        <f>CdTrp1!K76</f>
        <v>1</v>
      </c>
      <c r="M81" s="178">
        <f>CdTrp1!L76</f>
        <v>1</v>
      </c>
      <c r="N81" s="178">
        <f>CdTrp1!M76</f>
        <v>1</v>
      </c>
      <c r="O81" s="178">
        <f>CdTrp1!N76</f>
        <v>1</v>
      </c>
      <c r="P81" s="178">
        <f>CdTrp1!O76</f>
        <v>1</v>
      </c>
      <c r="Q81" s="178">
        <f>CdTrp1!P76</f>
        <v>1</v>
      </c>
      <c r="R81" s="178">
        <f>CdTrp1!Q76</f>
        <v>1</v>
      </c>
      <c r="S81" s="178">
        <f>CdTrp1!R76</f>
        <v>1</v>
      </c>
      <c r="T81" s="178">
        <f>CdTrp1!S76</f>
        <v>1</v>
      </c>
      <c r="U81" s="178">
        <f>CdTrp1!T76</f>
        <v>1</v>
      </c>
      <c r="V81" s="178">
        <f>CdTrp1!U76</f>
        <v>1</v>
      </c>
      <c r="W81" s="178">
        <f>CdTrp1!V76</f>
        <v>1</v>
      </c>
      <c r="X81" s="178">
        <f>CdTrp1!W76</f>
        <v>1</v>
      </c>
      <c r="Y81" s="178">
        <f>CdTrp1!X76</f>
        <v>1</v>
      </c>
      <c r="Z81" s="178">
        <f>CdTrp1!Y76</f>
        <v>1</v>
      </c>
      <c r="AC81">
        <v>3</v>
      </c>
    </row>
    <row r="82" spans="1:29" x14ac:dyDescent="0.25">
      <c r="B82" s="266" t="str">
        <f>CdTrp1!A77</f>
        <v>lot2</v>
      </c>
      <c r="C82" s="178">
        <f>CdTrp1!B77</f>
        <v>0</v>
      </c>
      <c r="D82" s="178">
        <f>CdTrp1!C77</f>
        <v>0</v>
      </c>
      <c r="E82" s="178">
        <f>CdTrp1!D77</f>
        <v>0</v>
      </c>
      <c r="F82" s="178">
        <f>CdTrp1!E77</f>
        <v>0</v>
      </c>
      <c r="G82" s="178">
        <f>CdTrp1!F77</f>
        <v>0</v>
      </c>
      <c r="H82" s="178">
        <f>CdTrp1!G77</f>
        <v>0</v>
      </c>
      <c r="I82" s="178">
        <f>CdTrp1!H77</f>
        <v>0</v>
      </c>
      <c r="J82" s="178">
        <f>CdTrp1!I77</f>
        <v>0</v>
      </c>
      <c r="K82" s="178">
        <f>CdTrp1!J77</f>
        <v>0</v>
      </c>
      <c r="L82" s="178">
        <f>CdTrp1!K77</f>
        <v>0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0</v>
      </c>
      <c r="U82" s="178">
        <f>CdTrp1!T77</f>
        <v>0</v>
      </c>
      <c r="V82" s="178">
        <f>CdTrp1!U77</f>
        <v>0</v>
      </c>
      <c r="W82" s="178">
        <f>CdTrp1!V77</f>
        <v>0</v>
      </c>
      <c r="X82" s="178">
        <f>CdTrp1!W77</f>
        <v>0</v>
      </c>
      <c r="Y82" s="178">
        <f>CdTrp1!X77</f>
        <v>0</v>
      </c>
      <c r="Z82" s="178">
        <f>CdTrp1!Y77</f>
        <v>0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1</v>
      </c>
      <c r="R83" s="178">
        <f>CdTrp1!Q78</f>
        <v>1</v>
      </c>
      <c r="S83" s="178">
        <f>CdTrp1!R78</f>
        <v>1</v>
      </c>
      <c r="T83" s="178">
        <f>CdTrp1!S78</f>
        <v>1</v>
      </c>
      <c r="U83" s="178">
        <f>CdTrp1!T78</f>
        <v>1</v>
      </c>
      <c r="V83" s="178">
        <f>CdTrp1!U78</f>
        <v>1</v>
      </c>
      <c r="W83" s="178">
        <f>CdTrp1!V78</f>
        <v>0</v>
      </c>
      <c r="X83" s="178">
        <f>CdTrp1!W78</f>
        <v>0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0</v>
      </c>
      <c r="D84" s="178">
        <f>CdTrp1!C79</f>
        <v>0</v>
      </c>
      <c r="E84" s="178">
        <f>CdTrp1!D79</f>
        <v>0</v>
      </c>
      <c r="F84" s="178">
        <f>CdTrp1!E79</f>
        <v>0</v>
      </c>
      <c r="G84" s="178">
        <f>CdTrp1!F79</f>
        <v>0</v>
      </c>
      <c r="H84" s="178">
        <f>CdTrp1!G79</f>
        <v>0</v>
      </c>
      <c r="I84" s="178">
        <f>CdTrp1!H79</f>
        <v>0</v>
      </c>
      <c r="J84" s="178">
        <f>CdTrp1!I79</f>
        <v>0</v>
      </c>
      <c r="K84" s="178">
        <f>CdTrp1!J79</f>
        <v>0</v>
      </c>
      <c r="L84" s="178">
        <f>CdTrp1!K79</f>
        <v>0</v>
      </c>
      <c r="M84" s="178">
        <f>CdTrp1!L79</f>
        <v>0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0</v>
      </c>
      <c r="X84" s="178">
        <f>CdTrp1!W79</f>
        <v>0</v>
      </c>
      <c r="Y84" s="178">
        <f>CdTrp1!X79</f>
        <v>0</v>
      </c>
      <c r="Z84" s="178">
        <f>CdTrp1!Y79</f>
        <v>0</v>
      </c>
    </row>
    <row r="85" spans="1:29" x14ac:dyDescent="0.25">
      <c r="B85" s="266" t="str">
        <f>CdTrp1!A80</f>
        <v>tardive + vides</v>
      </c>
      <c r="C85" s="178">
        <f>CdTrp1!B80</f>
        <v>1</v>
      </c>
      <c r="D85" s="178">
        <f>CdTrp1!C80</f>
        <v>1</v>
      </c>
      <c r="E85" s="178">
        <f>CdTrp1!D80</f>
        <v>1</v>
      </c>
      <c r="F85" s="178">
        <f>CdTrp1!E80</f>
        <v>1</v>
      </c>
      <c r="G85" s="178">
        <f>CdTrp1!F80</f>
        <v>1</v>
      </c>
      <c r="H85" s="178">
        <f>CdTrp1!G80</f>
        <v>1</v>
      </c>
      <c r="I85" s="178">
        <f>CdTrp1!H80</f>
        <v>1</v>
      </c>
      <c r="J85" s="178">
        <f>CdTrp1!I80</f>
        <v>1</v>
      </c>
      <c r="K85" s="178">
        <f>CdTrp1!J80</f>
        <v>1</v>
      </c>
      <c r="L85" s="178">
        <f>CdTrp1!K80</f>
        <v>1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1</v>
      </c>
      <c r="X85" s="178">
        <f>CdTrp1!W80</f>
        <v>1</v>
      </c>
      <c r="Y85" s="178">
        <f>CdTrp1!X80</f>
        <v>1</v>
      </c>
      <c r="Z85" s="178">
        <f>CdTrp1!Y80</f>
        <v>1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0</v>
      </c>
      <c r="K110" s="178">
        <f>IF($AA110=0,99,IF(K123&gt;3,CdTrp2!J76,CdTrp2!J52))</f>
        <v>0</v>
      </c>
      <c r="L110" s="178">
        <f>IF($AA110=0,99,IF(L123&gt;3,CdTrp2!K76,CdTrp2!K52))</f>
        <v>0</v>
      </c>
      <c r="M110" s="178">
        <f>IF($AA110=0,99,IF(M123&gt;3,CdTrp2!L76,CdTrp2!L52))</f>
        <v>0</v>
      </c>
      <c r="N110" s="178">
        <f>IF($AA110=0,99,IF(N123&gt;3,CdTrp2!M76,CdTrp2!M52))</f>
        <v>0</v>
      </c>
      <c r="O110" s="178">
        <f>IF($AA110=0,99,IF(O123&gt;3,CdTrp2!N76,CdTrp2!N52))</f>
        <v>0</v>
      </c>
      <c r="P110" s="178">
        <f>IF($AA110=0,99,IF(P123&gt;3,CdTrp2!O76,CdTrp2!O52))</f>
        <v>0</v>
      </c>
      <c r="Q110" s="178">
        <f>IF($AA110=0,99,IF(Q123&gt;3,CdTrp2!P76,CdTrp2!P52))</f>
        <v>0</v>
      </c>
      <c r="R110" s="178">
        <f>IF($AA110=0,99,IF(R123&gt;3,CdTrp2!Q76,CdTrp2!Q52))</f>
        <v>0</v>
      </c>
      <c r="S110" s="178">
        <f>IF($AA110=0,99,IF(S123&gt;3,CdTrp2!R76,CdTrp2!R52))</f>
        <v>0</v>
      </c>
      <c r="T110" s="178">
        <f>IF($AA110=0,99,IF(T123&gt;3,CdTrp2!S76,CdTrp2!S52))</f>
        <v>0</v>
      </c>
      <c r="U110" s="178">
        <f>IF($AA110=0,99,IF(U123&gt;3,CdTrp2!T76,CdTrp2!T52))</f>
        <v>0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0.5</v>
      </c>
      <c r="K111" s="178">
        <f>IF($AA111=0,99,IF(K124&gt;3,CdTrp2!J77,CdTrp2!J53))</f>
        <v>0.5</v>
      </c>
      <c r="L111" s="178">
        <f>IF($AA111=0,99,IF(L124&gt;3,CdTrp2!K77,CdTrp2!K53))</f>
        <v>0.5</v>
      </c>
      <c r="M111" s="178">
        <f>IF($AA111=0,99,IF(M124&gt;3,CdTrp2!L77,CdTrp2!L53))</f>
        <v>0.5</v>
      </c>
      <c r="N111" s="178">
        <f>IF($AA111=0,99,IF(N124&gt;3,CdTrp2!M77,CdTrp2!M53))</f>
        <v>0.5</v>
      </c>
      <c r="O111" s="178">
        <f>IF($AA111=0,99,IF(O124&gt;3,CdTrp2!N77,CdTrp2!N53))</f>
        <v>0.5</v>
      </c>
      <c r="P111" s="178">
        <f>IF($AA111=0,99,IF(P124&gt;3,CdTrp2!O77,CdTrp2!O53))</f>
        <v>0.5</v>
      </c>
      <c r="Q111" s="178">
        <f>IF($AA111=0,99,IF(Q124&gt;3,CdTrp2!P77,CdTrp2!P53))</f>
        <v>0.5</v>
      </c>
      <c r="R111" s="178">
        <f>IF($AA111=0,99,IF(R124&gt;3,CdTrp2!Q77,CdTrp2!Q53))</f>
        <v>0.5</v>
      </c>
      <c r="S111" s="178">
        <f>IF($AA111=0,99,IF(S124&gt;3,CdTrp2!R77,CdTrp2!R53))</f>
        <v>0.5</v>
      </c>
      <c r="T111" s="178">
        <f>IF($AA111=0,99,IF(T124&gt;3,CdTrp2!S77,CdTrp2!S53))</f>
        <v>0.5</v>
      </c>
      <c r="U111" s="178">
        <f>IF($AA111=0,99,IF(U124&gt;3,CdTrp2!T77,CdTrp2!T53))</f>
        <v>0.5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0.5</v>
      </c>
      <c r="K112" s="178">
        <f>IF($AA112=0,99,IF(K125&gt;3,CdTrp2!J78,CdTrp2!J54))</f>
        <v>0.5</v>
      </c>
      <c r="L112" s="178">
        <f>IF($AA112=0,99,IF(L125&gt;3,CdTrp2!K78,CdTrp2!K54))</f>
        <v>0.5</v>
      </c>
      <c r="M112" s="178">
        <f>IF($AA112=0,99,IF(M125&gt;3,CdTrp2!L78,CdTrp2!L54))</f>
        <v>0.5</v>
      </c>
      <c r="N112" s="178">
        <f>IF($AA112=0,99,IF(N125&gt;3,CdTrp2!M78,CdTrp2!M54))</f>
        <v>0.5</v>
      </c>
      <c r="O112" s="178">
        <f>IF($AA112=0,99,IF(O125&gt;3,CdTrp2!N78,CdTrp2!N54))</f>
        <v>0.5</v>
      </c>
      <c r="P112" s="178">
        <f>IF($AA112=0,99,IF(P125&gt;3,CdTrp2!O78,CdTrp2!O54))</f>
        <v>0.5</v>
      </c>
      <c r="Q112" s="178">
        <f>IF($AA112=0,99,IF(Q125&gt;3,CdTrp2!P78,CdTrp2!P54))</f>
        <v>0.5</v>
      </c>
      <c r="R112" s="178">
        <f>IF($AA112=0,99,IF(R125&gt;3,CdTrp2!Q78,CdTrp2!Q54))</f>
        <v>0.5</v>
      </c>
      <c r="S112" s="178">
        <f>IF($AA112=0,99,IF(S125&gt;3,CdTrp2!R78,CdTrp2!R54))</f>
        <v>0.5</v>
      </c>
      <c r="T112" s="178">
        <f>IF($AA112=0,99,IF(T125&gt;3,CdTrp2!S78,CdTrp2!S54))</f>
        <v>0.5</v>
      </c>
      <c r="U112" s="178">
        <f>IF($AA112=0,99,IF(U125&gt;3,CdTrp2!T78,CdTrp2!T54))</f>
        <v>0.5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4.6136363636363633</v>
      </c>
    </row>
    <row r="113" spans="1:27" x14ac:dyDescent="0.25">
      <c r="B113" s="190" t="str">
        <f>CdTrp2!A55</f>
        <v>Broutards</v>
      </c>
      <c r="C113" s="178">
        <f>IF($AA113=0,99,IF(C126&gt;3,CdTrp2!B79,CdTrp2!B55))</f>
        <v>1</v>
      </c>
      <c r="D113" s="178">
        <f>IF($AA113=0,99,IF(D126&gt;3,CdTrp2!C79,CdTrp2!C55))</f>
        <v>1</v>
      </c>
      <c r="E113" s="178">
        <f>IF($AA113=0,99,IF(E126&gt;3,CdTrp2!D79,CdTrp2!D55))</f>
        <v>1</v>
      </c>
      <c r="F113" s="178">
        <f>IF($AA113=0,99,IF(F126&gt;3,CdTrp2!E79,CdTrp2!E55))</f>
        <v>1</v>
      </c>
      <c r="G113" s="178">
        <f>IF($AA113=0,99,IF(G126&gt;3,CdTrp2!F79,CdTrp2!F55))</f>
        <v>1</v>
      </c>
      <c r="H113" s="178">
        <f>IF($AA113=0,99,IF(H126&gt;3,CdTrp2!G79,CdTrp2!G55))</f>
        <v>1</v>
      </c>
      <c r="I113" s="178">
        <f>IF($AA113=0,99,IF(I126&gt;3,CdTrp2!H79,CdTrp2!H55))</f>
        <v>1</v>
      </c>
      <c r="J113" s="178">
        <f>IF($AA113=0,99,IF(J126&gt;3,CdTrp2!I79,CdTrp2!I55))</f>
        <v>1</v>
      </c>
      <c r="K113" s="178">
        <f>IF($AA113=0,99,IF(K126&gt;3,CdTrp2!J79,CdTrp2!J55))</f>
        <v>1</v>
      </c>
      <c r="L113" s="178">
        <f>IF($AA113=0,99,IF(L126&gt;3,CdTrp2!K79,CdTrp2!K55))</f>
        <v>1</v>
      </c>
      <c r="M113" s="178">
        <f>IF($AA113=0,99,IF(M126&gt;3,CdTrp2!L79,CdTrp2!L55))</f>
        <v>1</v>
      </c>
      <c r="N113" s="178">
        <f>IF($AA113=0,99,IF(N126&gt;3,CdTrp2!M79,CdTrp2!M55))</f>
        <v>1</v>
      </c>
      <c r="O113" s="178">
        <f>IF($AA113=0,99,IF(O126&gt;3,CdTrp2!N79,CdTrp2!N55))</f>
        <v>1</v>
      </c>
      <c r="P113" s="178">
        <f>IF($AA113=0,99,IF(P126&gt;3,CdTrp2!O79,CdTrp2!O55))</f>
        <v>1</v>
      </c>
      <c r="Q113" s="178">
        <f>IF($AA113=0,99,IF(Q126&gt;3,CdTrp2!P79,CdTrp2!P55))</f>
        <v>1</v>
      </c>
      <c r="R113" s="178">
        <f>IF($AA113=0,99,IF(R126&gt;3,CdTrp2!Q79,CdTrp2!Q55))</f>
        <v>1</v>
      </c>
      <c r="S113" s="178">
        <f>IF($AA113=0,99,IF(S126&gt;3,CdTrp2!R79,CdTrp2!R55))</f>
        <v>1</v>
      </c>
      <c r="T113" s="178">
        <f>IF($AA113=0,99,IF(T126&gt;3,CdTrp2!S79,CdTrp2!S55))</f>
        <v>1</v>
      </c>
      <c r="U113" s="178">
        <f>IF($AA113=0,99,IF(U126&gt;3,CdTrp2!T79,CdTrp2!T55))</f>
        <v>1</v>
      </c>
      <c r="V113" s="178">
        <f>IF($AA113=0,99,IF(V126&gt;3,CdTrp2!U79,CdTrp2!U55))</f>
        <v>1</v>
      </c>
      <c r="W113" s="178">
        <f>IF($AA113=0,99,IF(W126&gt;3,CdTrp2!V79,CdTrp2!V55))</f>
        <v>1</v>
      </c>
      <c r="X113" s="178">
        <f>IF($AA113=0,99,IF(X126&gt;3,CdTrp2!W79,CdTrp2!W55))</f>
        <v>1</v>
      </c>
      <c r="Y113" s="178">
        <f>IF($AA113=0,99,IF(Y126&gt;3,CdTrp2!X79,CdTrp2!X55))</f>
        <v>1</v>
      </c>
      <c r="Z113" s="178">
        <f>IF($AA113=0,99,IF(Z126&gt;3,CdTrp2!Y79,CdTrp2!Y55))</f>
        <v>1</v>
      </c>
      <c r="AA113" s="187">
        <f>SUM(CdTrp2!B18:Y18)/24</f>
        <v>9.5454545454545396</v>
      </c>
    </row>
    <row r="114" spans="1:27" x14ac:dyDescent="0.25">
      <c r="B114" s="279" t="str">
        <f>CdTrp2!A56</f>
        <v>génisses &lt; 1 an</v>
      </c>
      <c r="C114" s="178">
        <f>IF($AA114=0,99,IF(C127&gt;3,CdTrp2!B80,CdTrp2!B56))</f>
        <v>1</v>
      </c>
      <c r="D114" s="178">
        <f>IF($AA114=0,99,IF(D127&gt;3,CdTrp2!C80,CdTrp2!C56))</f>
        <v>1</v>
      </c>
      <c r="E114" s="178">
        <f>IF($AA114=0,99,IF(E127&gt;3,CdTrp2!D80,CdTrp2!D56))</f>
        <v>1</v>
      </c>
      <c r="F114" s="178">
        <f>IF($AA114=0,99,IF(F127&gt;3,CdTrp2!E80,CdTrp2!E56))</f>
        <v>1</v>
      </c>
      <c r="G114" s="178">
        <f>IF($AA114=0,99,IF(G127&gt;3,CdTrp2!F80,CdTrp2!F56))</f>
        <v>1</v>
      </c>
      <c r="H114" s="178">
        <f>IF($AA114=0,99,IF(H127&gt;3,CdTrp2!G80,CdTrp2!G56))</f>
        <v>1</v>
      </c>
      <c r="I114" s="178">
        <f>IF($AA114=0,99,IF(I127&gt;3,CdTrp2!H80,CdTrp2!H56))</f>
        <v>1</v>
      </c>
      <c r="J114" s="178">
        <f>IF($AA114=0,99,IF(J127&gt;3,CdTrp2!I80,CdTrp2!I56))</f>
        <v>1</v>
      </c>
      <c r="K114" s="178">
        <f>IF($AA114=0,99,IF(K127&gt;3,CdTrp2!J80,CdTrp2!J56))</f>
        <v>1</v>
      </c>
      <c r="L114" s="178">
        <f>IF($AA114=0,99,IF(L127&gt;3,CdTrp2!K80,CdTrp2!K56))</f>
        <v>1</v>
      </c>
      <c r="M114" s="178">
        <f>IF($AA114=0,99,IF(M127&gt;3,CdTrp2!L80,CdTrp2!L56))</f>
        <v>1</v>
      </c>
      <c r="N114" s="178">
        <f>IF($AA114=0,99,IF(N127&gt;3,CdTrp2!M80,CdTrp2!M56))</f>
        <v>1</v>
      </c>
      <c r="O114" s="178">
        <f>IF($AA114=0,99,IF(O127&gt;3,CdTrp2!N80,CdTrp2!N56))</f>
        <v>1</v>
      </c>
      <c r="P114" s="178">
        <f>IF($AA114=0,99,IF(P127&gt;3,CdTrp2!O80,CdTrp2!O56))</f>
        <v>1</v>
      </c>
      <c r="Q114" s="178">
        <f>IF($AA114=0,99,IF(Q127&gt;3,CdTrp2!P80,CdTrp2!P56))</f>
        <v>1</v>
      </c>
      <c r="R114" s="178">
        <f>IF($AA114=0,99,IF(R127&gt;3,CdTrp2!Q80,CdTrp2!Q56))</f>
        <v>1</v>
      </c>
      <c r="S114" s="178">
        <f>IF($AA114=0,99,IF(S127&gt;3,CdTrp2!R80,CdTrp2!R56))</f>
        <v>1</v>
      </c>
      <c r="T114" s="178">
        <f>IF($AA114=0,99,IF(T127&gt;3,CdTrp2!S80,CdTrp2!S56))</f>
        <v>1</v>
      </c>
      <c r="U114" s="178">
        <f>IF($AA114=0,99,IF(U127&gt;3,CdTrp2!T80,CdTrp2!T56))</f>
        <v>1</v>
      </c>
      <c r="V114" s="178">
        <f>IF($AA114=0,99,IF(V127&gt;3,CdTrp2!U80,CdTrp2!U56))</f>
        <v>1</v>
      </c>
      <c r="W114" s="178">
        <f>IF($AA114=0,99,IF(W127&gt;3,CdTrp2!V80,CdTrp2!V56))</f>
        <v>1</v>
      </c>
      <c r="X114" s="178">
        <f>IF($AA114=0,99,IF(X127&gt;3,CdTrp2!W80,CdTrp2!W56))</f>
        <v>1</v>
      </c>
      <c r="Y114" s="178">
        <f>IF($AA114=0,99,IF(Y127&gt;3,CdTrp2!X80,CdTrp2!X56))</f>
        <v>1</v>
      </c>
      <c r="Z114" s="178">
        <f>IF($AA114=0,99,IF(Z127&gt;3,CdTrp2!Y80,CdTrp2!Y56))</f>
        <v>1</v>
      </c>
      <c r="AA114" s="187">
        <f>SUM(CdTrp2!B19:Y19)/24</f>
        <v>2.3068181818181812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2</v>
      </c>
      <c r="K123" s="30">
        <f>CdTrp2!J76</f>
        <v>2</v>
      </c>
      <c r="L123" s="30">
        <f>CdTrp2!K76</f>
        <v>3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3</v>
      </c>
      <c r="R123" s="30">
        <f>CdTrp2!Q76</f>
        <v>2</v>
      </c>
      <c r="S123" s="30">
        <f>CdTrp2!R76</f>
        <v>2</v>
      </c>
      <c r="T123" s="30">
        <f>CdTrp2!S76</f>
        <v>3</v>
      </c>
      <c r="U123" s="30">
        <f>CdTrp2!T76</f>
        <v>2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1</v>
      </c>
      <c r="K125" s="30">
        <f>CdTrp2!J78</f>
        <v>1</v>
      </c>
      <c r="L125" s="30">
        <f>CdTrp2!K78</f>
        <v>1</v>
      </c>
      <c r="M125" s="30">
        <f>CdTrp2!L78</f>
        <v>1</v>
      </c>
      <c r="N125" s="30">
        <f>CdTrp2!M78</f>
        <v>1</v>
      </c>
      <c r="O125" s="30">
        <f>CdTrp2!N78</f>
        <v>1</v>
      </c>
      <c r="P125" s="30">
        <f>CdTrp2!O78</f>
        <v>1</v>
      </c>
      <c r="Q125" s="30">
        <f>CdTrp2!P78</f>
        <v>1</v>
      </c>
      <c r="R125" s="30">
        <f>CdTrp2!Q78</f>
        <v>1</v>
      </c>
      <c r="S125" s="30">
        <f>CdTrp2!R78</f>
        <v>1</v>
      </c>
      <c r="T125" s="30">
        <f>CdTrp2!S78</f>
        <v>1</v>
      </c>
      <c r="U125" s="30">
        <f>CdTrp2!T78</f>
        <v>1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Broutards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génisses &lt; 1 an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1</v>
      </c>
      <c r="D180" s="178">
        <f>IF(Troupeau!$B$3="OL",Protection!D18,0)</f>
        <v>1</v>
      </c>
      <c r="E180" s="178">
        <f>IF(Troupeau!$B$3="OL",Protection!E18,0)</f>
        <v>1</v>
      </c>
      <c r="F180" s="178">
        <f>IF(Troupeau!$B$3="OL",Protection!F18,0)</f>
        <v>1</v>
      </c>
      <c r="G180" s="178">
        <f>IF(Troupeau!$B$3="OL",Protection!G18,0)</f>
        <v>1</v>
      </c>
      <c r="H180" s="178">
        <f>IF(Troupeau!$B$3="OL",Protection!H18,0)</f>
        <v>1</v>
      </c>
      <c r="I180" s="178">
        <f>IF(Troupeau!$B$3="OL",Protection!I18,0)</f>
        <v>1</v>
      </c>
      <c r="J180" s="178">
        <f>IF(Troupeau!$B$3="OL",Protection!J18,0)</f>
        <v>1</v>
      </c>
      <c r="K180" s="178">
        <f>IF(Troupeau!$B$3="OL",Protection!K18,0)</f>
        <v>1</v>
      </c>
      <c r="L180" s="178">
        <f>IF(Troupeau!$B$3="OL",Protection!L18,0)</f>
        <v>1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1</v>
      </c>
      <c r="X180" s="178">
        <f>IF(Troupeau!$B$3="OL",Protection!X18,0)</f>
        <v>1</v>
      </c>
      <c r="Y180" s="178">
        <f>IF(Troupeau!$B$3="OL",Protection!Y18,0)</f>
        <v>1</v>
      </c>
      <c r="Z180" s="178">
        <f>IF(Troupeau!$B$3="OL",Protection!Z18,0)</f>
        <v>1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1</v>
      </c>
      <c r="D195" s="178">
        <f t="shared" ref="D195:Z196" si="49">D180+D183+D185+D187</f>
        <v>1</v>
      </c>
      <c r="E195" s="178">
        <f t="shared" si="49"/>
        <v>1</v>
      </c>
      <c r="F195" s="178">
        <f t="shared" si="49"/>
        <v>1</v>
      </c>
      <c r="G195" s="178">
        <f t="shared" si="49"/>
        <v>1</v>
      </c>
      <c r="H195" s="178">
        <f t="shared" si="49"/>
        <v>1</v>
      </c>
      <c r="I195" s="178">
        <f t="shared" si="49"/>
        <v>1</v>
      </c>
      <c r="J195" s="178">
        <f t="shared" si="49"/>
        <v>1</v>
      </c>
      <c r="K195" s="178">
        <f t="shared" si="49"/>
        <v>1</v>
      </c>
      <c r="L195" s="178">
        <f t="shared" si="49"/>
        <v>1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1</v>
      </c>
      <c r="X195" s="178">
        <f t="shared" si="49"/>
        <v>1</v>
      </c>
      <c r="Y195" s="178">
        <f t="shared" si="49"/>
        <v>1</v>
      </c>
      <c r="Z195" s="178">
        <f t="shared" si="49"/>
        <v>1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4</v>
      </c>
      <c r="D201" s="178">
        <f>IF(Troupeau!$B$3="OL",D8+D9,0)</f>
        <v>4</v>
      </c>
      <c r="E201" s="178">
        <f>IF(Troupeau!$B$3="OL",E8+E9,0)</f>
        <v>4</v>
      </c>
      <c r="F201" s="178">
        <f>IF(Troupeau!$B$3="OL",F8+F9,0)</f>
        <v>4</v>
      </c>
      <c r="G201" s="178">
        <f>IF(Troupeau!$B$3="OL",G8+G9,0)</f>
        <v>4</v>
      </c>
      <c r="H201" s="178">
        <f>IF(Troupeau!$B$3="OL",H8+H9,0)</f>
        <v>4</v>
      </c>
      <c r="I201" s="178">
        <f>IF(Troupeau!$B$3="OL",I8+I9,0)</f>
        <v>4</v>
      </c>
      <c r="J201" s="178">
        <f>IF(Troupeau!$B$3="OL",J8+J9,0)</f>
        <v>4</v>
      </c>
      <c r="K201" s="178">
        <f>IF(Troupeau!$B$3="OL",K8+K9,0)</f>
        <v>4</v>
      </c>
      <c r="L201" s="178">
        <f>IF(Troupeau!$B$3="OL",L8+L9,0)</f>
        <v>4</v>
      </c>
      <c r="M201" s="178">
        <f>IF(Troupeau!$B$3="OL",M8+M9,0)</f>
        <v>2</v>
      </c>
      <c r="N201" s="178">
        <f>IF(Troupeau!$B$3="OL",N8+N9,0)</f>
        <v>2</v>
      </c>
      <c r="O201" s="178">
        <f>IF(Troupeau!$B$3="OL",O8+O9,0)</f>
        <v>2</v>
      </c>
      <c r="P201" s="178">
        <f>IF(Troupeau!$B$3="OL",P8+P9,0)</f>
        <v>2</v>
      </c>
      <c r="Q201" s="178">
        <f>IF(Troupeau!$B$3="OL",Q8+Q9,0)</f>
        <v>4</v>
      </c>
      <c r="R201" s="178">
        <f>IF(Troupeau!$B$3="OL",R8+R9,0)</f>
        <v>4</v>
      </c>
      <c r="S201" s="178">
        <f>IF(Troupeau!$B$3="OL",S8+S9,0)</f>
        <v>4</v>
      </c>
      <c r="T201" s="178">
        <f>IF(Troupeau!$B$3="OL",T8+T9,0)</f>
        <v>4</v>
      </c>
      <c r="U201" s="178">
        <f>IF(Troupeau!$B$3="OL",U8+U9,0)</f>
        <v>4</v>
      </c>
      <c r="V201" s="178">
        <f>IF(Troupeau!$B$3="OL",V8+V9,0)</f>
        <v>4</v>
      </c>
      <c r="W201" s="178">
        <f>IF(Troupeau!$B$3="OL",W8+W9,0)</f>
        <v>4</v>
      </c>
      <c r="X201" s="178">
        <f>IF(Troupeau!$B$3="OL",X8+X9,0)</f>
        <v>4</v>
      </c>
      <c r="Y201" s="178">
        <f>IF(Troupeau!$B$3="OL",Y8+Y9,0)</f>
        <v>4</v>
      </c>
      <c r="Z201" s="178">
        <f>IF(Troupeau!$B$3="OL",Z8+Z9,0)</f>
        <v>4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4</v>
      </c>
      <c r="D203" s="178">
        <f t="shared" ref="D203:Z203" si="50">SUM(D201:D202)</f>
        <v>4</v>
      </c>
      <c r="E203" s="178">
        <f t="shared" si="50"/>
        <v>4</v>
      </c>
      <c r="F203" s="178">
        <f t="shared" si="50"/>
        <v>4</v>
      </c>
      <c r="G203" s="178">
        <f t="shared" si="50"/>
        <v>4</v>
      </c>
      <c r="H203" s="178">
        <f t="shared" si="50"/>
        <v>4</v>
      </c>
      <c r="I203" s="178">
        <f t="shared" si="50"/>
        <v>4</v>
      </c>
      <c r="J203" s="178">
        <f t="shared" si="50"/>
        <v>4</v>
      </c>
      <c r="K203" s="178">
        <f t="shared" si="50"/>
        <v>4</v>
      </c>
      <c r="L203" s="178">
        <f t="shared" si="50"/>
        <v>4</v>
      </c>
      <c r="M203" s="178">
        <f t="shared" si="50"/>
        <v>2</v>
      </c>
      <c r="N203" s="178">
        <f t="shared" si="50"/>
        <v>2</v>
      </c>
      <c r="O203" s="178">
        <f t="shared" si="50"/>
        <v>2</v>
      </c>
      <c r="P203" s="178">
        <f t="shared" si="50"/>
        <v>2</v>
      </c>
      <c r="Q203" s="178">
        <f t="shared" si="50"/>
        <v>4</v>
      </c>
      <c r="R203" s="178">
        <f t="shared" si="50"/>
        <v>4</v>
      </c>
      <c r="S203" s="178">
        <f t="shared" si="50"/>
        <v>4</v>
      </c>
      <c r="T203" s="178">
        <f t="shared" si="50"/>
        <v>4</v>
      </c>
      <c r="U203" s="178">
        <f t="shared" si="50"/>
        <v>4</v>
      </c>
      <c r="V203" s="178">
        <f t="shared" si="50"/>
        <v>4</v>
      </c>
      <c r="W203" s="178">
        <f t="shared" si="50"/>
        <v>4</v>
      </c>
      <c r="X203" s="178">
        <f t="shared" si="50"/>
        <v>4</v>
      </c>
      <c r="Y203" s="178">
        <f t="shared" si="50"/>
        <v>4</v>
      </c>
      <c r="Z203" s="178">
        <f t="shared" si="50"/>
        <v>4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4</v>
      </c>
      <c r="D212" s="178">
        <f t="shared" ref="D212:Z213" si="51">D201+D204+D206+D208</f>
        <v>4</v>
      </c>
      <c r="E212" s="178">
        <f t="shared" si="51"/>
        <v>4</v>
      </c>
      <c r="F212" s="178">
        <f t="shared" si="51"/>
        <v>4</v>
      </c>
      <c r="G212" s="178">
        <f t="shared" si="51"/>
        <v>4</v>
      </c>
      <c r="H212" s="178">
        <f t="shared" si="51"/>
        <v>4</v>
      </c>
      <c r="I212" s="178">
        <f t="shared" si="51"/>
        <v>4</v>
      </c>
      <c r="J212" s="178">
        <f t="shared" si="51"/>
        <v>4</v>
      </c>
      <c r="K212" s="178">
        <f t="shared" si="51"/>
        <v>4</v>
      </c>
      <c r="L212" s="178">
        <f t="shared" si="51"/>
        <v>4</v>
      </c>
      <c r="M212" s="178">
        <f t="shared" si="51"/>
        <v>2</v>
      </c>
      <c r="N212" s="178">
        <f t="shared" si="51"/>
        <v>2</v>
      </c>
      <c r="O212" s="178">
        <f t="shared" si="51"/>
        <v>2</v>
      </c>
      <c r="P212" s="178">
        <f t="shared" si="51"/>
        <v>2</v>
      </c>
      <c r="Q212" s="178">
        <f t="shared" si="51"/>
        <v>4</v>
      </c>
      <c r="R212" s="178">
        <f t="shared" si="51"/>
        <v>4</v>
      </c>
      <c r="S212" s="178">
        <f t="shared" si="51"/>
        <v>4</v>
      </c>
      <c r="T212" s="178">
        <f t="shared" si="51"/>
        <v>4</v>
      </c>
      <c r="U212" s="178">
        <f t="shared" si="51"/>
        <v>4</v>
      </c>
      <c r="V212" s="178">
        <f t="shared" si="51"/>
        <v>4</v>
      </c>
      <c r="W212" s="178">
        <f t="shared" si="51"/>
        <v>4</v>
      </c>
      <c r="X212" s="178">
        <f t="shared" si="51"/>
        <v>4</v>
      </c>
      <c r="Y212" s="178">
        <f t="shared" si="51"/>
        <v>4</v>
      </c>
      <c r="Z212" s="178">
        <f t="shared" si="51"/>
        <v>4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4</v>
      </c>
      <c r="D214" s="178">
        <f t="shared" ref="D214:Z214" si="52">D212+D213</f>
        <v>4</v>
      </c>
      <c r="E214" s="178">
        <f t="shared" si="52"/>
        <v>4</v>
      </c>
      <c r="F214" s="178">
        <f t="shared" si="52"/>
        <v>4</v>
      </c>
      <c r="G214" s="178">
        <f t="shared" si="52"/>
        <v>4</v>
      </c>
      <c r="H214" s="178">
        <f t="shared" si="52"/>
        <v>4</v>
      </c>
      <c r="I214" s="178">
        <f t="shared" si="52"/>
        <v>4</v>
      </c>
      <c r="J214" s="178">
        <f t="shared" si="52"/>
        <v>4</v>
      </c>
      <c r="K214" s="178">
        <f t="shared" si="52"/>
        <v>4</v>
      </c>
      <c r="L214" s="178">
        <f t="shared" si="52"/>
        <v>4</v>
      </c>
      <c r="M214" s="178">
        <f t="shared" si="52"/>
        <v>2</v>
      </c>
      <c r="N214" s="178">
        <f t="shared" si="52"/>
        <v>2</v>
      </c>
      <c r="O214" s="178">
        <f t="shared" si="52"/>
        <v>2</v>
      </c>
      <c r="P214" s="178">
        <f t="shared" si="52"/>
        <v>2</v>
      </c>
      <c r="Q214" s="178">
        <f t="shared" si="52"/>
        <v>4</v>
      </c>
      <c r="R214" s="178">
        <f t="shared" si="52"/>
        <v>4</v>
      </c>
      <c r="S214" s="178">
        <f t="shared" si="52"/>
        <v>4</v>
      </c>
      <c r="T214" s="178">
        <f t="shared" si="52"/>
        <v>4</v>
      </c>
      <c r="U214" s="178">
        <f t="shared" si="52"/>
        <v>4</v>
      </c>
      <c r="V214" s="178">
        <f t="shared" si="52"/>
        <v>4</v>
      </c>
      <c r="W214" s="178">
        <f t="shared" si="52"/>
        <v>4</v>
      </c>
      <c r="X214" s="178">
        <f t="shared" si="52"/>
        <v>4</v>
      </c>
      <c r="Y214" s="178">
        <f t="shared" si="52"/>
        <v>4</v>
      </c>
      <c r="Z214" s="178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616</v>
      </c>
      <c r="G5" s="178">
        <f>AV117</f>
        <v>28</v>
      </c>
      <c r="H5" s="178">
        <f t="shared" ref="H5:AD5" si="0">AW117</f>
        <v>28</v>
      </c>
      <c r="I5" s="178">
        <f t="shared" si="0"/>
        <v>28</v>
      </c>
      <c r="J5" s="178">
        <f t="shared" si="0"/>
        <v>28</v>
      </c>
      <c r="K5" s="178">
        <f t="shared" si="0"/>
        <v>28</v>
      </c>
      <c r="L5" s="178">
        <f t="shared" si="0"/>
        <v>28</v>
      </c>
      <c r="M5" s="178">
        <f t="shared" si="0"/>
        <v>28</v>
      </c>
      <c r="N5" s="178">
        <f t="shared" si="0"/>
        <v>28</v>
      </c>
      <c r="O5" s="178">
        <f t="shared" si="0"/>
        <v>28</v>
      </c>
      <c r="P5" s="178">
        <f t="shared" si="0"/>
        <v>28</v>
      </c>
      <c r="Q5" s="178">
        <f t="shared" si="0"/>
        <v>14</v>
      </c>
      <c r="R5" s="178">
        <f t="shared" si="0"/>
        <v>14</v>
      </c>
      <c r="S5" s="178">
        <f t="shared" si="0"/>
        <v>14</v>
      </c>
      <c r="T5" s="178">
        <f t="shared" si="0"/>
        <v>14</v>
      </c>
      <c r="U5" s="178">
        <f t="shared" si="0"/>
        <v>28</v>
      </c>
      <c r="V5" s="178">
        <f t="shared" si="0"/>
        <v>28</v>
      </c>
      <c r="W5" s="178">
        <f t="shared" si="0"/>
        <v>28</v>
      </c>
      <c r="X5" s="178">
        <f t="shared" si="0"/>
        <v>28</v>
      </c>
      <c r="Y5" s="178">
        <f t="shared" si="0"/>
        <v>28</v>
      </c>
      <c r="Z5" s="178">
        <f t="shared" si="0"/>
        <v>28</v>
      </c>
      <c r="AA5" s="178">
        <f t="shared" si="0"/>
        <v>28</v>
      </c>
      <c r="AB5" s="178">
        <f t="shared" si="0"/>
        <v>28</v>
      </c>
      <c r="AC5" s="178">
        <f t="shared" si="0"/>
        <v>28</v>
      </c>
      <c r="AD5" s="178">
        <f t="shared" si="0"/>
        <v>28</v>
      </c>
      <c r="AR5" s="191" t="s">
        <v>815</v>
      </c>
      <c r="AT5" s="192" t="str">
        <f t="shared" ref="AT5:AT13" si="1">AT27</f>
        <v>lot2</v>
      </c>
      <c r="AU5" s="176"/>
      <c r="AV5" s="178">
        <f>CdTrp1!B16</f>
        <v>0</v>
      </c>
      <c r="AW5" s="178">
        <f>CdTrp1!C16</f>
        <v>0</v>
      </c>
      <c r="AX5" s="178">
        <f>CdTrp1!D16</f>
        <v>0</v>
      </c>
      <c r="AY5" s="178">
        <f>CdTrp1!E16</f>
        <v>0</v>
      </c>
      <c r="AZ5" s="178">
        <f>CdTrp1!F16</f>
        <v>0</v>
      </c>
      <c r="BA5" s="178">
        <f>CdTrp1!G16</f>
        <v>0</v>
      </c>
      <c r="BB5" s="178">
        <f>CdTrp1!H16</f>
        <v>0</v>
      </c>
      <c r="BC5" s="178">
        <f>CdTrp1!I16</f>
        <v>0</v>
      </c>
      <c r="BD5" s="178">
        <f>CdTrp1!J16</f>
        <v>0</v>
      </c>
      <c r="BE5" s="178">
        <f>CdTrp1!K16</f>
        <v>0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0</v>
      </c>
      <c r="BQ5" s="178">
        <f>CdTrp1!W16</f>
        <v>0</v>
      </c>
      <c r="BR5" s="178">
        <f>CdTrp1!X16</f>
        <v>0</v>
      </c>
      <c r="BS5" s="178">
        <f>CdTrp1!Y16</f>
        <v>0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189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26.25</v>
      </c>
      <c r="O6" s="178">
        <f t="shared" si="2"/>
        <v>26.25</v>
      </c>
      <c r="P6" s="178">
        <f t="shared" si="2"/>
        <v>26.25</v>
      </c>
      <c r="Q6" s="178">
        <f t="shared" si="2"/>
        <v>26.25</v>
      </c>
      <c r="R6" s="178">
        <f t="shared" si="2"/>
        <v>26.25</v>
      </c>
      <c r="S6" s="178">
        <f t="shared" si="2"/>
        <v>26.25</v>
      </c>
      <c r="T6" s="178">
        <f t="shared" si="2"/>
        <v>26.25</v>
      </c>
      <c r="U6" s="178">
        <f t="shared" si="2"/>
        <v>26.25</v>
      </c>
      <c r="V6" s="178">
        <f t="shared" si="2"/>
        <v>26.25</v>
      </c>
      <c r="W6" s="178">
        <f t="shared" si="2"/>
        <v>26.25</v>
      </c>
      <c r="X6" s="178">
        <f t="shared" si="2"/>
        <v>26.25</v>
      </c>
      <c r="Y6" s="178">
        <f t="shared" si="2"/>
        <v>26.25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5.0909090909090917</v>
      </c>
      <c r="CC6" s="178">
        <f>CdTrp2!C17</f>
        <v>5.0909090909090917</v>
      </c>
      <c r="CD6" s="178">
        <f>CdTrp2!D17</f>
        <v>5.0909090909090917</v>
      </c>
      <c r="CE6" s="178">
        <f>CdTrp2!E17</f>
        <v>5.7272727272727284</v>
      </c>
      <c r="CF6" s="178">
        <f>CdTrp2!F17</f>
        <v>5.7272727272727284</v>
      </c>
      <c r="CG6" s="178">
        <f>CdTrp2!G17</f>
        <v>5.7272727272727284</v>
      </c>
      <c r="CH6" s="178">
        <f>CdTrp2!H17</f>
        <v>5.0909090909090917</v>
      </c>
      <c r="CI6" s="178">
        <f>CdTrp2!I17</f>
        <v>5.0909090909090917</v>
      </c>
      <c r="CJ6" s="178">
        <f>CdTrp2!J17</f>
        <v>5.0909090909090917</v>
      </c>
      <c r="CK6" s="178">
        <f>CdTrp2!K17</f>
        <v>5.0909090909090917</v>
      </c>
      <c r="CL6" s="178">
        <f>CdTrp2!L17</f>
        <v>4.454545454545455</v>
      </c>
      <c r="CM6" s="178">
        <f>CdTrp2!M17</f>
        <v>4.454545454545455</v>
      </c>
      <c r="CN6" s="178">
        <f>CdTrp2!N17</f>
        <v>4.454545454545455</v>
      </c>
      <c r="CO6" s="178">
        <f>CdTrp2!O17</f>
        <v>4.454545454545455</v>
      </c>
      <c r="CP6" s="178">
        <f>CdTrp2!P17</f>
        <v>3.8181818181818183</v>
      </c>
      <c r="CQ6" s="178">
        <f>CdTrp2!Q17</f>
        <v>3.8181818181818183</v>
      </c>
      <c r="CR6" s="178">
        <f>CdTrp2!R17</f>
        <v>3.1818181818181817</v>
      </c>
      <c r="CS6" s="178">
        <f>CdTrp2!S17</f>
        <v>3.8181818181818183</v>
      </c>
      <c r="CT6" s="178">
        <f>CdTrp2!T17</f>
        <v>3.8181818181818183</v>
      </c>
      <c r="CU6" s="178">
        <f>CdTrp2!U17</f>
        <v>3.8181818181818183</v>
      </c>
      <c r="CV6" s="178">
        <f>CdTrp2!V17</f>
        <v>4.454545454545455</v>
      </c>
      <c r="CW6" s="178">
        <f>CdTrp2!W17</f>
        <v>4.454545454545455</v>
      </c>
      <c r="CX6" s="178">
        <f>CdTrp2!X17</f>
        <v>4.454545454545455</v>
      </c>
      <c r="CY6" s="178">
        <f>CdTrp2!Y17</f>
        <v>4.454545454545455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Broutards</v>
      </c>
      <c r="CA7" s="176"/>
      <c r="CB7" s="178">
        <f>CdTrp2!B18</f>
        <v>9.545454545454545</v>
      </c>
      <c r="CC7" s="178">
        <f>CdTrp2!C18</f>
        <v>9.545454545454545</v>
      </c>
      <c r="CD7" s="178">
        <f>CdTrp2!D18</f>
        <v>9.545454545454545</v>
      </c>
      <c r="CE7" s="178">
        <f>CdTrp2!E18</f>
        <v>9.545454545454545</v>
      </c>
      <c r="CF7" s="178">
        <f>CdTrp2!F18</f>
        <v>9.545454545454545</v>
      </c>
      <c r="CG7" s="178">
        <f>CdTrp2!G18</f>
        <v>9.545454545454545</v>
      </c>
      <c r="CH7" s="178">
        <f>CdTrp2!H18</f>
        <v>9.545454545454545</v>
      </c>
      <c r="CI7" s="178">
        <f>CdTrp2!I18</f>
        <v>9.545454545454545</v>
      </c>
      <c r="CJ7" s="178">
        <f>CdTrp2!J18</f>
        <v>9.545454545454545</v>
      </c>
      <c r="CK7" s="178">
        <f>CdTrp2!K18</f>
        <v>9.545454545454545</v>
      </c>
      <c r="CL7" s="178">
        <f>CdTrp2!L18</f>
        <v>9.545454545454545</v>
      </c>
      <c r="CM7" s="178">
        <f>CdTrp2!M18</f>
        <v>9.545454545454545</v>
      </c>
      <c r="CN7" s="178">
        <f>CdTrp2!N18</f>
        <v>9.545454545454545</v>
      </c>
      <c r="CO7" s="178">
        <f>CdTrp2!O18</f>
        <v>9.545454545454545</v>
      </c>
      <c r="CP7" s="178">
        <f>CdTrp2!P18</f>
        <v>9.545454545454545</v>
      </c>
      <c r="CQ7" s="178">
        <f>CdTrp2!Q18</f>
        <v>9.545454545454545</v>
      </c>
      <c r="CR7" s="178">
        <f>CdTrp2!R18</f>
        <v>9.545454545454545</v>
      </c>
      <c r="CS7" s="178">
        <f>CdTrp2!S18</f>
        <v>9.545454545454545</v>
      </c>
      <c r="CT7" s="178">
        <f>CdTrp2!T18</f>
        <v>9.545454545454545</v>
      </c>
      <c r="CU7" s="178">
        <f>CdTrp2!U18</f>
        <v>9.545454545454545</v>
      </c>
      <c r="CV7" s="178">
        <f>CdTrp2!V18</f>
        <v>9.545454545454545</v>
      </c>
      <c r="CW7" s="178">
        <f>CdTrp2!W18</f>
        <v>9.545454545454545</v>
      </c>
      <c r="CX7" s="178">
        <f>CdTrp2!X18</f>
        <v>9.545454545454545</v>
      </c>
      <c r="CY7" s="178">
        <f>CdTrp2!Y18</f>
        <v>9.545454545454545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 + vides</v>
      </c>
      <c r="AU8" s="176"/>
      <c r="AV8" s="178">
        <f>CdTrp1!B19</f>
        <v>78.625</v>
      </c>
      <c r="AW8" s="178">
        <f>CdTrp1!C19</f>
        <v>71.1875</v>
      </c>
      <c r="AX8" s="178">
        <f>CdTrp1!D19</f>
        <v>63.75</v>
      </c>
      <c r="AY8" s="178">
        <f>CdTrp1!E19</f>
        <v>57.375</v>
      </c>
      <c r="AZ8" s="178">
        <f>CdTrp1!F19</f>
        <v>51</v>
      </c>
      <c r="BA8" s="178">
        <f>CdTrp1!G19</f>
        <v>44.625</v>
      </c>
      <c r="BB8" s="178">
        <f>CdTrp1!H19</f>
        <v>38.25</v>
      </c>
      <c r="BC8" s="178">
        <f>CdTrp1!I19</f>
        <v>31.875</v>
      </c>
      <c r="BD8" s="178">
        <f>CdTrp1!J19</f>
        <v>25.5</v>
      </c>
      <c r="BE8" s="178">
        <f>CdTrp1!K19</f>
        <v>18.0625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18.0625</v>
      </c>
      <c r="BQ8" s="178">
        <f>CdTrp1!W19</f>
        <v>18.0625</v>
      </c>
      <c r="BR8" s="178">
        <f>CdTrp1!X19</f>
        <v>78.625</v>
      </c>
      <c r="BS8" s="178">
        <f>CdTrp1!Y19</f>
        <v>78.625</v>
      </c>
      <c r="BZ8" s="192" t="str">
        <f>+CdTrp2!A19</f>
        <v>génisses &lt; 1 an</v>
      </c>
      <c r="CA8" s="176"/>
      <c r="CB8" s="178">
        <f>CdTrp2!B19</f>
        <v>2.5454545454545454</v>
      </c>
      <c r="CC8" s="178">
        <f>CdTrp2!C19</f>
        <v>2.5454545454545454</v>
      </c>
      <c r="CD8" s="178">
        <f>CdTrp2!D19</f>
        <v>2.5454545454545454</v>
      </c>
      <c r="CE8" s="178">
        <f>CdTrp2!E19</f>
        <v>2.8636363636363638</v>
      </c>
      <c r="CF8" s="178">
        <f>CdTrp2!F19</f>
        <v>2.8636363636363638</v>
      </c>
      <c r="CG8" s="178">
        <f>CdTrp2!G19</f>
        <v>2.8636363636363638</v>
      </c>
      <c r="CH8" s="178">
        <f>CdTrp2!H19</f>
        <v>2.5454545454545454</v>
      </c>
      <c r="CI8" s="178">
        <f>CdTrp2!I19</f>
        <v>2.5454545454545454</v>
      </c>
      <c r="CJ8" s="178">
        <f>CdTrp2!J19</f>
        <v>2.5454545454545454</v>
      </c>
      <c r="CK8" s="178">
        <f>CdTrp2!K19</f>
        <v>2.5454545454545454</v>
      </c>
      <c r="CL8" s="178">
        <f>CdTrp2!L19</f>
        <v>2.2272727272727271</v>
      </c>
      <c r="CM8" s="178">
        <f>CdTrp2!M19</f>
        <v>2.2272727272727271</v>
      </c>
      <c r="CN8" s="178">
        <f>CdTrp2!N19</f>
        <v>2.2272727272727271</v>
      </c>
      <c r="CO8" s="178">
        <f>CdTrp2!O19</f>
        <v>2.2272727272727271</v>
      </c>
      <c r="CP8" s="178">
        <f>CdTrp2!P19</f>
        <v>1.9090909090909092</v>
      </c>
      <c r="CQ8" s="178">
        <f>CdTrp2!Q19</f>
        <v>1.9090909090909092</v>
      </c>
      <c r="CR8" s="178">
        <f>CdTrp2!R19</f>
        <v>1.5909090909090908</v>
      </c>
      <c r="CS8" s="178">
        <f>CdTrp2!S19</f>
        <v>1.9090909090909092</v>
      </c>
      <c r="CT8" s="178">
        <f>CdTrp2!T19</f>
        <v>1.9090909090909092</v>
      </c>
      <c r="CU8" s="178">
        <f>CdTrp2!U19</f>
        <v>1.9090909090909092</v>
      </c>
      <c r="CV8" s="178">
        <f>CdTrp2!V19</f>
        <v>2.2272727272727271</v>
      </c>
      <c r="CW8" s="178">
        <f>CdTrp2!W19</f>
        <v>2.2272727272727271</v>
      </c>
      <c r="CX8" s="178">
        <f>CdTrp2!X19</f>
        <v>2.2272727272727271</v>
      </c>
      <c r="CY8" s="178">
        <f>CdTrp2!Y19</f>
        <v>2.2272727272727271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1179.5590624999993</v>
      </c>
      <c r="G9" s="30">
        <f>AV102</f>
        <v>56.017499999999998</v>
      </c>
      <c r="H9" s="30">
        <f t="shared" ref="H9:AD9" si="4">AW102</f>
        <v>55.980312499999997</v>
      </c>
      <c r="I9" s="30">
        <f t="shared" si="4"/>
        <v>55.9059375</v>
      </c>
      <c r="J9" s="30">
        <f t="shared" si="4"/>
        <v>55.050624999999997</v>
      </c>
      <c r="K9" s="30">
        <f t="shared" si="4"/>
        <v>54.97625</v>
      </c>
      <c r="L9" s="30">
        <f t="shared" si="4"/>
        <v>54.901875000000004</v>
      </c>
      <c r="M9" s="30">
        <f t="shared" si="4"/>
        <v>54.827500000000001</v>
      </c>
      <c r="N9" s="30">
        <f t="shared" si="4"/>
        <v>54.753124999999997</v>
      </c>
      <c r="O9" s="30">
        <f t="shared" si="4"/>
        <v>54.678750000000001</v>
      </c>
      <c r="P9" s="30">
        <f t="shared" si="4"/>
        <v>54.641562499999999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32.823437499999997</v>
      </c>
      <c r="V9" s="30">
        <f t="shared" si="4"/>
        <v>32.823437499999997</v>
      </c>
      <c r="W9" s="30">
        <f t="shared" si="4"/>
        <v>32.823437499999997</v>
      </c>
      <c r="X9" s="30">
        <f t="shared" si="4"/>
        <v>32.005312500000002</v>
      </c>
      <c r="Y9" s="30">
        <f t="shared" si="4"/>
        <v>32.005312500000002</v>
      </c>
      <c r="Z9" s="30">
        <f t="shared" si="4"/>
        <v>32.005312500000002</v>
      </c>
      <c r="AA9" s="30">
        <f t="shared" si="4"/>
        <v>53.005312500000002</v>
      </c>
      <c r="AB9" s="30">
        <f t="shared" si="4"/>
        <v>53.005312500000002</v>
      </c>
      <c r="AC9" s="30">
        <f t="shared" si="4"/>
        <v>56.017499999999998</v>
      </c>
      <c r="AD9" s="30">
        <f t="shared" si="4"/>
        <v>56.017499999999998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3118.5590624999995</v>
      </c>
      <c r="G13" s="30">
        <f>SUM(G5:G11)</f>
        <v>126.0175</v>
      </c>
      <c r="H13" s="30">
        <f t="shared" ref="H13:AD13" si="8">SUM(H5:H11)</f>
        <v>125.9803125</v>
      </c>
      <c r="I13" s="30">
        <f t="shared" si="8"/>
        <v>125.90593749999999</v>
      </c>
      <c r="J13" s="30">
        <f t="shared" si="8"/>
        <v>125.050625</v>
      </c>
      <c r="K13" s="30">
        <f t="shared" si="8"/>
        <v>124.97624999999999</v>
      </c>
      <c r="L13" s="30">
        <f t="shared" si="8"/>
        <v>124.901875</v>
      </c>
      <c r="M13" s="30">
        <f t="shared" si="8"/>
        <v>124.8275</v>
      </c>
      <c r="N13" s="30">
        <f t="shared" si="8"/>
        <v>151.00312500000001</v>
      </c>
      <c r="O13" s="30">
        <f t="shared" si="8"/>
        <v>150.92875000000001</v>
      </c>
      <c r="P13" s="30">
        <f t="shared" si="8"/>
        <v>150.89156249999999</v>
      </c>
      <c r="Q13" s="30">
        <f t="shared" si="8"/>
        <v>136.07343750000001</v>
      </c>
      <c r="R13" s="30">
        <f t="shared" si="8"/>
        <v>136.07343750000001</v>
      </c>
      <c r="S13" s="30">
        <f t="shared" si="8"/>
        <v>136.07343750000001</v>
      </c>
      <c r="T13" s="30">
        <f t="shared" si="8"/>
        <v>136.07343750000001</v>
      </c>
      <c r="U13" s="30">
        <f t="shared" si="8"/>
        <v>129.07343750000001</v>
      </c>
      <c r="V13" s="30">
        <f t="shared" si="8"/>
        <v>129.07343750000001</v>
      </c>
      <c r="W13" s="30">
        <f t="shared" si="8"/>
        <v>129.07343750000001</v>
      </c>
      <c r="X13" s="30">
        <f t="shared" si="8"/>
        <v>128.2553125</v>
      </c>
      <c r="Y13" s="30">
        <f t="shared" si="8"/>
        <v>128.2553125</v>
      </c>
      <c r="Z13" s="30">
        <f t="shared" si="8"/>
        <v>102.0053125</v>
      </c>
      <c r="AA13" s="30">
        <f t="shared" si="8"/>
        <v>123.0053125</v>
      </c>
      <c r="AB13" s="30">
        <f t="shared" si="8"/>
        <v>123.0053125</v>
      </c>
      <c r="AC13" s="30">
        <f t="shared" si="8"/>
        <v>126.0175</v>
      </c>
      <c r="AD13" s="30">
        <f t="shared" si="8"/>
        <v>126.0175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lot2</v>
      </c>
      <c r="AV16" s="178">
        <f t="shared" si="9"/>
        <v>0</v>
      </c>
      <c r="AW16" s="178">
        <f t="shared" si="9"/>
        <v>0</v>
      </c>
      <c r="AX16" s="178">
        <f t="shared" si="9"/>
        <v>0</v>
      </c>
      <c r="AY16" s="178">
        <f t="shared" si="9"/>
        <v>0</v>
      </c>
      <c r="AZ16" s="178">
        <f t="shared" si="9"/>
        <v>0</v>
      </c>
      <c r="BA16" s="178">
        <f t="shared" si="9"/>
        <v>0</v>
      </c>
      <c r="BB16" s="178">
        <f t="shared" si="9"/>
        <v>0</v>
      </c>
      <c r="BC16" s="178">
        <f t="shared" si="9"/>
        <v>0</v>
      </c>
      <c r="BD16" s="178">
        <f t="shared" si="9"/>
        <v>0</v>
      </c>
      <c r="BE16" s="178">
        <f t="shared" si="9"/>
        <v>0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0</v>
      </c>
      <c r="BQ16" s="178">
        <f t="shared" si="9"/>
        <v>0</v>
      </c>
      <c r="BR16" s="178">
        <f t="shared" si="9"/>
        <v>0</v>
      </c>
      <c r="BS16" s="178">
        <f t="shared" si="9"/>
        <v>0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Broutards</v>
      </c>
      <c r="CB18" s="178">
        <f t="shared" si="11"/>
        <v>1</v>
      </c>
      <c r="CC18" s="178">
        <f t="shared" si="11"/>
        <v>1</v>
      </c>
      <c r="CD18" s="178">
        <f t="shared" si="11"/>
        <v>1</v>
      </c>
      <c r="CE18" s="178">
        <f t="shared" si="11"/>
        <v>1</v>
      </c>
      <c r="CF18" s="178">
        <f t="shared" si="11"/>
        <v>1</v>
      </c>
      <c r="CG18" s="178">
        <f t="shared" si="11"/>
        <v>1</v>
      </c>
      <c r="CH18" s="178">
        <f t="shared" si="11"/>
        <v>1</v>
      </c>
      <c r="CI18" s="178">
        <f t="shared" si="11"/>
        <v>1</v>
      </c>
      <c r="CJ18" s="178">
        <f t="shared" si="11"/>
        <v>1</v>
      </c>
      <c r="CK18" s="178">
        <f t="shared" si="11"/>
        <v>1</v>
      </c>
      <c r="CL18" s="178">
        <f t="shared" si="11"/>
        <v>1</v>
      </c>
      <c r="CM18" s="178">
        <f t="shared" si="11"/>
        <v>1</v>
      </c>
      <c r="CN18" s="178">
        <f t="shared" si="11"/>
        <v>1</v>
      </c>
      <c r="CO18" s="178">
        <f t="shared" si="11"/>
        <v>1</v>
      </c>
      <c r="CP18" s="178">
        <f t="shared" si="11"/>
        <v>1</v>
      </c>
      <c r="CQ18" s="178">
        <f t="shared" si="11"/>
        <v>1</v>
      </c>
      <c r="CR18" s="178">
        <f t="shared" si="11"/>
        <v>1</v>
      </c>
      <c r="CS18" s="178">
        <f t="shared" si="11"/>
        <v>1</v>
      </c>
      <c r="CT18" s="178">
        <f t="shared" si="11"/>
        <v>1</v>
      </c>
      <c r="CU18" s="178">
        <f t="shared" si="11"/>
        <v>1</v>
      </c>
      <c r="CV18" s="178">
        <f t="shared" si="11"/>
        <v>1</v>
      </c>
      <c r="CW18" s="178">
        <f t="shared" si="11"/>
        <v>1</v>
      </c>
      <c r="CX18" s="178">
        <f t="shared" si="11"/>
        <v>1</v>
      </c>
      <c r="CY18" s="178">
        <f t="shared" si="11"/>
        <v>1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 + vides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1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1</v>
      </c>
      <c r="BQ19" s="178">
        <f t="shared" si="9"/>
        <v>1</v>
      </c>
      <c r="BR19" s="178">
        <f t="shared" si="9"/>
        <v>1</v>
      </c>
      <c r="BS19" s="178">
        <f t="shared" si="9"/>
        <v>1</v>
      </c>
      <c r="BZ19" s="192" t="str">
        <f t="shared" si="10"/>
        <v>génisses &lt; 1 an</v>
      </c>
      <c r="CB19" s="178">
        <f t="shared" si="11"/>
        <v>1</v>
      </c>
      <c r="CC19" s="178">
        <f t="shared" si="11"/>
        <v>1</v>
      </c>
      <c r="CD19" s="178">
        <f t="shared" si="11"/>
        <v>1</v>
      </c>
      <c r="CE19" s="178">
        <f t="shared" si="11"/>
        <v>1</v>
      </c>
      <c r="CF19" s="178">
        <f t="shared" si="11"/>
        <v>1</v>
      </c>
      <c r="CG19" s="178">
        <f t="shared" si="11"/>
        <v>1</v>
      </c>
      <c r="CH19" s="178">
        <f t="shared" si="11"/>
        <v>1</v>
      </c>
      <c r="CI19" s="178">
        <f t="shared" si="11"/>
        <v>1</v>
      </c>
      <c r="CJ19" s="178">
        <f t="shared" si="11"/>
        <v>1</v>
      </c>
      <c r="CK19" s="178">
        <f t="shared" si="11"/>
        <v>1</v>
      </c>
      <c r="CL19" s="178">
        <f t="shared" si="11"/>
        <v>1</v>
      </c>
      <c r="CM19" s="178">
        <f t="shared" si="11"/>
        <v>1</v>
      </c>
      <c r="CN19" s="178">
        <f t="shared" si="11"/>
        <v>1</v>
      </c>
      <c r="CO19" s="178">
        <f t="shared" si="11"/>
        <v>1</v>
      </c>
      <c r="CP19" s="178">
        <f t="shared" si="11"/>
        <v>1</v>
      </c>
      <c r="CQ19" s="178">
        <f t="shared" si="11"/>
        <v>1</v>
      </c>
      <c r="CR19" s="178">
        <f t="shared" si="11"/>
        <v>1</v>
      </c>
      <c r="CS19" s="178">
        <f t="shared" si="11"/>
        <v>1</v>
      </c>
      <c r="CT19" s="178">
        <f t="shared" si="11"/>
        <v>1</v>
      </c>
      <c r="CU19" s="178">
        <f t="shared" si="11"/>
        <v>1</v>
      </c>
      <c r="CV19" s="178">
        <f t="shared" si="11"/>
        <v>1</v>
      </c>
      <c r="CW19" s="178">
        <f t="shared" si="11"/>
        <v>1</v>
      </c>
      <c r="CX19" s="178">
        <f t="shared" si="11"/>
        <v>1</v>
      </c>
      <c r="CY19" s="178">
        <f t="shared" si="11"/>
        <v>1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lot2</v>
      </c>
      <c r="AU27" s="195" t="str">
        <f>Scénario!K97</f>
        <v>fort</v>
      </c>
      <c r="AV27" s="178">
        <f t="shared" si="17"/>
        <v>2</v>
      </c>
      <c r="AW27" s="178">
        <f t="shared" si="17"/>
        <v>2</v>
      </c>
      <c r="AX27" s="178">
        <f t="shared" si="17"/>
        <v>2</v>
      </c>
      <c r="AY27" s="178">
        <f t="shared" si="17"/>
        <v>2</v>
      </c>
      <c r="AZ27" s="178">
        <f t="shared" si="17"/>
        <v>2</v>
      </c>
      <c r="BA27" s="178">
        <f t="shared" si="17"/>
        <v>2</v>
      </c>
      <c r="BB27" s="178">
        <f t="shared" si="17"/>
        <v>2</v>
      </c>
      <c r="BC27" s="178">
        <f t="shared" si="17"/>
        <v>2</v>
      </c>
      <c r="BD27" s="178">
        <f t="shared" si="17"/>
        <v>2</v>
      </c>
      <c r="BE27" s="178">
        <f t="shared" si="17"/>
        <v>2</v>
      </c>
      <c r="BF27" s="178">
        <f t="shared" si="17"/>
        <v>2</v>
      </c>
      <c r="BG27" s="178">
        <f t="shared" si="17"/>
        <v>2</v>
      </c>
      <c r="BH27" s="178">
        <f t="shared" si="17"/>
        <v>2</v>
      </c>
      <c r="BI27" s="178">
        <f t="shared" si="17"/>
        <v>2</v>
      </c>
      <c r="BJ27" s="178">
        <f t="shared" si="17"/>
        <v>2</v>
      </c>
      <c r="BK27" s="178">
        <f t="shared" si="17"/>
        <v>2</v>
      </c>
      <c r="BL27" s="178">
        <f t="shared" si="18"/>
        <v>2</v>
      </c>
      <c r="BM27" s="178">
        <f t="shared" si="18"/>
        <v>2</v>
      </c>
      <c r="BN27" s="178">
        <f t="shared" si="18"/>
        <v>2</v>
      </c>
      <c r="BO27" s="178">
        <f t="shared" si="18"/>
        <v>2</v>
      </c>
      <c r="BP27" s="178">
        <f t="shared" si="18"/>
        <v>2</v>
      </c>
      <c r="BQ27" s="178">
        <f t="shared" si="18"/>
        <v>2</v>
      </c>
      <c r="BR27" s="178">
        <f t="shared" si="18"/>
        <v>2</v>
      </c>
      <c r="BS27" s="178">
        <f t="shared" si="18"/>
        <v>2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fort</v>
      </c>
      <c r="AV29" s="178">
        <f t="shared" si="17"/>
        <v>2</v>
      </c>
      <c r="AW29" s="178">
        <f t="shared" si="17"/>
        <v>2</v>
      </c>
      <c r="AX29" s="178">
        <f t="shared" si="17"/>
        <v>2</v>
      </c>
      <c r="AY29" s="178">
        <f t="shared" si="17"/>
        <v>2</v>
      </c>
      <c r="AZ29" s="178">
        <f t="shared" si="17"/>
        <v>2</v>
      </c>
      <c r="BA29" s="178">
        <f t="shared" si="17"/>
        <v>2</v>
      </c>
      <c r="BB29" s="178">
        <f t="shared" si="17"/>
        <v>2</v>
      </c>
      <c r="BC29" s="178">
        <f t="shared" si="17"/>
        <v>2</v>
      </c>
      <c r="BD29" s="178">
        <f t="shared" si="17"/>
        <v>2</v>
      </c>
      <c r="BE29" s="178">
        <f t="shared" si="17"/>
        <v>2</v>
      </c>
      <c r="BF29" s="178">
        <f t="shared" si="17"/>
        <v>2</v>
      </c>
      <c r="BG29" s="178">
        <f t="shared" si="17"/>
        <v>2</v>
      </c>
      <c r="BH29" s="178">
        <f t="shared" si="17"/>
        <v>2</v>
      </c>
      <c r="BI29" s="178">
        <f t="shared" si="17"/>
        <v>2</v>
      </c>
      <c r="BJ29" s="178">
        <f t="shared" si="17"/>
        <v>2</v>
      </c>
      <c r="BK29" s="178">
        <f t="shared" si="17"/>
        <v>2</v>
      </c>
      <c r="BL29" s="178">
        <f t="shared" si="18"/>
        <v>2</v>
      </c>
      <c r="BM29" s="178">
        <f t="shared" si="18"/>
        <v>2</v>
      </c>
      <c r="BN29" s="178">
        <f t="shared" si="18"/>
        <v>2</v>
      </c>
      <c r="BO29" s="178">
        <f t="shared" si="18"/>
        <v>2</v>
      </c>
      <c r="BP29" s="178">
        <f t="shared" si="18"/>
        <v>2</v>
      </c>
      <c r="BQ29" s="178">
        <f t="shared" si="18"/>
        <v>2</v>
      </c>
      <c r="BR29" s="178">
        <f t="shared" si="18"/>
        <v>2</v>
      </c>
      <c r="BS29" s="178">
        <f t="shared" si="18"/>
        <v>2</v>
      </c>
      <c r="BZ29" s="192" t="str">
        <f t="shared" si="19"/>
        <v>Broutards</v>
      </c>
      <c r="CA29" s="195" t="str">
        <f>Scénario!K109</f>
        <v>fort</v>
      </c>
      <c r="CB29" s="178">
        <f t="shared" si="23"/>
        <v>2</v>
      </c>
      <c r="CC29" s="178">
        <f t="shared" si="20"/>
        <v>2</v>
      </c>
      <c r="CD29" s="178">
        <f t="shared" si="20"/>
        <v>2</v>
      </c>
      <c r="CE29" s="178">
        <f t="shared" si="20"/>
        <v>2</v>
      </c>
      <c r="CF29" s="178">
        <f t="shared" si="20"/>
        <v>2</v>
      </c>
      <c r="CG29" s="178">
        <f t="shared" si="20"/>
        <v>2</v>
      </c>
      <c r="CH29" s="178">
        <f t="shared" si="20"/>
        <v>2</v>
      </c>
      <c r="CI29" s="178">
        <f t="shared" si="20"/>
        <v>2</v>
      </c>
      <c r="CJ29" s="178">
        <f t="shared" si="20"/>
        <v>2</v>
      </c>
      <c r="CK29" s="178">
        <f t="shared" si="20"/>
        <v>2</v>
      </c>
      <c r="CL29" s="178">
        <f t="shared" si="20"/>
        <v>2</v>
      </c>
      <c r="CM29" s="178">
        <f t="shared" si="20"/>
        <v>2</v>
      </c>
      <c r="CN29" s="178">
        <f t="shared" si="20"/>
        <v>2</v>
      </c>
      <c r="CO29" s="178">
        <f t="shared" si="20"/>
        <v>2</v>
      </c>
      <c r="CP29" s="178">
        <f t="shared" si="20"/>
        <v>2</v>
      </c>
      <c r="CQ29" s="178">
        <f t="shared" si="20"/>
        <v>2</v>
      </c>
      <c r="CR29" s="178">
        <f t="shared" si="20"/>
        <v>2</v>
      </c>
      <c r="CS29" s="178">
        <f t="shared" si="20"/>
        <v>2</v>
      </c>
      <c r="CT29" s="178">
        <f t="shared" si="20"/>
        <v>2</v>
      </c>
      <c r="CU29" s="178">
        <f t="shared" si="20"/>
        <v>2</v>
      </c>
      <c r="CV29" s="178">
        <f t="shared" si="20"/>
        <v>2</v>
      </c>
      <c r="CW29" s="178">
        <f t="shared" si="20"/>
        <v>2</v>
      </c>
      <c r="CX29" s="178">
        <f t="shared" si="20"/>
        <v>2</v>
      </c>
      <c r="CY29" s="178">
        <f t="shared" si="20"/>
        <v>2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 + vides</v>
      </c>
      <c r="AU30" s="195" t="str">
        <f>Scénario!K100</f>
        <v>fort</v>
      </c>
      <c r="AV30" s="178">
        <f t="shared" si="17"/>
        <v>2</v>
      </c>
      <c r="AW30" s="178">
        <f t="shared" si="17"/>
        <v>2</v>
      </c>
      <c r="AX30" s="178">
        <f t="shared" si="17"/>
        <v>2</v>
      </c>
      <c r="AY30" s="178">
        <f t="shared" si="17"/>
        <v>2</v>
      </c>
      <c r="AZ30" s="178">
        <f t="shared" si="17"/>
        <v>2</v>
      </c>
      <c r="BA30" s="178">
        <f t="shared" si="17"/>
        <v>2</v>
      </c>
      <c r="BB30" s="178">
        <f t="shared" si="17"/>
        <v>2</v>
      </c>
      <c r="BC30" s="178">
        <f t="shared" si="17"/>
        <v>2</v>
      </c>
      <c r="BD30" s="178">
        <f t="shared" si="17"/>
        <v>2</v>
      </c>
      <c r="BE30" s="178">
        <f t="shared" si="17"/>
        <v>2</v>
      </c>
      <c r="BF30" s="178">
        <f t="shared" si="17"/>
        <v>2</v>
      </c>
      <c r="BG30" s="178">
        <f t="shared" si="17"/>
        <v>2</v>
      </c>
      <c r="BH30" s="178">
        <f t="shared" si="17"/>
        <v>2</v>
      </c>
      <c r="BI30" s="178">
        <f t="shared" si="17"/>
        <v>2</v>
      </c>
      <c r="BJ30" s="178">
        <f t="shared" si="17"/>
        <v>2</v>
      </c>
      <c r="BK30" s="178">
        <f t="shared" si="17"/>
        <v>2</v>
      </c>
      <c r="BL30" s="178">
        <f t="shared" si="18"/>
        <v>2</v>
      </c>
      <c r="BM30" s="178">
        <f t="shared" si="18"/>
        <v>2</v>
      </c>
      <c r="BN30" s="178">
        <f t="shared" si="18"/>
        <v>2</v>
      </c>
      <c r="BO30" s="178">
        <f t="shared" si="18"/>
        <v>2</v>
      </c>
      <c r="BP30" s="178">
        <f t="shared" si="18"/>
        <v>2</v>
      </c>
      <c r="BQ30" s="178">
        <f t="shared" si="18"/>
        <v>2</v>
      </c>
      <c r="BR30" s="178">
        <f t="shared" si="18"/>
        <v>2</v>
      </c>
      <c r="BS30" s="178">
        <f t="shared" si="18"/>
        <v>2</v>
      </c>
      <c r="BZ30" s="192" t="str">
        <f t="shared" si="19"/>
        <v>génisses &lt; 1 an</v>
      </c>
      <c r="CA30" s="195" t="str">
        <f>Scénario!K110</f>
        <v>fort</v>
      </c>
      <c r="CB30" s="178">
        <f t="shared" si="23"/>
        <v>2</v>
      </c>
      <c r="CC30" s="178">
        <f t="shared" si="20"/>
        <v>2</v>
      </c>
      <c r="CD30" s="178">
        <f t="shared" si="20"/>
        <v>2</v>
      </c>
      <c r="CE30" s="178">
        <f t="shared" si="20"/>
        <v>2</v>
      </c>
      <c r="CF30" s="178">
        <f t="shared" si="20"/>
        <v>2</v>
      </c>
      <c r="CG30" s="178">
        <f t="shared" si="20"/>
        <v>2</v>
      </c>
      <c r="CH30" s="178">
        <f t="shared" si="20"/>
        <v>2</v>
      </c>
      <c r="CI30" s="178">
        <f t="shared" si="20"/>
        <v>2</v>
      </c>
      <c r="CJ30" s="178">
        <f t="shared" si="20"/>
        <v>2</v>
      </c>
      <c r="CK30" s="178">
        <f t="shared" si="20"/>
        <v>2</v>
      </c>
      <c r="CL30" s="178">
        <f t="shared" si="20"/>
        <v>2</v>
      </c>
      <c r="CM30" s="178">
        <f t="shared" si="20"/>
        <v>2</v>
      </c>
      <c r="CN30" s="178">
        <f t="shared" si="20"/>
        <v>2</v>
      </c>
      <c r="CO30" s="178">
        <f t="shared" si="20"/>
        <v>2</v>
      </c>
      <c r="CP30" s="178">
        <f t="shared" si="20"/>
        <v>2</v>
      </c>
      <c r="CQ30" s="178">
        <f t="shared" si="20"/>
        <v>2</v>
      </c>
      <c r="CR30" s="178">
        <f t="shared" si="20"/>
        <v>2</v>
      </c>
      <c r="CS30" s="178">
        <f t="shared" si="20"/>
        <v>2</v>
      </c>
      <c r="CT30" s="178">
        <f t="shared" si="20"/>
        <v>2</v>
      </c>
      <c r="CU30" s="178">
        <f t="shared" si="20"/>
        <v>2</v>
      </c>
      <c r="CV30" s="178">
        <f t="shared" si="20"/>
        <v>2</v>
      </c>
      <c r="CW30" s="178">
        <f t="shared" si="20"/>
        <v>2</v>
      </c>
      <c r="CX30" s="178">
        <f t="shared" si="20"/>
        <v>2</v>
      </c>
      <c r="CY30" s="178">
        <f t="shared" si="20"/>
        <v>2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2</v>
      </c>
      <c r="AW37" s="178">
        <f>IF(CdTrp1!C52=1,3,IF(CdTrp1!C52=0.5,2,IF(CdTrp1!C52=0,1,0)))</f>
        <v>2</v>
      </c>
      <c r="AX37" s="178">
        <f>IF(CdTrp1!D52=1,3,IF(CdTrp1!D52=0.5,2,IF(CdTrp1!D52=0,1,0)))</f>
        <v>2</v>
      </c>
      <c r="AY37" s="178">
        <f>IF(CdTrp1!E52=1,3,IF(CdTrp1!E52=0.5,2,IF(CdTrp1!E52=0,1,0)))</f>
        <v>2</v>
      </c>
      <c r="AZ37" s="178">
        <f>IF(CdTrp1!F52=1,3,IF(CdTrp1!F52=0.5,2,IF(CdTrp1!F52=0,1,0)))</f>
        <v>2</v>
      </c>
      <c r="BA37" s="178">
        <f>IF(CdTrp1!G52=1,3,IF(CdTrp1!G52=0.5,2,IF(CdTrp1!G52=0,1,0)))</f>
        <v>2</v>
      </c>
      <c r="BB37" s="178">
        <f>IF(CdTrp1!H52=1,3,IF(CdTrp1!H52=0.5,2,IF(CdTrp1!H52=0,1,0)))</f>
        <v>2</v>
      </c>
      <c r="BC37" s="178">
        <f>IF(CdTrp1!I52=1,3,IF(CdTrp1!I52=0.5,2,IF(CdTrp1!I52=0,1,0)))</f>
        <v>2</v>
      </c>
      <c r="BD37" s="178">
        <f>IF(CdTrp1!J52=1,3,IF(CdTrp1!J52=0.5,2,IF(CdTrp1!J52=0,1,0)))</f>
        <v>2</v>
      </c>
      <c r="BE37" s="178">
        <f>IF(CdTrp1!K52=1,3,IF(CdTrp1!K52=0.5,2,IF(CdTrp1!K52=0,1,0)))</f>
        <v>2</v>
      </c>
      <c r="BF37" s="178">
        <f>IF(CdTrp1!L52=1,3,IF(CdTrp1!L52=0.5,2,IF(CdTrp1!L52=0,1,0)))</f>
        <v>2</v>
      </c>
      <c r="BG37" s="178">
        <f>IF(CdTrp1!M52=1,3,IF(CdTrp1!M52=0.5,2,IF(CdTrp1!M52=0,1,0)))</f>
        <v>2</v>
      </c>
      <c r="BH37" s="178">
        <f>IF(CdTrp1!N52=1,3,IF(CdTrp1!N52=0.5,2,IF(CdTrp1!N52=0,1,0)))</f>
        <v>2</v>
      </c>
      <c r="BI37" s="178">
        <f>IF(CdTrp1!O52=1,3,IF(CdTrp1!O52=0.5,2,IF(CdTrp1!O52=0,1,0)))</f>
        <v>2</v>
      </c>
      <c r="BJ37" s="178">
        <f>IF(CdTrp1!P52=1,3,IF(CdTrp1!P52=0.5,2,IF(CdTrp1!P52=0,1,0)))</f>
        <v>2</v>
      </c>
      <c r="BK37" s="178">
        <f>IF(CdTrp1!Q52=1,3,IF(CdTrp1!Q52=0.5,2,IF(CdTrp1!Q52=0,1,0)))</f>
        <v>2</v>
      </c>
      <c r="BL37" s="178">
        <f>IF(CdTrp1!R52=1,3,IF(CdTrp1!R52=0.5,2,IF(CdTrp1!R52=0,1,0)))</f>
        <v>2</v>
      </c>
      <c r="BM37" s="178">
        <f>IF(CdTrp1!S52=1,3,IF(CdTrp1!S52=0.5,2,IF(CdTrp1!S52=0,1,0)))</f>
        <v>2</v>
      </c>
      <c r="BN37" s="178">
        <f>IF(CdTrp1!T52=1,3,IF(CdTrp1!T52=0.5,2,IF(CdTrp1!T52=0,1,0)))</f>
        <v>2</v>
      </c>
      <c r="BO37" s="178">
        <f>IF(CdTrp1!U52=1,3,IF(CdTrp1!U52=0.5,2,IF(CdTrp1!U52=0,1,0)))</f>
        <v>2</v>
      </c>
      <c r="BP37" s="178">
        <f>IF(CdTrp1!V52=1,3,IF(CdTrp1!V52=0.5,2,IF(CdTrp1!V52=0,1,0)))</f>
        <v>2</v>
      </c>
      <c r="BQ37" s="178">
        <f>IF(CdTrp1!W52=1,3,IF(CdTrp1!W52=0.5,2,IF(CdTrp1!W52=0,1,0)))</f>
        <v>2</v>
      </c>
      <c r="BR37" s="178">
        <f>IF(CdTrp1!X52=1,3,IF(CdTrp1!X52=0.5,2,IF(CdTrp1!X52=0,1,0)))</f>
        <v>2</v>
      </c>
      <c r="BS37" s="178">
        <f>IF(CdTrp1!Y52=1,3,IF(CdTrp1!Y52=0.5,2,IF(CdTrp1!Y52=0,1,0)))</f>
        <v>2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1</v>
      </c>
      <c r="CJ37" s="178">
        <f>IF(CdTrp2!J52=1,3,IF(CdTrp2!J52=0.5,2,IF(CdTrp2!J52=0,1,0)))</f>
        <v>1</v>
      </c>
      <c r="CK37" s="178">
        <f>IF(CdTrp2!K52=1,3,IF(CdTrp2!K52=0.5,2,IF(CdTrp2!K52=0,1,0)))</f>
        <v>1</v>
      </c>
      <c r="CL37" s="178">
        <f>IF(CdTrp2!L52=1,3,IF(CdTrp2!L52=0.5,2,IF(CdTrp2!L52=0,1,0)))</f>
        <v>1</v>
      </c>
      <c r="CM37" s="178">
        <f>IF(CdTrp2!M52=1,3,IF(CdTrp2!M52=0.5,2,IF(CdTrp2!M52=0,1,0)))</f>
        <v>1</v>
      </c>
      <c r="CN37" s="178">
        <f>IF(CdTrp2!N52=1,3,IF(CdTrp2!N52=0.5,2,IF(CdTrp2!N52=0,1,0)))</f>
        <v>1</v>
      </c>
      <c r="CO37" s="178">
        <f>IF(CdTrp2!O52=1,3,IF(CdTrp2!O52=0.5,2,IF(CdTrp2!O52=0,1,0)))</f>
        <v>1</v>
      </c>
      <c r="CP37" s="178">
        <f>IF(CdTrp2!P52=1,3,IF(CdTrp2!P52=0.5,2,IF(CdTrp2!P52=0,1,0)))</f>
        <v>1</v>
      </c>
      <c r="CQ37" s="178">
        <f>IF(CdTrp2!Q52=1,3,IF(CdTrp2!Q52=0.5,2,IF(CdTrp2!Q52=0,1,0)))</f>
        <v>1</v>
      </c>
      <c r="CR37" s="178">
        <f>IF(CdTrp2!R52=1,3,IF(CdTrp2!R52=0.5,2,IF(CdTrp2!R52=0,1,0)))</f>
        <v>1</v>
      </c>
      <c r="CS37" s="178">
        <f>IF(CdTrp2!S52=1,3,IF(CdTrp2!S52=0.5,2,IF(CdTrp2!S52=0,1,0)))</f>
        <v>1</v>
      </c>
      <c r="CT37" s="178">
        <f>IF(CdTrp2!T52=1,3,IF(CdTrp2!T52=0.5,2,IF(CdTrp2!T52=0,1,0)))</f>
        <v>1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lot2</v>
      </c>
      <c r="AU38" s="32"/>
      <c r="AV38" s="178">
        <f>IF(CdTrp1!B53=1,3,IF(CdTrp1!B53=0.5,2,IF(CdTrp1!B53=0,1,0)))</f>
        <v>1</v>
      </c>
      <c r="AW38" s="178">
        <f>IF(CdTrp1!C53=1,3,IF(CdTrp1!C53=0.5,2,IF(CdTrp1!C53=0,1,0)))</f>
        <v>1</v>
      </c>
      <c r="AX38" s="178">
        <f>IF(CdTrp1!D53=1,3,IF(CdTrp1!D53=0.5,2,IF(CdTrp1!D53=0,1,0)))</f>
        <v>1</v>
      </c>
      <c r="AY38" s="178">
        <f>IF(CdTrp1!E53=1,3,IF(CdTrp1!E53=0.5,2,IF(CdTrp1!E53=0,1,0)))</f>
        <v>1</v>
      </c>
      <c r="AZ38" s="178">
        <f>IF(CdTrp1!F53=1,3,IF(CdTrp1!F53=0.5,2,IF(CdTrp1!F53=0,1,0)))</f>
        <v>1</v>
      </c>
      <c r="BA38" s="178">
        <f>IF(CdTrp1!G53=1,3,IF(CdTrp1!G53=0.5,2,IF(CdTrp1!G53=0,1,0)))</f>
        <v>1</v>
      </c>
      <c r="BB38" s="178">
        <f>IF(CdTrp1!H53=1,3,IF(CdTrp1!H53=0.5,2,IF(CdTrp1!H53=0,1,0)))</f>
        <v>1</v>
      </c>
      <c r="BC38" s="178">
        <f>IF(CdTrp1!I53=1,3,IF(CdTrp1!I53=0.5,2,IF(CdTrp1!I53=0,1,0)))</f>
        <v>1</v>
      </c>
      <c r="BD38" s="178">
        <f>IF(CdTrp1!J53=1,3,IF(CdTrp1!J53=0.5,2,IF(CdTrp1!J53=0,1,0)))</f>
        <v>1</v>
      </c>
      <c r="BE38" s="178">
        <f>IF(CdTrp1!K53=1,3,IF(CdTrp1!K53=0.5,2,IF(CdTrp1!K53=0,1,0)))</f>
        <v>1</v>
      </c>
      <c r="BF38" s="178">
        <f>IF(CdTrp1!L53=1,3,IF(CdTrp1!L53=0.5,2,IF(CdTrp1!L53=0,1,0)))</f>
        <v>1</v>
      </c>
      <c r="BG38" s="178">
        <f>IF(CdTrp1!M53=1,3,IF(CdTrp1!M53=0.5,2,IF(CdTrp1!M53=0,1,0)))</f>
        <v>1</v>
      </c>
      <c r="BH38" s="178">
        <f>IF(CdTrp1!N53=1,3,IF(CdTrp1!N53=0.5,2,IF(CdTrp1!N53=0,1,0)))</f>
        <v>1</v>
      </c>
      <c r="BI38" s="178">
        <f>IF(CdTrp1!O53=1,3,IF(CdTrp1!O53=0.5,2,IF(CdTrp1!O53=0,1,0)))</f>
        <v>1</v>
      </c>
      <c r="BJ38" s="178">
        <f>IF(CdTrp1!P53=1,3,IF(CdTrp1!P53=0.5,2,IF(CdTrp1!P53=0,1,0)))</f>
        <v>1</v>
      </c>
      <c r="BK38" s="178">
        <f>IF(CdTrp1!Q53=1,3,IF(CdTrp1!Q53=0.5,2,IF(CdTrp1!Q53=0,1,0)))</f>
        <v>1</v>
      </c>
      <c r="BL38" s="178">
        <f>IF(CdTrp1!R53=1,3,IF(CdTrp1!R53=0.5,2,IF(CdTrp1!R53=0,1,0)))</f>
        <v>1</v>
      </c>
      <c r="BM38" s="178">
        <f>IF(CdTrp1!S53=1,3,IF(CdTrp1!S53=0.5,2,IF(CdTrp1!S53=0,1,0)))</f>
        <v>1</v>
      </c>
      <c r="BN38" s="178">
        <f>IF(CdTrp1!T53=1,3,IF(CdTrp1!T53=0.5,2,IF(CdTrp1!T53=0,1,0)))</f>
        <v>1</v>
      </c>
      <c r="BO38" s="178">
        <f>IF(CdTrp1!U53=1,3,IF(CdTrp1!U53=0.5,2,IF(CdTrp1!U53=0,1,0)))</f>
        <v>1</v>
      </c>
      <c r="BP38" s="178">
        <f>IF(CdTrp1!V53=1,3,IF(CdTrp1!V53=0.5,2,IF(CdTrp1!V53=0,1,0)))</f>
        <v>1</v>
      </c>
      <c r="BQ38" s="178">
        <f>IF(CdTrp1!W53=1,3,IF(CdTrp1!W53=0.5,2,IF(CdTrp1!W53=0,1,0)))</f>
        <v>1</v>
      </c>
      <c r="BR38" s="178">
        <f>IF(CdTrp1!X53=1,3,IF(CdTrp1!X53=0.5,2,IF(CdTrp1!X53=0,1,0)))</f>
        <v>1</v>
      </c>
      <c r="BS38" s="178">
        <f>IF(CdTrp1!Y53=1,3,IF(CdTrp1!Y53=0.5,2,IF(CdTrp1!Y53=0,1,0)))</f>
        <v>1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2</v>
      </c>
      <c r="CJ38" s="178">
        <f>IF(CdTrp2!J53=1,3,IF(CdTrp2!J53=0.5,2,IF(CdTrp2!J53=0,1,0)))</f>
        <v>2</v>
      </c>
      <c r="CK38" s="178">
        <f>IF(CdTrp2!K53=1,3,IF(CdTrp2!K53=0.5,2,IF(CdTrp2!K53=0,1,0)))</f>
        <v>2</v>
      </c>
      <c r="CL38" s="178">
        <f>IF(CdTrp2!L53=1,3,IF(CdTrp2!L53=0.5,2,IF(CdTrp2!L53=0,1,0)))</f>
        <v>2</v>
      </c>
      <c r="CM38" s="178">
        <f>IF(CdTrp2!M53=1,3,IF(CdTrp2!M53=0.5,2,IF(CdTrp2!M53=0,1,0)))</f>
        <v>2</v>
      </c>
      <c r="CN38" s="178">
        <f>IF(CdTrp2!N53=1,3,IF(CdTrp2!N53=0.5,2,IF(CdTrp2!N53=0,1,0)))</f>
        <v>2</v>
      </c>
      <c r="CO38" s="178">
        <f>IF(CdTrp2!O53=1,3,IF(CdTrp2!O53=0.5,2,IF(CdTrp2!O53=0,1,0)))</f>
        <v>2</v>
      </c>
      <c r="CP38" s="178">
        <f>IF(CdTrp2!P53=1,3,IF(CdTrp2!P53=0.5,2,IF(CdTrp2!P53=0,1,0)))</f>
        <v>2</v>
      </c>
      <c r="CQ38" s="178">
        <f>IF(CdTrp2!Q53=1,3,IF(CdTrp2!Q53=0.5,2,IF(CdTrp2!Q53=0,1,0)))</f>
        <v>2</v>
      </c>
      <c r="CR38" s="178">
        <f>IF(CdTrp2!R53=1,3,IF(CdTrp2!R53=0.5,2,IF(CdTrp2!R53=0,1,0)))</f>
        <v>2</v>
      </c>
      <c r="CS38" s="178">
        <f>IF(CdTrp2!S53=1,3,IF(CdTrp2!S53=0.5,2,IF(CdTrp2!S53=0,1,0)))</f>
        <v>2</v>
      </c>
      <c r="CT38" s="178">
        <f>IF(CdTrp2!T53=1,3,IF(CdTrp2!T53=0.5,2,IF(CdTrp2!T53=0,1,0)))</f>
        <v>2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2</v>
      </c>
      <c r="BK39" s="178">
        <f>IF(CdTrp1!Q54=1,3,IF(CdTrp1!Q54=0.5,2,IF(CdTrp1!Q54=0,1,0)))</f>
        <v>2</v>
      </c>
      <c r="BL39" s="178">
        <f>IF(CdTrp1!R54=1,3,IF(CdTrp1!R54=0.5,2,IF(CdTrp1!R54=0,1,0)))</f>
        <v>2</v>
      </c>
      <c r="BM39" s="178">
        <f>IF(CdTrp1!S54=1,3,IF(CdTrp1!S54=0.5,2,IF(CdTrp1!S54=0,1,0)))</f>
        <v>2</v>
      </c>
      <c r="BN39" s="178">
        <f>IF(CdTrp1!T54=1,3,IF(CdTrp1!T54=0.5,2,IF(CdTrp1!T54=0,1,0)))</f>
        <v>2</v>
      </c>
      <c r="BO39" s="178">
        <f>IF(CdTrp1!U54=1,3,IF(CdTrp1!U54=0.5,2,IF(CdTrp1!U54=0,1,0)))</f>
        <v>2</v>
      </c>
      <c r="BP39" s="178">
        <f>IF(CdTrp1!V54=1,3,IF(CdTrp1!V54=0.5,2,IF(CdTrp1!V54=0,1,0)))</f>
        <v>3</v>
      </c>
      <c r="BQ39" s="178">
        <f>IF(CdTrp1!W54=1,3,IF(CdTrp1!W54=0.5,2,IF(CdTrp1!W54=0,1,0)))</f>
        <v>3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2</v>
      </c>
      <c r="CJ39" s="178">
        <f>IF(CdTrp2!J54=1,3,IF(CdTrp2!J54=0.5,2,IF(CdTrp2!J54=0,1,0)))</f>
        <v>2</v>
      </c>
      <c r="CK39" s="178">
        <f>IF(CdTrp2!K54=1,3,IF(CdTrp2!K54=0.5,2,IF(CdTrp2!K54=0,1,0)))</f>
        <v>2</v>
      </c>
      <c r="CL39" s="178">
        <f>IF(CdTrp2!L54=1,3,IF(CdTrp2!L54=0.5,2,IF(CdTrp2!L54=0,1,0)))</f>
        <v>2</v>
      </c>
      <c r="CM39" s="178">
        <f>IF(CdTrp2!M54=1,3,IF(CdTrp2!M54=0.5,2,IF(CdTrp2!M54=0,1,0)))</f>
        <v>2</v>
      </c>
      <c r="CN39" s="178">
        <f>IF(CdTrp2!N54=1,3,IF(CdTrp2!N54=0.5,2,IF(CdTrp2!N54=0,1,0)))</f>
        <v>2</v>
      </c>
      <c r="CO39" s="178">
        <f>IF(CdTrp2!O54=1,3,IF(CdTrp2!O54=0.5,2,IF(CdTrp2!O54=0,1,0)))</f>
        <v>2</v>
      </c>
      <c r="CP39" s="178">
        <f>IF(CdTrp2!P54=1,3,IF(CdTrp2!P54=0.5,2,IF(CdTrp2!P54=0,1,0)))</f>
        <v>2</v>
      </c>
      <c r="CQ39" s="178">
        <f>IF(CdTrp2!Q54=1,3,IF(CdTrp2!Q54=0.5,2,IF(CdTrp2!Q54=0,1,0)))</f>
        <v>2</v>
      </c>
      <c r="CR39" s="178">
        <f>IF(CdTrp2!R54=1,3,IF(CdTrp2!R54=0.5,2,IF(CdTrp2!R54=0,1,0)))</f>
        <v>2</v>
      </c>
      <c r="CS39" s="178">
        <f>IF(CdTrp2!S54=1,3,IF(CdTrp2!S54=0.5,2,IF(CdTrp2!S54=0,1,0)))</f>
        <v>2</v>
      </c>
      <c r="CT39" s="178">
        <f>IF(CdTrp2!T54=1,3,IF(CdTrp2!T54=0.5,2,IF(CdTrp2!T54=0,1,0)))</f>
        <v>2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3</v>
      </c>
      <c r="AW40" s="178">
        <f>IF(CdTrp1!C55=1,3,IF(CdTrp1!C55=0.5,2,IF(CdTrp1!C55=0,1,0)))</f>
        <v>3</v>
      </c>
      <c r="AX40" s="178">
        <f>IF(CdTrp1!D55=1,3,IF(CdTrp1!D55=0.5,2,IF(CdTrp1!D55=0,1,0)))</f>
        <v>3</v>
      </c>
      <c r="AY40" s="178">
        <f>IF(CdTrp1!E55=1,3,IF(CdTrp1!E55=0.5,2,IF(CdTrp1!E55=0,1,0)))</f>
        <v>3</v>
      </c>
      <c r="AZ40" s="178">
        <f>IF(CdTrp1!F55=1,3,IF(CdTrp1!F55=0.5,2,IF(CdTrp1!F55=0,1,0)))</f>
        <v>3</v>
      </c>
      <c r="BA40" s="178">
        <f>IF(CdTrp1!G55=1,3,IF(CdTrp1!G55=0.5,2,IF(CdTrp1!G55=0,1,0)))</f>
        <v>3</v>
      </c>
      <c r="BB40" s="178">
        <f>IF(CdTrp1!H55=1,3,IF(CdTrp1!H55=0.5,2,IF(CdTrp1!H55=0,1,0)))</f>
        <v>3</v>
      </c>
      <c r="BC40" s="178">
        <f>IF(CdTrp1!I55=1,3,IF(CdTrp1!I55=0.5,2,IF(CdTrp1!I55=0,1,0)))</f>
        <v>3</v>
      </c>
      <c r="BD40" s="178">
        <f>IF(CdTrp1!J55=1,3,IF(CdTrp1!J55=0.5,2,IF(CdTrp1!J55=0,1,0)))</f>
        <v>3</v>
      </c>
      <c r="BE40" s="178">
        <f>IF(CdTrp1!K55=1,3,IF(CdTrp1!K55=0.5,2,IF(CdTrp1!K55=0,1,0)))</f>
        <v>3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3</v>
      </c>
      <c r="BQ40" s="178">
        <f>IF(CdTrp1!W55=1,3,IF(CdTrp1!W55=0.5,2,IF(CdTrp1!W55=0,1,0)))</f>
        <v>3</v>
      </c>
      <c r="BR40" s="178">
        <f>IF(CdTrp1!X55=1,3,IF(CdTrp1!X55=0.5,2,IF(CdTrp1!X55=0,1,0)))</f>
        <v>3</v>
      </c>
      <c r="BS40" s="178">
        <f>IF(CdTrp1!Y55=1,3,IF(CdTrp1!Y55=0.5,2,IF(CdTrp1!Y55=0,1,0)))</f>
        <v>3</v>
      </c>
      <c r="BZ40" s="192" t="str">
        <f t="shared" si="27"/>
        <v>Broutards</v>
      </c>
      <c r="CA40" s="32"/>
      <c r="CB40" s="178">
        <f>IF(CdTrp2!B55=1,3,IF(CdTrp2!B55=0.5,2,IF(CdTrp2!B55=0,1,0)))</f>
        <v>3</v>
      </c>
      <c r="CC40" s="178">
        <f>IF(CdTrp2!C55=1,3,IF(CdTrp2!C55=0.5,2,IF(CdTrp2!C55=0,1,0)))</f>
        <v>3</v>
      </c>
      <c r="CD40" s="178">
        <f>IF(CdTrp2!D55=1,3,IF(CdTrp2!D55=0.5,2,IF(CdTrp2!D55=0,1,0)))</f>
        <v>3</v>
      </c>
      <c r="CE40" s="178">
        <f>IF(CdTrp2!E55=1,3,IF(CdTrp2!E55=0.5,2,IF(CdTrp2!E55=0,1,0)))</f>
        <v>3</v>
      </c>
      <c r="CF40" s="178">
        <f>IF(CdTrp2!F55=1,3,IF(CdTrp2!F55=0.5,2,IF(CdTrp2!F55=0,1,0)))</f>
        <v>3</v>
      </c>
      <c r="CG40" s="178">
        <f>IF(CdTrp2!G55=1,3,IF(CdTrp2!G55=0.5,2,IF(CdTrp2!G55=0,1,0)))</f>
        <v>3</v>
      </c>
      <c r="CH40" s="178">
        <f>IF(CdTrp2!H55=1,3,IF(CdTrp2!H55=0.5,2,IF(CdTrp2!H55=0,1,0)))</f>
        <v>3</v>
      </c>
      <c r="CI40" s="178">
        <f>IF(CdTrp2!I55=1,3,IF(CdTrp2!I55=0.5,2,IF(CdTrp2!I55=0,1,0)))</f>
        <v>3</v>
      </c>
      <c r="CJ40" s="178">
        <f>IF(CdTrp2!J55=1,3,IF(CdTrp2!J55=0.5,2,IF(CdTrp2!J55=0,1,0)))</f>
        <v>3</v>
      </c>
      <c r="CK40" s="178">
        <f>IF(CdTrp2!K55=1,3,IF(CdTrp2!K55=0.5,2,IF(CdTrp2!K55=0,1,0)))</f>
        <v>3</v>
      </c>
      <c r="CL40" s="178">
        <f>IF(CdTrp2!L55=1,3,IF(CdTrp2!L55=0.5,2,IF(CdTrp2!L55=0,1,0)))</f>
        <v>3</v>
      </c>
      <c r="CM40" s="178">
        <f>IF(CdTrp2!M55=1,3,IF(CdTrp2!M55=0.5,2,IF(CdTrp2!M55=0,1,0)))</f>
        <v>3</v>
      </c>
      <c r="CN40" s="178">
        <f>IF(CdTrp2!N55=1,3,IF(CdTrp2!N55=0.5,2,IF(CdTrp2!N55=0,1,0)))</f>
        <v>3</v>
      </c>
      <c r="CO40" s="178">
        <f>IF(CdTrp2!O55=1,3,IF(CdTrp2!O55=0.5,2,IF(CdTrp2!O55=0,1,0)))</f>
        <v>3</v>
      </c>
      <c r="CP40" s="178">
        <f>IF(CdTrp2!P55=1,3,IF(CdTrp2!P55=0.5,2,IF(CdTrp2!P55=0,1,0)))</f>
        <v>3</v>
      </c>
      <c r="CQ40" s="178">
        <f>IF(CdTrp2!Q55=1,3,IF(CdTrp2!Q55=0.5,2,IF(CdTrp2!Q55=0,1,0)))</f>
        <v>3</v>
      </c>
      <c r="CR40" s="178">
        <f>IF(CdTrp2!R55=1,3,IF(CdTrp2!R55=0.5,2,IF(CdTrp2!R55=0,1,0)))</f>
        <v>3</v>
      </c>
      <c r="CS40" s="178">
        <f>IF(CdTrp2!S55=1,3,IF(CdTrp2!S55=0.5,2,IF(CdTrp2!S55=0,1,0)))</f>
        <v>3</v>
      </c>
      <c r="CT40" s="178">
        <f>IF(CdTrp2!T55=1,3,IF(CdTrp2!T55=0.5,2,IF(CdTrp2!T55=0,1,0)))</f>
        <v>3</v>
      </c>
      <c r="CU40" s="178">
        <f>IF(CdTrp2!U55=1,3,IF(CdTrp2!U55=0.5,2,IF(CdTrp2!U55=0,1,0)))</f>
        <v>3</v>
      </c>
      <c r="CV40" s="178">
        <f>IF(CdTrp2!V55=1,3,IF(CdTrp2!V55=0.5,2,IF(CdTrp2!V55=0,1,0)))</f>
        <v>3</v>
      </c>
      <c r="CW40" s="178">
        <f>IF(CdTrp2!W55=1,3,IF(CdTrp2!W55=0.5,2,IF(CdTrp2!W55=0,1,0)))</f>
        <v>3</v>
      </c>
      <c r="CX40" s="178">
        <f>IF(CdTrp2!X55=1,3,IF(CdTrp2!X55=0.5,2,IF(CdTrp2!X55=0,1,0)))</f>
        <v>3</v>
      </c>
      <c r="CY40" s="178">
        <f>IF(CdTrp2!Y55=1,3,IF(CdTrp2!Y55=0.5,2,IF(CdTrp2!Y55=0,1,0)))</f>
        <v>3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 + vides</v>
      </c>
      <c r="AU41" s="32"/>
      <c r="AV41" s="178">
        <f>IF(CdTrp1!B56=1,3,IF(CdTrp1!B56=0.5,2,IF(CdTrp1!B56=0,1,0)))</f>
        <v>2</v>
      </c>
      <c r="AW41" s="178">
        <f>IF(CdTrp1!C56=1,3,IF(CdTrp1!C56=0.5,2,IF(CdTrp1!C56=0,1,0)))</f>
        <v>2</v>
      </c>
      <c r="AX41" s="178">
        <f>IF(CdTrp1!D56=1,3,IF(CdTrp1!D56=0.5,2,IF(CdTrp1!D56=0,1,0)))</f>
        <v>2</v>
      </c>
      <c r="AY41" s="178">
        <f>IF(CdTrp1!E56=1,3,IF(CdTrp1!E56=0.5,2,IF(CdTrp1!E56=0,1,0)))</f>
        <v>2</v>
      </c>
      <c r="AZ41" s="178">
        <f>IF(CdTrp1!F56=1,3,IF(CdTrp1!F56=0.5,2,IF(CdTrp1!F56=0,1,0)))</f>
        <v>2</v>
      </c>
      <c r="BA41" s="178">
        <f>IF(CdTrp1!G56=1,3,IF(CdTrp1!G56=0.5,2,IF(CdTrp1!G56=0,1,0)))</f>
        <v>2</v>
      </c>
      <c r="BB41" s="178">
        <f>IF(CdTrp1!H56=1,3,IF(CdTrp1!H56=0.5,2,IF(CdTrp1!H56=0,1,0)))</f>
        <v>2</v>
      </c>
      <c r="BC41" s="178">
        <f>IF(CdTrp1!I56=1,3,IF(CdTrp1!I56=0.5,2,IF(CdTrp1!I56=0,1,0)))</f>
        <v>2</v>
      </c>
      <c r="BD41" s="178">
        <f>IF(CdTrp1!J56=1,3,IF(CdTrp1!J56=0.5,2,IF(CdTrp1!J56=0,1,0)))</f>
        <v>2</v>
      </c>
      <c r="BE41" s="178">
        <f>IF(CdTrp1!K56=1,3,IF(CdTrp1!K56=0.5,2,IF(CdTrp1!K56=0,1,0)))</f>
        <v>2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2</v>
      </c>
      <c r="BQ41" s="178">
        <f>IF(CdTrp1!W56=1,3,IF(CdTrp1!W56=0.5,2,IF(CdTrp1!W56=0,1,0)))</f>
        <v>2</v>
      </c>
      <c r="BR41" s="178">
        <f>IF(CdTrp1!X56=1,3,IF(CdTrp1!X56=0.5,2,IF(CdTrp1!X56=0,1,0)))</f>
        <v>2</v>
      </c>
      <c r="BS41" s="178">
        <f>IF(CdTrp1!Y56=1,3,IF(CdTrp1!Y56=0.5,2,IF(CdTrp1!Y56=0,1,0)))</f>
        <v>2</v>
      </c>
      <c r="BZ41" s="192" t="str">
        <f t="shared" si="27"/>
        <v>génisses &lt; 1 an</v>
      </c>
      <c r="CA41" s="32"/>
      <c r="CB41" s="178">
        <f>IF(CdTrp2!B56=1,3,IF(CdTrp2!B56=0.5,2,IF(CdTrp2!B56=0,1,0)))</f>
        <v>3</v>
      </c>
      <c r="CC41" s="178">
        <f>IF(CdTrp2!C56=1,3,IF(CdTrp2!C56=0.5,2,IF(CdTrp2!C56=0,1,0)))</f>
        <v>3</v>
      </c>
      <c r="CD41" s="178">
        <f>IF(CdTrp2!D56=1,3,IF(CdTrp2!D56=0.5,2,IF(CdTrp2!D56=0,1,0)))</f>
        <v>3</v>
      </c>
      <c r="CE41" s="178">
        <f>IF(CdTrp2!E56=1,3,IF(CdTrp2!E56=0.5,2,IF(CdTrp2!E56=0,1,0)))</f>
        <v>3</v>
      </c>
      <c r="CF41" s="178">
        <f>IF(CdTrp2!F56=1,3,IF(CdTrp2!F56=0.5,2,IF(CdTrp2!F56=0,1,0)))</f>
        <v>3</v>
      </c>
      <c r="CG41" s="178">
        <f>IF(CdTrp2!G56=1,3,IF(CdTrp2!G56=0.5,2,IF(CdTrp2!G56=0,1,0)))</f>
        <v>3</v>
      </c>
      <c r="CH41" s="178">
        <f>IF(CdTrp2!H56=1,3,IF(CdTrp2!H56=0.5,2,IF(CdTrp2!H56=0,1,0)))</f>
        <v>3</v>
      </c>
      <c r="CI41" s="178">
        <f>IF(CdTrp2!I56=1,3,IF(CdTrp2!I56=0.5,2,IF(CdTrp2!I56=0,1,0)))</f>
        <v>3</v>
      </c>
      <c r="CJ41" s="178">
        <f>IF(CdTrp2!J56=1,3,IF(CdTrp2!J56=0.5,2,IF(CdTrp2!J56=0,1,0)))</f>
        <v>3</v>
      </c>
      <c r="CK41" s="178">
        <f>IF(CdTrp2!K56=1,3,IF(CdTrp2!K56=0.5,2,IF(CdTrp2!K56=0,1,0)))</f>
        <v>3</v>
      </c>
      <c r="CL41" s="178">
        <f>IF(CdTrp2!L56=1,3,IF(CdTrp2!L56=0.5,2,IF(CdTrp2!L56=0,1,0)))</f>
        <v>3</v>
      </c>
      <c r="CM41" s="178">
        <f>IF(CdTrp2!M56=1,3,IF(CdTrp2!M56=0.5,2,IF(CdTrp2!M56=0,1,0)))</f>
        <v>3</v>
      </c>
      <c r="CN41" s="178">
        <f>IF(CdTrp2!N56=1,3,IF(CdTrp2!N56=0.5,2,IF(CdTrp2!N56=0,1,0)))</f>
        <v>3</v>
      </c>
      <c r="CO41" s="178">
        <f>IF(CdTrp2!O56=1,3,IF(CdTrp2!O56=0.5,2,IF(CdTrp2!O56=0,1,0)))</f>
        <v>3</v>
      </c>
      <c r="CP41" s="178">
        <f>IF(CdTrp2!P56=1,3,IF(CdTrp2!P56=0.5,2,IF(CdTrp2!P56=0,1,0)))</f>
        <v>3</v>
      </c>
      <c r="CQ41" s="178">
        <f>IF(CdTrp2!Q56=1,3,IF(CdTrp2!Q56=0.5,2,IF(CdTrp2!Q56=0,1,0)))</f>
        <v>3</v>
      </c>
      <c r="CR41" s="178">
        <f>IF(CdTrp2!R56=1,3,IF(CdTrp2!R56=0.5,2,IF(CdTrp2!R56=0,1,0)))</f>
        <v>3</v>
      </c>
      <c r="CS41" s="178">
        <f>IF(CdTrp2!S56=1,3,IF(CdTrp2!S56=0.5,2,IF(CdTrp2!S56=0,1,0)))</f>
        <v>3</v>
      </c>
      <c r="CT41" s="178">
        <f>IF(CdTrp2!T56=1,3,IF(CdTrp2!T56=0.5,2,IF(CdTrp2!T56=0,1,0)))</f>
        <v>3</v>
      </c>
      <c r="CU41" s="178">
        <f>IF(CdTrp2!U56=1,3,IF(CdTrp2!U56=0.5,2,IF(CdTrp2!U56=0,1,0)))</f>
        <v>3</v>
      </c>
      <c r="CV41" s="178">
        <f>IF(CdTrp2!V56=1,3,IF(CdTrp2!V56=0.5,2,IF(CdTrp2!V56=0,1,0)))</f>
        <v>3</v>
      </c>
      <c r="CW41" s="178">
        <f>IF(CdTrp2!W56=1,3,IF(CdTrp2!W56=0.5,2,IF(CdTrp2!W56=0,1,0)))</f>
        <v>3</v>
      </c>
      <c r="CX41" s="178">
        <f>IF(CdTrp2!X56=1,3,IF(CdTrp2!X56=0.5,2,IF(CdTrp2!X56=0,1,0)))</f>
        <v>3</v>
      </c>
      <c r="CY41" s="178">
        <f>IF(CdTrp2!Y56=1,3,IF(CdTrp2!Y56=0.5,2,IF(CdTrp2!Y56=0,1,0)))</f>
        <v>3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1</v>
      </c>
      <c r="AW48" s="178">
        <f>IF(CdTrp1!C76=1,1,IF(CdTrp1!C76=2,2,IF(CdTrp1!C76=3,2,0)))</f>
        <v>1</v>
      </c>
      <c r="AX48" s="178">
        <f>IF(CdTrp1!D76=1,1,IF(CdTrp1!D76=2,2,IF(CdTrp1!D76=3,2,0)))</f>
        <v>1</v>
      </c>
      <c r="AY48" s="178">
        <f>IF(CdTrp1!E76=1,1,IF(CdTrp1!E76=2,2,IF(CdTrp1!E76=3,2,0)))</f>
        <v>1</v>
      </c>
      <c r="AZ48" s="178">
        <f>IF(CdTrp1!F76=1,1,IF(CdTrp1!F76=2,2,IF(CdTrp1!F76=3,2,0)))</f>
        <v>1</v>
      </c>
      <c r="BA48" s="178">
        <f>IF(CdTrp1!G76=1,1,IF(CdTrp1!G76=2,2,IF(CdTrp1!G76=3,2,0)))</f>
        <v>1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1</v>
      </c>
      <c r="BG48" s="178">
        <f>IF(CdTrp1!M76=1,1,IF(CdTrp1!M76=2,2,IF(CdTrp1!M76=3,2,0)))</f>
        <v>1</v>
      </c>
      <c r="BH48" s="178">
        <f>IF(CdTrp1!N76=1,1,IF(CdTrp1!N76=2,2,IF(CdTrp1!N76=3,2,0)))</f>
        <v>1</v>
      </c>
      <c r="BI48" s="178">
        <f>IF(CdTrp1!O76=1,1,IF(CdTrp1!O76=2,2,IF(CdTrp1!O76=3,2,0)))</f>
        <v>1</v>
      </c>
      <c r="BJ48" s="178">
        <f>IF(CdTrp1!P76=1,1,IF(CdTrp1!P76=2,2,IF(CdTrp1!P76=3,2,0)))</f>
        <v>1</v>
      </c>
      <c r="BK48" s="178">
        <f>IF(CdTrp1!Q76=1,1,IF(CdTrp1!Q76=2,2,IF(CdTrp1!Q76=3,2,0)))</f>
        <v>1</v>
      </c>
      <c r="BL48" s="178">
        <f>IF(CdTrp1!R76=1,1,IF(CdTrp1!R76=2,2,IF(CdTrp1!R76=3,2,0)))</f>
        <v>1</v>
      </c>
      <c r="BM48" s="178">
        <f>IF(CdTrp1!S76=1,1,IF(CdTrp1!S76=2,2,IF(CdTrp1!S76=3,2,0)))</f>
        <v>1</v>
      </c>
      <c r="BN48" s="178">
        <f>IF(CdTrp1!T76=1,1,IF(CdTrp1!T76=2,2,IF(CdTrp1!T76=3,2,0)))</f>
        <v>1</v>
      </c>
      <c r="BO48" s="178">
        <f>IF(CdTrp1!U76=1,1,IF(CdTrp1!U76=2,2,IF(CdTrp1!U76=3,2,0)))</f>
        <v>1</v>
      </c>
      <c r="BP48" s="178">
        <f>IF(CdTrp1!V76=1,1,IF(CdTrp1!V76=2,2,IF(CdTrp1!V76=3,2,0)))</f>
        <v>1</v>
      </c>
      <c r="BQ48" s="178">
        <f>IF(CdTrp1!W76=1,1,IF(CdTrp1!W76=2,2,IF(CdTrp1!W76=3,2,0)))</f>
        <v>1</v>
      </c>
      <c r="BR48" s="178">
        <f>IF(CdTrp1!X76=1,1,IF(CdTrp1!X76=2,2,IF(CdTrp1!X76=3,2,0)))</f>
        <v>1</v>
      </c>
      <c r="BS48" s="178">
        <f>IF(CdTrp1!Y76=1,1,IF(CdTrp1!Y76=2,2,IF(CdTrp1!Y76=3,2,0)))</f>
        <v>1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2</v>
      </c>
      <c r="CJ48" s="178">
        <f>IF(CdTrp2!J76=1,1,IF(CdTrp2!J76=2,2,IF(CdTrp2!J76=3,2,0)))</f>
        <v>2</v>
      </c>
      <c r="CK48" s="178">
        <f>IF(CdTrp2!K76=1,1,IF(CdTrp2!K76=2,2,IF(CdTrp2!K76=3,2,0)))</f>
        <v>2</v>
      </c>
      <c r="CL48" s="178">
        <f>IF(CdTrp2!L76=1,1,IF(CdTrp2!L76=2,2,IF(CdTrp2!L76=3,2,0)))</f>
        <v>2</v>
      </c>
      <c r="CM48" s="178">
        <f>IF(CdTrp2!M76=1,1,IF(CdTrp2!M76=2,2,IF(CdTrp2!M76=3,2,0)))</f>
        <v>2</v>
      </c>
      <c r="CN48" s="178">
        <f>IF(CdTrp2!N76=1,1,IF(CdTrp2!N76=2,2,IF(CdTrp2!N76=3,2,0)))</f>
        <v>2</v>
      </c>
      <c r="CO48" s="178">
        <f>IF(CdTrp2!O76=1,1,IF(CdTrp2!O76=2,2,IF(CdTrp2!O76=3,2,0)))</f>
        <v>2</v>
      </c>
      <c r="CP48" s="178">
        <f>IF(CdTrp2!P76=1,1,IF(CdTrp2!P76=2,2,IF(CdTrp2!P76=3,2,0)))</f>
        <v>2</v>
      </c>
      <c r="CQ48" s="178">
        <f>IF(CdTrp2!Q76=1,1,IF(CdTrp2!Q76=2,2,IF(CdTrp2!Q76=3,2,0)))</f>
        <v>2</v>
      </c>
      <c r="CR48" s="178">
        <f>IF(CdTrp2!R76=1,1,IF(CdTrp2!R76=2,2,IF(CdTrp2!R76=3,2,0)))</f>
        <v>2</v>
      </c>
      <c r="CS48" s="178">
        <f>IF(CdTrp2!S76=1,1,IF(CdTrp2!S76=2,2,IF(CdTrp2!S76=3,2,0)))</f>
        <v>2</v>
      </c>
      <c r="CT48" s="178">
        <f>IF(CdTrp2!T76=1,1,IF(CdTrp2!T76=2,2,IF(CdTrp2!T76=3,2,0)))</f>
        <v>2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lot2</v>
      </c>
      <c r="AU49" s="32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1</v>
      </c>
      <c r="CJ49" s="178">
        <f>IF(CdTrp2!J77=1,1,IF(CdTrp2!J77=2,2,IF(CdTrp2!J77=3,2,0)))</f>
        <v>1</v>
      </c>
      <c r="CK49" s="178">
        <f>IF(CdTrp2!K77=1,1,IF(CdTrp2!K77=2,2,IF(CdTrp2!K77=3,2,0)))</f>
        <v>1</v>
      </c>
      <c r="CL49" s="178">
        <f>IF(CdTrp2!L77=1,1,IF(CdTrp2!L77=2,2,IF(CdTrp2!L77=3,2,0)))</f>
        <v>1</v>
      </c>
      <c r="CM49" s="178">
        <f>IF(CdTrp2!M77=1,1,IF(CdTrp2!M77=2,2,IF(CdTrp2!M77=3,2,0)))</f>
        <v>1</v>
      </c>
      <c r="CN49" s="178">
        <f>IF(CdTrp2!N77=1,1,IF(CdTrp2!N77=2,2,IF(CdTrp2!N77=3,2,0)))</f>
        <v>1</v>
      </c>
      <c r="CO49" s="178">
        <f>IF(CdTrp2!O77=1,1,IF(CdTrp2!O77=2,2,IF(CdTrp2!O77=3,2,0)))</f>
        <v>1</v>
      </c>
      <c r="CP49" s="178">
        <f>IF(CdTrp2!P77=1,1,IF(CdTrp2!P77=2,2,IF(CdTrp2!P77=3,2,0)))</f>
        <v>1</v>
      </c>
      <c r="CQ49" s="178">
        <f>IF(CdTrp2!Q77=1,1,IF(CdTrp2!Q77=2,2,IF(CdTrp2!Q77=3,2,0)))</f>
        <v>1</v>
      </c>
      <c r="CR49" s="178">
        <f>IF(CdTrp2!R77=1,1,IF(CdTrp2!R77=2,2,IF(CdTrp2!R77=3,2,0)))</f>
        <v>1</v>
      </c>
      <c r="CS49" s="178">
        <f>IF(CdTrp2!S77=1,1,IF(CdTrp2!S77=2,2,IF(CdTrp2!S77=3,2,0)))</f>
        <v>1</v>
      </c>
      <c r="CT49" s="178">
        <f>IF(CdTrp2!T77=1,1,IF(CdTrp2!T77=2,2,IF(CdTrp2!T77=3,2,0)))</f>
        <v>1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1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1</v>
      </c>
      <c r="CJ50" s="178">
        <f>IF(CdTrp2!J78=1,1,IF(CdTrp2!J78=2,2,IF(CdTrp2!J78=3,2,0)))</f>
        <v>1</v>
      </c>
      <c r="CK50" s="178">
        <f>IF(CdTrp2!K78=1,1,IF(CdTrp2!K78=2,2,IF(CdTrp2!K78=3,2,0)))</f>
        <v>1</v>
      </c>
      <c r="CL50" s="178">
        <f>IF(CdTrp2!L78=1,1,IF(CdTrp2!L78=2,2,IF(CdTrp2!L78=3,2,0)))</f>
        <v>1</v>
      </c>
      <c r="CM50" s="178">
        <f>IF(CdTrp2!M78=1,1,IF(CdTrp2!M78=2,2,IF(CdTrp2!M78=3,2,0)))</f>
        <v>1</v>
      </c>
      <c r="CN50" s="178">
        <f>IF(CdTrp2!N78=1,1,IF(CdTrp2!N78=2,2,IF(CdTrp2!N78=3,2,0)))</f>
        <v>1</v>
      </c>
      <c r="CO50" s="178">
        <f>IF(CdTrp2!O78=1,1,IF(CdTrp2!O78=2,2,IF(CdTrp2!O78=3,2,0)))</f>
        <v>1</v>
      </c>
      <c r="CP50" s="178">
        <f>IF(CdTrp2!P78=1,1,IF(CdTrp2!P78=2,2,IF(CdTrp2!P78=3,2,0)))</f>
        <v>1</v>
      </c>
      <c r="CQ50" s="178">
        <f>IF(CdTrp2!Q78=1,1,IF(CdTrp2!Q78=2,2,IF(CdTrp2!Q78=3,2,0)))</f>
        <v>1</v>
      </c>
      <c r="CR50" s="178">
        <f>IF(CdTrp2!R78=1,1,IF(CdTrp2!R78=2,2,IF(CdTrp2!R78=3,2,0)))</f>
        <v>1</v>
      </c>
      <c r="CS50" s="178">
        <f>IF(CdTrp2!S78=1,1,IF(CdTrp2!S78=2,2,IF(CdTrp2!S78=3,2,0)))</f>
        <v>1</v>
      </c>
      <c r="CT50" s="178">
        <f>IF(CdTrp2!T78=1,1,IF(CdTrp2!T78=2,2,IF(CdTrp2!T78=3,2,0)))</f>
        <v>1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BU51">
        <v>0</v>
      </c>
      <c r="BV51" t="s">
        <v>854</v>
      </c>
      <c r="BZ51" s="192" t="str">
        <f t="shared" si="29"/>
        <v>Broutards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1.25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1</v>
      </c>
      <c r="AR52" s="191" t="s">
        <v>815</v>
      </c>
      <c r="AT52" s="192" t="str">
        <f t="shared" si="31"/>
        <v>tardive + vides</v>
      </c>
      <c r="AU52" s="32"/>
      <c r="AV52" s="178">
        <f>IF(CdTrp1!B80=1,1,IF(CdTrp1!B80=2,2,IF(CdTrp1!B80=3,2,0)))</f>
        <v>1</v>
      </c>
      <c r="AW52" s="178">
        <f>IF(CdTrp1!C80=1,1,IF(CdTrp1!C80=2,2,IF(CdTrp1!C80=3,2,0)))</f>
        <v>1</v>
      </c>
      <c r="AX52" s="178">
        <f>IF(CdTrp1!D80=1,1,IF(CdTrp1!D80=2,2,IF(CdTrp1!D80=3,2,0)))</f>
        <v>1</v>
      </c>
      <c r="AY52" s="178">
        <f>IF(CdTrp1!E80=1,1,IF(CdTrp1!E80=2,2,IF(CdTrp1!E80=3,2,0)))</f>
        <v>1</v>
      </c>
      <c r="AZ52" s="178">
        <f>IF(CdTrp1!F80=1,1,IF(CdTrp1!F80=2,2,IF(CdTrp1!F80=3,2,0)))</f>
        <v>1</v>
      </c>
      <c r="BA52" s="178">
        <f>IF(CdTrp1!G80=1,1,IF(CdTrp1!G80=2,2,IF(CdTrp1!G80=3,2,0)))</f>
        <v>1</v>
      </c>
      <c r="BB52" s="178">
        <f>IF(CdTrp1!H80=1,1,IF(CdTrp1!H80=2,2,IF(CdTrp1!H80=3,2,0)))</f>
        <v>1</v>
      </c>
      <c r="BC52" s="178">
        <f>IF(CdTrp1!I80=1,1,IF(CdTrp1!I80=2,2,IF(CdTrp1!I80=3,2,0)))</f>
        <v>1</v>
      </c>
      <c r="BD52" s="178">
        <f>IF(CdTrp1!J80=1,1,IF(CdTrp1!J80=2,2,IF(CdTrp1!J80=3,2,0)))</f>
        <v>1</v>
      </c>
      <c r="BE52" s="178">
        <f>IF(CdTrp1!K80=1,1,IF(CdTrp1!K80=2,2,IF(CdTrp1!K80=3,2,0)))</f>
        <v>1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1</v>
      </c>
      <c r="BQ52" s="178">
        <f>IF(CdTrp1!W80=1,1,IF(CdTrp1!W80=2,2,IF(CdTrp1!W80=3,2,0)))</f>
        <v>1</v>
      </c>
      <c r="BR52" s="178">
        <f>IF(CdTrp1!X80=1,1,IF(CdTrp1!X80=2,2,IF(CdTrp1!X80=3,2,0)))</f>
        <v>1</v>
      </c>
      <c r="BS52" s="178">
        <f>IF(CdTrp1!Y80=1,1,IF(CdTrp1!Y80=2,2,IF(CdTrp1!Y80=3,2,0)))</f>
        <v>1</v>
      </c>
      <c r="BZ52" s="192" t="str">
        <f t="shared" si="29"/>
        <v>génisses &lt; 1 an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36.200000000000003</v>
      </c>
      <c r="C54" s="193">
        <f>IF(B54&gt;[1]Trav!E119,[1]Trav!C119,[1]Trav!B119)</f>
        <v>1.4</v>
      </c>
      <c r="D54"/>
      <c r="E54" s="176"/>
      <c r="F54" s="178">
        <f t="shared" si="32"/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19.599999999999998</v>
      </c>
      <c r="C55" s="193">
        <f>IF(B55&gt;[1]Trav!E121,[1]Trav!C121,[1]Trav!B121)</f>
        <v>7.2</v>
      </c>
      <c r="D55"/>
      <c r="E55" s="176"/>
      <c r="F55" s="178">
        <f t="shared" si="32"/>
        <v>141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19</v>
      </c>
      <c r="C56" s="193">
        <f>IF(B56&gt;[1]Trav!E121,[1]Trav!C121,[1]Trav!B121)</f>
        <v>7.2</v>
      </c>
      <c r="D56"/>
      <c r="E56" s="176"/>
      <c r="F56" s="178">
        <f t="shared" si="32"/>
        <v>137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0</v>
      </c>
      <c r="C57" s="193">
        <f>IF(B57&gt;[1]Trav!E121,[1]Trav!C121,[1]Trav!B121)</f>
        <v>7.2</v>
      </c>
      <c r="D57"/>
      <c r="E57" s="176"/>
      <c r="F57" s="17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8.4000000000000021</v>
      </c>
      <c r="C58" s="193">
        <f>IF(B58&gt;[1]Trav!E122,[1]Trav!C122,[1]Trav!B122)</f>
        <v>4.4000000000000004</v>
      </c>
      <c r="E58" s="176"/>
      <c r="F58" s="178">
        <f t="shared" si="32"/>
        <v>37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5</v>
      </c>
      <c r="C59" s="193">
        <f>[1]Trav!$B$123</f>
        <v>7.2</v>
      </c>
      <c r="E59" s="176"/>
      <c r="F59" s="17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221</v>
      </c>
      <c r="AW60" s="178">
        <f>IF(AW15=0,0,IF(AW37=3,0,VALUE(CONCATENATE(Travail!AW26,Travail!AW37,Travail!AW48))))</f>
        <v>221</v>
      </c>
      <c r="AX60" s="178">
        <f>IF(AX15=0,0,IF(AX37=3,0,VALUE(CONCATENATE(Travail!AX26,Travail!AX37,Travail!AX48))))</f>
        <v>221</v>
      </c>
      <c r="AY60" s="178">
        <f>IF(AY15=0,0,IF(AY37=3,0,VALUE(CONCATENATE(Travail!AY26,Travail!AY37,Travail!AY48))))</f>
        <v>221</v>
      </c>
      <c r="AZ60" s="178">
        <f>IF(AZ15=0,0,IF(AZ37=3,0,VALUE(CONCATENATE(Travail!AZ26,Travail!AZ37,Travail!AZ48))))</f>
        <v>221</v>
      </c>
      <c r="BA60" s="178">
        <f>IF(BA15=0,0,IF(BA37=3,0,VALUE(CONCATENATE(Travail!BA26,Travail!BA37,Travail!BA48))))</f>
        <v>221</v>
      </c>
      <c r="BB60" s="178">
        <f>IF(BB15=0,0,IF(BB37=3,0,VALUE(CONCATENATE(Travail!BB26,Travail!BB37,Travail!BB48))))</f>
        <v>221</v>
      </c>
      <c r="BC60" s="178">
        <f>IF(BC15=0,0,IF(BC37=3,0,VALUE(CONCATENATE(Travail!BC26,Travail!BC37,Travail!BC48))))</f>
        <v>221</v>
      </c>
      <c r="BD60" s="178">
        <f>IF(BD15=0,0,IF(BD37=3,0,VALUE(CONCATENATE(Travail!BD26,Travail!BD37,Travail!BD48))))</f>
        <v>221</v>
      </c>
      <c r="BE60" s="178">
        <f>IF(BE15=0,0,IF(BE37=3,0,VALUE(CONCATENATE(Travail!BE26,Travail!BE37,Travail!BE48))))</f>
        <v>221</v>
      </c>
      <c r="BF60" s="178">
        <f>IF(BF15=0,0,IF(BF37=3,0,VALUE(CONCATENATE(Travail!BF26,Travail!BF37,Travail!BF48))))</f>
        <v>221</v>
      </c>
      <c r="BG60" s="178">
        <f>IF(BG15=0,0,IF(BG37=3,0,VALUE(CONCATENATE(Travail!BG26,Travail!BG37,Travail!BG48))))</f>
        <v>221</v>
      </c>
      <c r="BH60" s="178">
        <f>IF(BH15=0,0,IF(BH37=3,0,VALUE(CONCATENATE(Travail!BH26,Travail!BH37,Travail!BH48))))</f>
        <v>221</v>
      </c>
      <c r="BI60" s="178">
        <f>IF(BI15=0,0,IF(BI37=3,0,VALUE(CONCATENATE(Travail!BI26,Travail!BI37,Travail!BI48))))</f>
        <v>221</v>
      </c>
      <c r="BJ60" s="178">
        <f>IF(BJ15=0,0,IF(BJ37=3,0,VALUE(CONCATENATE(Travail!BJ26,Travail!BJ37,Travail!BJ48))))</f>
        <v>221</v>
      </c>
      <c r="BK60" s="178">
        <f>IF(BK15=0,0,IF(BK37=3,0,VALUE(CONCATENATE(Travail!BK26,Travail!BK37,Travail!BK48))))</f>
        <v>221</v>
      </c>
      <c r="BL60" s="178">
        <f>IF(BL15=0,0,IF(BL37=3,0,VALUE(CONCATENATE(Travail!BL26,Travail!BL37,Travail!BL48))))</f>
        <v>221</v>
      </c>
      <c r="BM60" s="178">
        <f>IF(BM15=0,0,IF(BM37=3,0,VALUE(CONCATENATE(Travail!BM26,Travail!BM37,Travail!BM48))))</f>
        <v>221</v>
      </c>
      <c r="BN60" s="178">
        <f>IF(BN15=0,0,IF(BN37=3,0,VALUE(CONCATENATE(Travail!BN26,Travail!BN37,Travail!BN48))))</f>
        <v>221</v>
      </c>
      <c r="BO60" s="178">
        <f>IF(BO15=0,0,IF(BO37=3,0,VALUE(CONCATENATE(Travail!BO26,Travail!BO37,Travail!BO48))))</f>
        <v>221</v>
      </c>
      <c r="BP60" s="178">
        <f>IF(BP15=0,0,IF(BP37=3,0,VALUE(CONCATENATE(Travail!BP26,Travail!BP37,Travail!BP48))))</f>
        <v>221</v>
      </c>
      <c r="BQ60" s="178">
        <f>IF(BQ15=0,0,IF(BQ37=3,0,VALUE(CONCATENATE(Travail!BQ26,Travail!BQ37,Travail!BQ48))))</f>
        <v>221</v>
      </c>
      <c r="BR60" s="178">
        <f>IF(BR15=0,0,IF(BR37=3,0,VALUE(CONCATENATE(Travail!BR26,Travail!BR37,Travail!BR48))))</f>
        <v>221</v>
      </c>
      <c r="BS60" s="178">
        <f>IF(BS15=0,0,IF(BS37=3,0,VALUE(CONCATENATE(Travail!BS26,Travail!BS37,Travail!BS48))))</f>
        <v>221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112</v>
      </c>
      <c r="CJ60" s="178">
        <f>IF(CJ15=0,0,IF(CJ37=3,0,VALUE(CONCATENATE(Travail!CJ26,Travail!CJ37,Travail!CJ48))))</f>
        <v>112</v>
      </c>
      <c r="CK60" s="178">
        <f>IF(CK15=0,0,IF(CK37=3,0,VALUE(CONCATENATE(Travail!CK26,Travail!CK37,Travail!CK48))))</f>
        <v>112</v>
      </c>
      <c r="CL60" s="178">
        <f>IF(CL15=0,0,IF(CL37=3,0,VALUE(CONCATENATE(Travail!CL26,Travail!CL37,Travail!CL48))))</f>
        <v>112</v>
      </c>
      <c r="CM60" s="178">
        <f>IF(CM15=0,0,IF(CM37=3,0,VALUE(CONCATENATE(Travail!CM26,Travail!CM37,Travail!CM48))))</f>
        <v>112</v>
      </c>
      <c r="CN60" s="178">
        <f>IF(CN15=0,0,IF(CN37=3,0,VALUE(CONCATENATE(Travail!CN26,Travail!CN37,Travail!CN48))))</f>
        <v>112</v>
      </c>
      <c r="CO60" s="178">
        <f>IF(CO15=0,0,IF(CO37=3,0,VALUE(CONCATENATE(Travail!CO26,Travail!CO37,Travail!CO48))))</f>
        <v>112</v>
      </c>
      <c r="CP60" s="178">
        <f>IF(CP15=0,0,IF(CP37=3,0,VALUE(CONCATENATE(Travail!CP26,Travail!CP37,Travail!CP48))))</f>
        <v>112</v>
      </c>
      <c r="CQ60" s="178">
        <f>IF(CQ15=0,0,IF(CQ37=3,0,VALUE(CONCATENATE(Travail!CQ26,Travail!CQ37,Travail!CQ48))))</f>
        <v>112</v>
      </c>
      <c r="CR60" s="178">
        <f>IF(CR15=0,0,IF(CR37=3,0,VALUE(CONCATENATE(Travail!CR26,Travail!CR37,Travail!CR48))))</f>
        <v>112</v>
      </c>
      <c r="CS60" s="178">
        <f>IF(CS15=0,0,IF(CS37=3,0,VALUE(CONCATENATE(Travail!CS26,Travail!CS37,Travail!CS48))))</f>
        <v>112</v>
      </c>
      <c r="CT60" s="178">
        <f>IF(CT15=0,0,IF(CT37=3,0,VALUE(CONCATENATE(Travail!CT26,Travail!CT37,Travail!CT48))))</f>
        <v>112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lot2</v>
      </c>
      <c r="AV61" s="178">
        <f>IF(AV16=0,0,IF(AV38=3,0,VALUE(CONCATENATE(Travail!AV27,Travail!AV38,Travail!AV49))))</f>
        <v>0</v>
      </c>
      <c r="AW61" s="178">
        <f>IF(AW16=0,0,IF(AW38=3,0,VALUE(CONCATENATE(Travail!AW27,Travail!AW38,Travail!AW49))))</f>
        <v>0</v>
      </c>
      <c r="AX61" s="178">
        <f>IF(AX16=0,0,IF(AX38=3,0,VALUE(CONCATENATE(Travail!AX27,Travail!AX38,Travail!AX49))))</f>
        <v>0</v>
      </c>
      <c r="AY61" s="178">
        <f>IF(AY16=0,0,IF(AY38=3,0,VALUE(CONCATENATE(Travail!AY27,Travail!AY38,Travail!AY49))))</f>
        <v>0</v>
      </c>
      <c r="AZ61" s="178">
        <f>IF(AZ16=0,0,IF(AZ38=3,0,VALUE(CONCATENATE(Travail!AZ27,Travail!AZ38,Travail!AZ49))))</f>
        <v>0</v>
      </c>
      <c r="BA61" s="178">
        <f>IF(BA16=0,0,IF(BA38=3,0,VALUE(CONCATENATE(Travail!BA27,Travail!BA38,Travail!BA49))))</f>
        <v>0</v>
      </c>
      <c r="BB61" s="178">
        <f>IF(BB16=0,0,IF(BB38=3,0,VALUE(CONCATENATE(Travail!BB27,Travail!BB38,Travail!BB49))))</f>
        <v>0</v>
      </c>
      <c r="BC61" s="178">
        <f>IF(BC16=0,0,IF(BC38=3,0,VALUE(CONCATENATE(Travail!BC27,Travail!BC38,Travail!BC49))))</f>
        <v>0</v>
      </c>
      <c r="BD61" s="178">
        <f>IF(BD16=0,0,IF(BD38=3,0,VALUE(CONCATENATE(Travail!BD27,Travail!BD38,Travail!BD49))))</f>
        <v>0</v>
      </c>
      <c r="BE61" s="178">
        <f>IF(BE16=0,0,IF(BE38=3,0,VALUE(CONCATENATE(Travail!BE27,Travail!BE38,Travail!BE49))))</f>
        <v>0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0</v>
      </c>
      <c r="BQ61" s="178">
        <f>IF(BQ16=0,0,IF(BQ38=3,0,VALUE(CONCATENATE(Travail!BQ27,Travail!BQ38,Travail!BQ49))))</f>
        <v>0</v>
      </c>
      <c r="BR61" s="178">
        <f>IF(BR16=0,0,IF(BR38=3,0,VALUE(CONCATENATE(Travail!BR27,Travail!BR38,Travail!BR49))))</f>
        <v>0</v>
      </c>
      <c r="BS61" s="178">
        <f>IF(BS16=0,0,IF(BS38=3,0,VALUE(CONCATENATE(Travail!BS27,Travail!BS38,Travail!BS49))))</f>
        <v>0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221</v>
      </c>
      <c r="CJ61" s="178">
        <f>IF(CJ16=0,0,IF(CJ38=3,0,VALUE(CONCATENATE(Travail!CJ27,Travail!CJ38,Travail!CJ49))))</f>
        <v>221</v>
      </c>
      <c r="CK61" s="178">
        <f>IF(CK16=0,0,IF(CK38=3,0,VALUE(CONCATENATE(Travail!CK27,Travail!CK38,Travail!CK49))))</f>
        <v>221</v>
      </c>
      <c r="CL61" s="178">
        <f>IF(CL16=0,0,IF(CL38=3,0,VALUE(CONCATENATE(Travail!CL27,Travail!CL38,Travail!CL49))))</f>
        <v>221</v>
      </c>
      <c r="CM61" s="178">
        <f>IF(CM16=0,0,IF(CM38=3,0,VALUE(CONCATENATE(Travail!CM27,Travail!CM38,Travail!CM49))))</f>
        <v>221</v>
      </c>
      <c r="CN61" s="178">
        <f>IF(CN16=0,0,IF(CN38=3,0,VALUE(CONCATENATE(Travail!CN27,Travail!CN38,Travail!CN49))))</f>
        <v>221</v>
      </c>
      <c r="CO61" s="178">
        <f>IF(CO16=0,0,IF(CO38=3,0,VALUE(CONCATENATE(Travail!CO27,Travail!CO38,Travail!CO49))))</f>
        <v>221</v>
      </c>
      <c r="CP61" s="178">
        <f>IF(CP16=0,0,IF(CP38=3,0,VALUE(CONCATENATE(Travail!CP27,Travail!CP38,Travail!CP49))))</f>
        <v>221</v>
      </c>
      <c r="CQ61" s="178">
        <f>IF(CQ16=0,0,IF(CQ38=3,0,VALUE(CONCATENATE(Travail!CQ27,Travail!CQ38,Travail!CQ49))))</f>
        <v>221</v>
      </c>
      <c r="CR61" s="178">
        <f>IF(CR16=0,0,IF(CR38=3,0,VALUE(CONCATENATE(Travail!CR27,Travail!CR38,Travail!CR49))))</f>
        <v>221</v>
      </c>
      <c r="CS61" s="178">
        <f>IF(CS16=0,0,IF(CS38=3,0,VALUE(CONCATENATE(Travail!CS27,Travail!CS38,Travail!CS49))))</f>
        <v>221</v>
      </c>
      <c r="CT61" s="178">
        <f>IF(CT16=0,0,IF(CT38=3,0,VALUE(CONCATENATE(Travail!CT27,Travail!CT38,Travail!CT49))))</f>
        <v>221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221</v>
      </c>
      <c r="BK62" s="178">
        <f>IF(BK17=0,0,IF(BK39=3,0,VALUE(CONCATENATE(Travail!BK28,Travail!BK39,Travail!BK50))))</f>
        <v>221</v>
      </c>
      <c r="BL62" s="178">
        <f>IF(BL17=0,0,IF(BL39=3,0,VALUE(CONCATENATE(Travail!BL28,Travail!BL39,Travail!BL50))))</f>
        <v>221</v>
      </c>
      <c r="BM62" s="178">
        <f>IF(BM17=0,0,IF(BM39=3,0,VALUE(CONCATENATE(Travail!BM28,Travail!BM39,Travail!BM50))))</f>
        <v>221</v>
      </c>
      <c r="BN62" s="178">
        <f>IF(BN17=0,0,IF(BN39=3,0,VALUE(CONCATENATE(Travail!BN28,Travail!BN39,Travail!BN50))))</f>
        <v>221</v>
      </c>
      <c r="BO62" s="178">
        <f>IF(BO17=0,0,IF(BO39=3,0,VALUE(CONCATENATE(Travail!BO28,Travail!BO39,Travail!BO50))))</f>
        <v>221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121</v>
      </c>
      <c r="CJ62" s="178">
        <f>IF(CJ17=0,0,IF(CJ39=3,0,VALUE(CONCATENATE(Travail!CJ28,Travail!CJ39,Travail!CJ50))))</f>
        <v>121</v>
      </c>
      <c r="CK62" s="178">
        <f>IF(CK17=0,0,IF(CK39=3,0,VALUE(CONCATENATE(Travail!CK28,Travail!CK39,Travail!CK50))))</f>
        <v>121</v>
      </c>
      <c r="CL62" s="178">
        <f>IF(CL17=0,0,IF(CL39=3,0,VALUE(CONCATENATE(Travail!CL28,Travail!CL39,Travail!CL50))))</f>
        <v>121</v>
      </c>
      <c r="CM62" s="178">
        <f>IF(CM17=0,0,IF(CM39=3,0,VALUE(CONCATENATE(Travail!CM28,Travail!CM39,Travail!CM50))))</f>
        <v>121</v>
      </c>
      <c r="CN62" s="178">
        <f>IF(CN17=0,0,IF(CN39=3,0,VALUE(CONCATENATE(Travail!CN28,Travail!CN39,Travail!CN50))))</f>
        <v>121</v>
      </c>
      <c r="CO62" s="178">
        <f>IF(CO17=0,0,IF(CO39=3,0,VALUE(CONCATENATE(Travail!CO28,Travail!CO39,Travail!CO50))))</f>
        <v>121</v>
      </c>
      <c r="CP62" s="178">
        <f>IF(CP17=0,0,IF(CP39=3,0,VALUE(CONCATENATE(Travail!CP28,Travail!CP39,Travail!CP50))))</f>
        <v>121</v>
      </c>
      <c r="CQ62" s="178">
        <f>IF(CQ17=0,0,IF(CQ39=3,0,VALUE(CONCATENATE(Travail!CQ28,Travail!CQ39,Travail!CQ50))))</f>
        <v>121</v>
      </c>
      <c r="CR62" s="178">
        <f>IF(CR17=0,0,IF(CR39=3,0,VALUE(CONCATENATE(Travail!CR28,Travail!CR39,Travail!CR50))))</f>
        <v>121</v>
      </c>
      <c r="CS62" s="178">
        <f>IF(CS17=0,0,IF(CS39=3,0,VALUE(CONCATENATE(Travail!CS28,Travail!CS39,Travail!CS50))))</f>
        <v>121</v>
      </c>
      <c r="CT62" s="178">
        <f>IF(CT17=0,0,IF(CT39=3,0,VALUE(CONCATENATE(Travail!CT28,Travail!CT39,Travail!CT50))))</f>
        <v>121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0</v>
      </c>
      <c r="AW63" s="178">
        <f>IF(AW18=0,0,IF(AW40=3,0,VALUE(CONCATENATE(Travail!AW29,Travail!AW40,Travail!AW51))))</f>
        <v>0</v>
      </c>
      <c r="AX63" s="178">
        <f>IF(AX18=0,0,IF(AX40=3,0,VALUE(CONCATENATE(Travail!AX29,Travail!AX40,Travail!AX51))))</f>
        <v>0</v>
      </c>
      <c r="AY63" s="178">
        <f>IF(AY18=0,0,IF(AY40=3,0,VALUE(CONCATENATE(Travail!AY29,Travail!AY40,Travail!AY51))))</f>
        <v>0</v>
      </c>
      <c r="AZ63" s="178">
        <f>IF(AZ18=0,0,IF(AZ40=3,0,VALUE(CONCATENATE(Travail!AZ29,Travail!AZ40,Travail!AZ51))))</f>
        <v>0</v>
      </c>
      <c r="BA63" s="178">
        <f>IF(BA18=0,0,IF(BA40=3,0,VALUE(CONCATENATE(Travail!BA29,Travail!BA40,Travail!BA51))))</f>
        <v>0</v>
      </c>
      <c r="BB63" s="178">
        <f>IF(BB18=0,0,IF(BB40=3,0,VALUE(CONCATENATE(Travail!BB29,Travail!BB40,Travail!BB51))))</f>
        <v>0</v>
      </c>
      <c r="BC63" s="178">
        <f>IF(BC18=0,0,IF(BC40=3,0,VALUE(CONCATENATE(Travail!BC29,Travail!BC40,Travail!BC51))))</f>
        <v>0</v>
      </c>
      <c r="BD63" s="178">
        <f>IF(BD18=0,0,IF(BD40=3,0,VALUE(CONCATENATE(Travail!BD29,Travail!BD40,Travail!BD51))))</f>
        <v>0</v>
      </c>
      <c r="BE63" s="178">
        <f>IF(BE18=0,0,IF(BE40=3,0,VALUE(CONCATENATE(Travail!BE29,Travail!BE40,Travail!BE51))))</f>
        <v>0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0</v>
      </c>
      <c r="BQ63" s="178">
        <f>IF(BQ18=0,0,IF(BQ40=3,0,VALUE(CONCATENATE(Travail!BQ29,Travail!BQ40,Travail!BQ51))))</f>
        <v>0</v>
      </c>
      <c r="BR63" s="178">
        <f>IF(BR18=0,0,IF(BR40=3,0,VALUE(CONCATENATE(Travail!BR29,Travail!BR40,Travail!BR51))))</f>
        <v>0</v>
      </c>
      <c r="BS63" s="178">
        <f>IF(BS18=0,0,IF(BS40=3,0,VALUE(CONCATENATE(Travail!BS29,Travail!BS40,Travail!BS51))))</f>
        <v>0</v>
      </c>
      <c r="BZ63" s="192" t="str">
        <f t="shared" si="33"/>
        <v>Broutards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 + vides</v>
      </c>
      <c r="AV64" s="178">
        <f>IF(AV19=0,0,IF(AV41=3,0,VALUE(CONCATENATE(Travail!AV30,Travail!AV41,Travail!AV52))))</f>
        <v>221</v>
      </c>
      <c r="AW64" s="178">
        <f>IF(AW19=0,0,IF(AW41=3,0,VALUE(CONCATENATE(Travail!AW30,Travail!AW41,Travail!AW52))))</f>
        <v>221</v>
      </c>
      <c r="AX64" s="178">
        <f>IF(AX19=0,0,IF(AX41=3,0,VALUE(CONCATENATE(Travail!AX30,Travail!AX41,Travail!AX52))))</f>
        <v>221</v>
      </c>
      <c r="AY64" s="178">
        <f>IF(AY19=0,0,IF(AY41=3,0,VALUE(CONCATENATE(Travail!AY30,Travail!AY41,Travail!AY52))))</f>
        <v>221</v>
      </c>
      <c r="AZ64" s="178">
        <f>IF(AZ19=0,0,IF(AZ41=3,0,VALUE(CONCATENATE(Travail!AZ30,Travail!AZ41,Travail!AZ52))))</f>
        <v>221</v>
      </c>
      <c r="BA64" s="178">
        <f>IF(BA19=0,0,IF(BA41=3,0,VALUE(CONCATENATE(Travail!BA30,Travail!BA41,Travail!BA52))))</f>
        <v>221</v>
      </c>
      <c r="BB64" s="178">
        <f>IF(BB19=0,0,IF(BB41=3,0,VALUE(CONCATENATE(Travail!BB30,Travail!BB41,Travail!BB52))))</f>
        <v>221</v>
      </c>
      <c r="BC64" s="178">
        <f>IF(BC19=0,0,IF(BC41=3,0,VALUE(CONCATENATE(Travail!BC30,Travail!BC41,Travail!BC52))))</f>
        <v>221</v>
      </c>
      <c r="BD64" s="178">
        <f>IF(BD19=0,0,IF(BD41=3,0,VALUE(CONCATENATE(Travail!BD30,Travail!BD41,Travail!BD52))))</f>
        <v>221</v>
      </c>
      <c r="BE64" s="178">
        <f>IF(BE19=0,0,IF(BE41=3,0,VALUE(CONCATENATE(Travail!BE30,Travail!BE41,Travail!BE52))))</f>
        <v>221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221</v>
      </c>
      <c r="BQ64" s="178">
        <f>IF(BQ19=0,0,IF(BQ41=3,0,VALUE(CONCATENATE(Travail!BQ30,Travail!BQ41,Travail!BQ52))))</f>
        <v>221</v>
      </c>
      <c r="BR64" s="178">
        <f>IF(BR19=0,0,IF(BR41=3,0,VALUE(CONCATENATE(Travail!BR30,Travail!BR41,Travail!BR52))))</f>
        <v>221</v>
      </c>
      <c r="BS64" s="178">
        <f>IF(BS19=0,0,IF(BS41=3,0,VALUE(CONCATENATE(Travail!BS30,Travail!BS41,Travail!BS52))))</f>
        <v>221</v>
      </c>
      <c r="BZ64" s="192" t="str">
        <f t="shared" si="33"/>
        <v>génisses &lt; 1 an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22</v>
      </c>
      <c r="AW71" s="178">
        <f t="shared" si="36"/>
        <v>22</v>
      </c>
      <c r="AX71" s="178">
        <f t="shared" si="36"/>
        <v>22</v>
      </c>
      <c r="AY71" s="178">
        <f t="shared" si="36"/>
        <v>22</v>
      </c>
      <c r="AZ71" s="178">
        <f t="shared" si="36"/>
        <v>22</v>
      </c>
      <c r="BA71" s="178">
        <f t="shared" si="36"/>
        <v>22</v>
      </c>
      <c r="BB71" s="178">
        <f t="shared" si="36"/>
        <v>22</v>
      </c>
      <c r="BC71" s="178">
        <f t="shared" si="36"/>
        <v>22</v>
      </c>
      <c r="BD71" s="178">
        <f t="shared" si="36"/>
        <v>22</v>
      </c>
      <c r="BE71" s="178">
        <f t="shared" si="36"/>
        <v>22</v>
      </c>
      <c r="BF71" s="178">
        <f t="shared" si="36"/>
        <v>22</v>
      </c>
      <c r="BG71" s="178">
        <f t="shared" si="36"/>
        <v>22</v>
      </c>
      <c r="BH71" s="178">
        <f t="shared" si="36"/>
        <v>22</v>
      </c>
      <c r="BI71" s="178">
        <f t="shared" si="36"/>
        <v>22</v>
      </c>
      <c r="BJ71" s="178">
        <f t="shared" si="36"/>
        <v>22</v>
      </c>
      <c r="BK71" s="178">
        <f t="shared" si="36"/>
        <v>22</v>
      </c>
      <c r="BL71" s="178">
        <f t="shared" si="36"/>
        <v>22</v>
      </c>
      <c r="BM71" s="178">
        <f t="shared" si="36"/>
        <v>22</v>
      </c>
      <c r="BN71" s="178">
        <f t="shared" si="36"/>
        <v>22</v>
      </c>
      <c r="BO71" s="178">
        <f t="shared" si="36"/>
        <v>22</v>
      </c>
      <c r="BP71" s="178">
        <f t="shared" si="36"/>
        <v>22</v>
      </c>
      <c r="BQ71" s="178">
        <f t="shared" si="36"/>
        <v>22</v>
      </c>
      <c r="BR71" s="178">
        <f t="shared" si="36"/>
        <v>22</v>
      </c>
      <c r="BS71" s="178">
        <f t="shared" si="36"/>
        <v>22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11</v>
      </c>
      <c r="CJ71" s="178">
        <f t="shared" si="37"/>
        <v>11</v>
      </c>
      <c r="CK71" s="178">
        <f t="shared" si="37"/>
        <v>11</v>
      </c>
      <c r="CL71" s="178">
        <f t="shared" si="37"/>
        <v>11</v>
      </c>
      <c r="CM71" s="178">
        <f t="shared" si="37"/>
        <v>11</v>
      </c>
      <c r="CN71" s="178">
        <f t="shared" si="37"/>
        <v>11</v>
      </c>
      <c r="CO71" s="178">
        <f t="shared" si="37"/>
        <v>11</v>
      </c>
      <c r="CP71" s="178">
        <f t="shared" si="37"/>
        <v>11</v>
      </c>
      <c r="CQ71" s="178">
        <f t="shared" si="37"/>
        <v>11</v>
      </c>
      <c r="CR71" s="178">
        <f t="shared" si="37"/>
        <v>11</v>
      </c>
      <c r="CS71" s="178">
        <f t="shared" si="37"/>
        <v>11</v>
      </c>
      <c r="CT71" s="178">
        <f t="shared" si="37"/>
        <v>11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" si="39">ROUND(SUM(G72:AD72),0)</f>
        <v>220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lot2</v>
      </c>
      <c r="AV72" s="178">
        <f t="shared" si="36"/>
        <v>0</v>
      </c>
      <c r="AW72" s="178">
        <f t="shared" si="36"/>
        <v>0</v>
      </c>
      <c r="AX72" s="178">
        <f t="shared" si="36"/>
        <v>0</v>
      </c>
      <c r="AY72" s="178">
        <f t="shared" si="36"/>
        <v>0</v>
      </c>
      <c r="AZ72" s="178">
        <f t="shared" si="36"/>
        <v>0</v>
      </c>
      <c r="BA72" s="178">
        <f t="shared" si="36"/>
        <v>0</v>
      </c>
      <c r="BB72" s="178">
        <f t="shared" si="36"/>
        <v>0</v>
      </c>
      <c r="BC72" s="178">
        <f t="shared" si="36"/>
        <v>0</v>
      </c>
      <c r="BD72" s="178">
        <f t="shared" si="36"/>
        <v>0</v>
      </c>
      <c r="BE72" s="178">
        <f t="shared" si="36"/>
        <v>0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0</v>
      </c>
      <c r="BQ72" s="178">
        <f t="shared" si="36"/>
        <v>0</v>
      </c>
      <c r="BR72" s="178">
        <f t="shared" si="36"/>
        <v>0</v>
      </c>
      <c r="BS72" s="178">
        <f t="shared" si="36"/>
        <v>0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22</v>
      </c>
      <c r="CJ72" s="178">
        <f t="shared" si="37"/>
        <v>22</v>
      </c>
      <c r="CK72" s="178">
        <f t="shared" si="37"/>
        <v>22</v>
      </c>
      <c r="CL72" s="178">
        <f t="shared" si="37"/>
        <v>22</v>
      </c>
      <c r="CM72" s="178">
        <f t="shared" si="37"/>
        <v>22</v>
      </c>
      <c r="CN72" s="178">
        <f t="shared" si="37"/>
        <v>22</v>
      </c>
      <c r="CO72" s="178">
        <f t="shared" si="37"/>
        <v>22</v>
      </c>
      <c r="CP72" s="178">
        <f t="shared" si="37"/>
        <v>22</v>
      </c>
      <c r="CQ72" s="178">
        <f t="shared" si="37"/>
        <v>22</v>
      </c>
      <c r="CR72" s="178">
        <f t="shared" si="37"/>
        <v>22</v>
      </c>
      <c r="CS72" s="178">
        <f t="shared" si="37"/>
        <v>22</v>
      </c>
      <c r="CT72" s="178">
        <f t="shared" si="37"/>
        <v>22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80"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15</v>
      </c>
      <c r="O73" s="178">
        <f>IF(AND(Troupeau!$C$3="BV",Scénario!$K$87&gt;2),Protection!K25*([1]Protect!$B$22+[1]Protect!$B$23),0)</f>
        <v>15</v>
      </c>
      <c r="P73" s="178">
        <f>IF(AND(Troupeau!$C$3="BV",Scénario!$K$87&gt;2),Protection!L25*([1]Protect!$B$22+[1]Protect!$B$23),0)</f>
        <v>10</v>
      </c>
      <c r="Q73" s="178">
        <f>IF(AND(Troupeau!$C$3="BV",Scénario!$K$87&gt;2),Protection!M25*([1]Protect!$B$22+[1]Protect!$B$23),0)</f>
        <v>15</v>
      </c>
      <c r="R73" s="178">
        <f>IF(AND(Troupeau!$C$3="BV",Scénario!$K$87&gt;2),Protection!N25*([1]Protect!$B$22+[1]Protect!$B$23),0)</f>
        <v>15</v>
      </c>
      <c r="S73" s="178">
        <f>IF(AND(Troupeau!$C$3="BV",Scénario!$K$87&gt;2),Protection!O25*([1]Protect!$B$22+[1]Protect!$B$23),0)</f>
        <v>15</v>
      </c>
      <c r="T73" s="178">
        <f>IF(AND(Troupeau!$C$3="BV",Scénario!$K$87&gt;2),Protection!P25*([1]Protect!$B$22+[1]Protect!$B$23),0)</f>
        <v>15</v>
      </c>
      <c r="U73" s="178">
        <f>IF(AND(Troupeau!$C$3="BV",Scénario!$K$87&gt;2),Protection!Q25*([1]Protect!$B$22+[1]Protect!$B$23),0)</f>
        <v>10</v>
      </c>
      <c r="V73" s="178">
        <f>IF(AND(Troupeau!$C$3="BV",Scénario!$K$87&gt;2),Protection!R25*([1]Protect!$B$22+[1]Protect!$B$23),0)</f>
        <v>15</v>
      </c>
      <c r="W73" s="178">
        <f>IF(AND(Troupeau!$C$3="BV",Scénario!$K$87&gt;2),Protection!S25*([1]Protect!$B$22+[1]Protect!$B$23),0)</f>
        <v>15</v>
      </c>
      <c r="X73" s="178">
        <f>IF(AND(Troupeau!$C$3="BV",Scénario!$K$87&gt;2),Protection!T25*([1]Protect!$B$22+[1]Protect!$B$23),0)</f>
        <v>10</v>
      </c>
      <c r="Y73" s="178">
        <f>IF(AND(Troupeau!$C$3="BV",Scénario!$K$87&gt;2),Protection!U25*([1]Protect!$B$22+[1]Protect!$B$23),0)</f>
        <v>15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22</v>
      </c>
      <c r="BK73" s="178">
        <f t="shared" si="36"/>
        <v>22</v>
      </c>
      <c r="BL73" s="178">
        <f t="shared" si="36"/>
        <v>22</v>
      </c>
      <c r="BM73" s="178">
        <f t="shared" si="36"/>
        <v>22</v>
      </c>
      <c r="BN73" s="178">
        <f t="shared" si="36"/>
        <v>22</v>
      </c>
      <c r="BO73" s="178">
        <f t="shared" si="36"/>
        <v>22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12</v>
      </c>
      <c r="CJ73" s="178">
        <f t="shared" si="37"/>
        <v>12</v>
      </c>
      <c r="CK73" s="178">
        <f t="shared" si="37"/>
        <v>12</v>
      </c>
      <c r="CL73" s="178">
        <f t="shared" si="37"/>
        <v>12</v>
      </c>
      <c r="CM73" s="178">
        <f t="shared" si="37"/>
        <v>12</v>
      </c>
      <c r="CN73" s="178">
        <f t="shared" si="37"/>
        <v>12</v>
      </c>
      <c r="CO73" s="178">
        <f t="shared" si="37"/>
        <v>12</v>
      </c>
      <c r="CP73" s="178">
        <f t="shared" si="37"/>
        <v>12</v>
      </c>
      <c r="CQ73" s="178">
        <f t="shared" si="37"/>
        <v>12</v>
      </c>
      <c r="CR73" s="178">
        <f t="shared" si="37"/>
        <v>12</v>
      </c>
      <c r="CS73" s="178">
        <f t="shared" si="37"/>
        <v>12</v>
      </c>
      <c r="CT73" s="178">
        <f t="shared" si="37"/>
        <v>12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23</v>
      </c>
      <c r="AW74" s="178">
        <f t="shared" si="36"/>
        <v>23</v>
      </c>
      <c r="AX74" s="178">
        <f t="shared" si="36"/>
        <v>23</v>
      </c>
      <c r="AY74" s="178">
        <f t="shared" si="36"/>
        <v>23</v>
      </c>
      <c r="AZ74" s="178">
        <f t="shared" si="36"/>
        <v>23</v>
      </c>
      <c r="BA74" s="178">
        <f t="shared" si="36"/>
        <v>23</v>
      </c>
      <c r="BB74" s="178">
        <f t="shared" si="36"/>
        <v>23</v>
      </c>
      <c r="BC74" s="178">
        <f t="shared" si="36"/>
        <v>23</v>
      </c>
      <c r="BD74" s="178">
        <f t="shared" si="36"/>
        <v>23</v>
      </c>
      <c r="BE74" s="178">
        <f t="shared" si="36"/>
        <v>23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23</v>
      </c>
      <c r="BQ74" s="178">
        <f t="shared" si="36"/>
        <v>23</v>
      </c>
      <c r="BR74" s="178">
        <f t="shared" si="36"/>
        <v>23</v>
      </c>
      <c r="BS74" s="178">
        <f t="shared" si="36"/>
        <v>23</v>
      </c>
      <c r="BZ74" s="192" t="str">
        <f t="shared" si="41"/>
        <v>Broutards</v>
      </c>
      <c r="CB74" s="178">
        <f t="shared" si="37"/>
        <v>23</v>
      </c>
      <c r="CC74" s="178">
        <f t="shared" si="37"/>
        <v>23</v>
      </c>
      <c r="CD74" s="178">
        <f t="shared" si="37"/>
        <v>23</v>
      </c>
      <c r="CE74" s="178">
        <f t="shared" si="37"/>
        <v>23</v>
      </c>
      <c r="CF74" s="178">
        <f t="shared" si="37"/>
        <v>23</v>
      </c>
      <c r="CG74" s="178">
        <f t="shared" si="37"/>
        <v>23</v>
      </c>
      <c r="CH74" s="178">
        <f t="shared" si="37"/>
        <v>23</v>
      </c>
      <c r="CI74" s="178">
        <f t="shared" si="37"/>
        <v>23</v>
      </c>
      <c r="CJ74" s="178">
        <f t="shared" si="37"/>
        <v>23</v>
      </c>
      <c r="CK74" s="178">
        <f t="shared" si="37"/>
        <v>23</v>
      </c>
      <c r="CL74" s="178">
        <f t="shared" si="37"/>
        <v>23</v>
      </c>
      <c r="CM74" s="178">
        <f t="shared" si="37"/>
        <v>23</v>
      </c>
      <c r="CN74" s="178">
        <f t="shared" si="37"/>
        <v>23</v>
      </c>
      <c r="CO74" s="178">
        <f t="shared" si="37"/>
        <v>23</v>
      </c>
      <c r="CP74" s="178">
        <f t="shared" si="37"/>
        <v>23</v>
      </c>
      <c r="CQ74" s="178">
        <f t="shared" si="37"/>
        <v>23</v>
      </c>
      <c r="CR74" s="178">
        <f t="shared" si="37"/>
        <v>23</v>
      </c>
      <c r="CS74" s="178">
        <f t="shared" si="37"/>
        <v>23</v>
      </c>
      <c r="CT74" s="178">
        <f t="shared" si="37"/>
        <v>23</v>
      </c>
      <c r="CU74" s="178">
        <f t="shared" si="37"/>
        <v>23</v>
      </c>
      <c r="CV74" s="178">
        <f t="shared" si="37"/>
        <v>23</v>
      </c>
      <c r="CW74" s="178">
        <f t="shared" si="37"/>
        <v>23</v>
      </c>
      <c r="CX74" s="178">
        <f t="shared" si="37"/>
        <v>23</v>
      </c>
      <c r="CY74" s="178">
        <f t="shared" si="37"/>
        <v>23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84</v>
      </c>
      <c r="G75" s="201">
        <f>IF(Protection!C195=0,0,[1]Protect!$B$9*Protection!C195*14)</f>
        <v>3.5</v>
      </c>
      <c r="H75" s="201">
        <f>IF(Protection!D195=0,0,[1]Protect!$B$9*Protection!D195*14)</f>
        <v>3.5</v>
      </c>
      <c r="I75" s="201">
        <f>IF(Protection!E195=0,0,[1]Protect!$B$9*Protection!E195*14)</f>
        <v>3.5</v>
      </c>
      <c r="J75" s="201">
        <f>IF(Protection!F195=0,0,[1]Protect!$B$9*Protection!F195*14)</f>
        <v>3.5</v>
      </c>
      <c r="K75" s="201">
        <f>IF(Protection!G195=0,0,[1]Protect!$B$9*Protection!G195*14)</f>
        <v>3.5</v>
      </c>
      <c r="L75" s="201">
        <f>IF(Protection!H195=0,0,[1]Protect!$B$9*Protection!H195*14)</f>
        <v>3.5</v>
      </c>
      <c r="M75" s="201">
        <f>IF(Protection!I195=0,0,[1]Protect!$B$9*Protection!I195*14)</f>
        <v>3.5</v>
      </c>
      <c r="N75" s="201">
        <f>IF(Protection!J195=0,0,[1]Protect!$B$9*Protection!J195*14)</f>
        <v>3.5</v>
      </c>
      <c r="O75" s="201">
        <f>IF(Protection!K195=0,0,[1]Protect!$B$9*Protection!K195*14)</f>
        <v>3.5</v>
      </c>
      <c r="P75" s="201">
        <f>IF(Protection!L195=0,0,[1]Protect!$B$9*Protection!L195*14)</f>
        <v>3.5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3.5</v>
      </c>
      <c r="AB75" s="201">
        <f>IF(Protection!X195=0,0,[1]Protect!$B$9*Protection!X195*14)</f>
        <v>3.5</v>
      </c>
      <c r="AC75" s="201">
        <f>IF(Protection!Y195=0,0,[1]Protect!$B$9*Protection!Y195*14)</f>
        <v>3.5</v>
      </c>
      <c r="AD75" s="20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 + vides</v>
      </c>
      <c r="AV75" s="178">
        <f t="shared" si="36"/>
        <v>22</v>
      </c>
      <c r="AW75" s="178">
        <f t="shared" si="36"/>
        <v>22</v>
      </c>
      <c r="AX75" s="178">
        <f t="shared" si="36"/>
        <v>22</v>
      </c>
      <c r="AY75" s="178">
        <f t="shared" si="36"/>
        <v>22</v>
      </c>
      <c r="AZ75" s="178">
        <f t="shared" si="36"/>
        <v>22</v>
      </c>
      <c r="BA75" s="178">
        <f t="shared" si="36"/>
        <v>22</v>
      </c>
      <c r="BB75" s="178">
        <f t="shared" si="36"/>
        <v>22</v>
      </c>
      <c r="BC75" s="178">
        <f t="shared" si="36"/>
        <v>22</v>
      </c>
      <c r="BD75" s="178">
        <f t="shared" si="36"/>
        <v>22</v>
      </c>
      <c r="BE75" s="178">
        <f t="shared" si="36"/>
        <v>22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22</v>
      </c>
      <c r="BQ75" s="178">
        <f t="shared" si="36"/>
        <v>22</v>
      </c>
      <c r="BR75" s="178">
        <f t="shared" si="36"/>
        <v>22</v>
      </c>
      <c r="BS75" s="178">
        <f t="shared" si="36"/>
        <v>22</v>
      </c>
      <c r="BZ75" s="192" t="str">
        <f t="shared" si="41"/>
        <v>génisses &lt; 1 an</v>
      </c>
      <c r="CB75" s="178">
        <f t="shared" si="37"/>
        <v>23</v>
      </c>
      <c r="CC75" s="178">
        <f t="shared" si="37"/>
        <v>23</v>
      </c>
      <c r="CD75" s="178">
        <f t="shared" si="37"/>
        <v>23</v>
      </c>
      <c r="CE75" s="178">
        <f t="shared" si="37"/>
        <v>23</v>
      </c>
      <c r="CF75" s="178">
        <f t="shared" si="37"/>
        <v>23</v>
      </c>
      <c r="CG75" s="178">
        <f t="shared" si="37"/>
        <v>23</v>
      </c>
      <c r="CH75" s="178">
        <f t="shared" si="37"/>
        <v>23</v>
      </c>
      <c r="CI75" s="178">
        <f t="shared" si="37"/>
        <v>23</v>
      </c>
      <c r="CJ75" s="178">
        <f t="shared" si="37"/>
        <v>23</v>
      </c>
      <c r="CK75" s="178">
        <f t="shared" si="37"/>
        <v>23</v>
      </c>
      <c r="CL75" s="178">
        <f t="shared" si="37"/>
        <v>23</v>
      </c>
      <c r="CM75" s="178">
        <f t="shared" si="37"/>
        <v>23</v>
      </c>
      <c r="CN75" s="178">
        <f t="shared" si="37"/>
        <v>23</v>
      </c>
      <c r="CO75" s="178">
        <f t="shared" si="37"/>
        <v>23</v>
      </c>
      <c r="CP75" s="178">
        <f t="shared" si="37"/>
        <v>23</v>
      </c>
      <c r="CQ75" s="178">
        <f t="shared" si="37"/>
        <v>23</v>
      </c>
      <c r="CR75" s="178">
        <f t="shared" si="37"/>
        <v>23</v>
      </c>
      <c r="CS75" s="178">
        <f t="shared" si="37"/>
        <v>23</v>
      </c>
      <c r="CT75" s="178">
        <f t="shared" si="37"/>
        <v>23</v>
      </c>
      <c r="CU75" s="178">
        <f t="shared" si="37"/>
        <v>23</v>
      </c>
      <c r="CV75" s="178">
        <f t="shared" si="37"/>
        <v>23</v>
      </c>
      <c r="CW75" s="178">
        <f t="shared" si="37"/>
        <v>23</v>
      </c>
      <c r="CX75" s="178">
        <f t="shared" si="37"/>
        <v>23</v>
      </c>
      <c r="CY75" s="178">
        <f t="shared" si="37"/>
        <v>23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469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28.5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28.5</v>
      </c>
      <c r="W77" s="46">
        <f t="shared" si="43"/>
        <v>28.5</v>
      </c>
      <c r="X77" s="46">
        <f t="shared" si="43"/>
        <v>23.5</v>
      </c>
      <c r="Y77" s="46">
        <f t="shared" si="43"/>
        <v>28.5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0.56999999999999995</v>
      </c>
      <c r="C81" s="193">
        <f>[1]Protect!$B$10</f>
        <v>4</v>
      </c>
      <c r="D81" s="176"/>
      <c r="E81" s="176"/>
      <c r="F81" s="17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2</v>
      </c>
      <c r="AW81" s="178">
        <f t="shared" ref="AW81:BS81" si="44">COUNTIF(AW$71:AW$80,23)</f>
        <v>2</v>
      </c>
      <c r="AX81" s="178">
        <f t="shared" si="44"/>
        <v>2</v>
      </c>
      <c r="AY81" s="178">
        <f t="shared" si="44"/>
        <v>2</v>
      </c>
      <c r="AZ81" s="178">
        <f t="shared" si="44"/>
        <v>2</v>
      </c>
      <c r="BA81" s="178">
        <f t="shared" si="44"/>
        <v>2</v>
      </c>
      <c r="BB81" s="178">
        <f t="shared" si="44"/>
        <v>2</v>
      </c>
      <c r="BC81" s="178">
        <f t="shared" si="44"/>
        <v>2</v>
      </c>
      <c r="BD81" s="178">
        <f t="shared" si="44"/>
        <v>2</v>
      </c>
      <c r="BE81" s="178">
        <f t="shared" si="44"/>
        <v>2</v>
      </c>
      <c r="BF81" s="178">
        <f t="shared" si="44"/>
        <v>1</v>
      </c>
      <c r="BG81" s="178">
        <f t="shared" si="44"/>
        <v>1</v>
      </c>
      <c r="BH81" s="178">
        <f t="shared" si="44"/>
        <v>1</v>
      </c>
      <c r="BI81" s="178">
        <f t="shared" si="44"/>
        <v>1</v>
      </c>
      <c r="BJ81" s="178">
        <f t="shared" si="44"/>
        <v>0</v>
      </c>
      <c r="BK81" s="178">
        <f t="shared" si="44"/>
        <v>0</v>
      </c>
      <c r="BL81" s="178">
        <f t="shared" si="44"/>
        <v>0</v>
      </c>
      <c r="BM81" s="178">
        <f t="shared" si="44"/>
        <v>0</v>
      </c>
      <c r="BN81" s="178">
        <f t="shared" si="44"/>
        <v>0</v>
      </c>
      <c r="BO81" s="178">
        <f t="shared" si="44"/>
        <v>0</v>
      </c>
      <c r="BP81" s="178">
        <f t="shared" si="44"/>
        <v>1</v>
      </c>
      <c r="BQ81" s="178">
        <f t="shared" si="44"/>
        <v>1</v>
      </c>
      <c r="BR81" s="178">
        <f t="shared" si="44"/>
        <v>2</v>
      </c>
      <c r="BS81" s="178">
        <f t="shared" si="44"/>
        <v>2</v>
      </c>
      <c r="BZ81" s="19" t="s">
        <v>887</v>
      </c>
      <c r="CB81" s="178">
        <f>COUNTIF(CB$71:CB$80,23)</f>
        <v>3</v>
      </c>
      <c r="CC81" s="178">
        <f>COUNTIF(CC$71:CC$80,23)</f>
        <v>3</v>
      </c>
      <c r="CD81" s="178">
        <f t="shared" ref="CD81:CY81" si="45">COUNTIF(CD$71:CD$80,23)</f>
        <v>3</v>
      </c>
      <c r="CE81" s="178">
        <f t="shared" si="45"/>
        <v>3</v>
      </c>
      <c r="CF81" s="178">
        <f t="shared" si="45"/>
        <v>3</v>
      </c>
      <c r="CG81" s="178">
        <f t="shared" si="45"/>
        <v>3</v>
      </c>
      <c r="CH81" s="178">
        <f t="shared" si="45"/>
        <v>3</v>
      </c>
      <c r="CI81" s="178">
        <f t="shared" si="45"/>
        <v>2</v>
      </c>
      <c r="CJ81" s="178">
        <f t="shared" si="45"/>
        <v>2</v>
      </c>
      <c r="CK81" s="178">
        <f t="shared" si="45"/>
        <v>2</v>
      </c>
      <c r="CL81" s="178">
        <f t="shared" si="45"/>
        <v>2</v>
      </c>
      <c r="CM81" s="178">
        <f t="shared" si="45"/>
        <v>2</v>
      </c>
      <c r="CN81" s="178">
        <f t="shared" si="45"/>
        <v>2</v>
      </c>
      <c r="CO81" s="178">
        <f t="shared" si="45"/>
        <v>2</v>
      </c>
      <c r="CP81" s="178">
        <f t="shared" si="45"/>
        <v>2</v>
      </c>
      <c r="CQ81" s="178">
        <f t="shared" si="45"/>
        <v>2</v>
      </c>
      <c r="CR81" s="178">
        <f t="shared" si="45"/>
        <v>2</v>
      </c>
      <c r="CS81" s="178">
        <f t="shared" si="45"/>
        <v>2</v>
      </c>
      <c r="CT81" s="178">
        <f t="shared" si="45"/>
        <v>2</v>
      </c>
      <c r="CU81" s="178">
        <f t="shared" si="45"/>
        <v>3</v>
      </c>
      <c r="CV81" s="178">
        <f t="shared" si="45"/>
        <v>3</v>
      </c>
      <c r="CW81" s="178">
        <f t="shared" si="45"/>
        <v>3</v>
      </c>
      <c r="CX81" s="178">
        <f t="shared" si="45"/>
        <v>3</v>
      </c>
      <c r="CY81" s="178">
        <f t="shared" si="45"/>
        <v>3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0</v>
      </c>
      <c r="AW82" s="178">
        <f t="shared" ref="AW82:BS82" si="47">COUNTIF(AW$71:AW$80,13)</f>
        <v>0</v>
      </c>
      <c r="AX82" s="178">
        <f t="shared" si="47"/>
        <v>0</v>
      </c>
      <c r="AY82" s="178">
        <f t="shared" si="47"/>
        <v>0</v>
      </c>
      <c r="AZ82" s="178">
        <f t="shared" si="47"/>
        <v>0</v>
      </c>
      <c r="BA82" s="178">
        <f t="shared" si="47"/>
        <v>0</v>
      </c>
      <c r="BB82" s="178">
        <f t="shared" si="47"/>
        <v>0</v>
      </c>
      <c r="BC82" s="178">
        <f t="shared" si="47"/>
        <v>0</v>
      </c>
      <c r="BD82" s="178">
        <f t="shared" si="47"/>
        <v>0</v>
      </c>
      <c r="BE82" s="178">
        <f t="shared" si="47"/>
        <v>0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0</v>
      </c>
      <c r="BQ82" s="178">
        <f t="shared" si="47"/>
        <v>0</v>
      </c>
      <c r="BR82" s="178">
        <f t="shared" si="47"/>
        <v>0</v>
      </c>
      <c r="BS82" s="178">
        <f t="shared" si="47"/>
        <v>0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0</v>
      </c>
      <c r="CJ82" s="178">
        <f t="shared" si="48"/>
        <v>0</v>
      </c>
      <c r="CK82" s="178">
        <f t="shared" si="48"/>
        <v>0</v>
      </c>
      <c r="CL82" s="178">
        <f t="shared" si="48"/>
        <v>0</v>
      </c>
      <c r="CM82" s="178">
        <f t="shared" si="48"/>
        <v>0</v>
      </c>
      <c r="CN82" s="178">
        <f t="shared" si="48"/>
        <v>0</v>
      </c>
      <c r="CO82" s="178">
        <f t="shared" si="48"/>
        <v>0</v>
      </c>
      <c r="CP82" s="178">
        <f t="shared" si="48"/>
        <v>0</v>
      </c>
      <c r="CQ82" s="178">
        <f t="shared" si="48"/>
        <v>0</v>
      </c>
      <c r="CR82" s="178">
        <f t="shared" si="48"/>
        <v>0</v>
      </c>
      <c r="CS82" s="178">
        <f t="shared" si="48"/>
        <v>0</v>
      </c>
      <c r="CT82" s="178">
        <f t="shared" si="48"/>
        <v>0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3.3980000000000001</v>
      </c>
      <c r="C83" s="193">
        <f>[1]Protect!$B$24+[1]Protect!$B$26</f>
        <v>0.33</v>
      </c>
      <c r="D83" s="176"/>
      <c r="E83" s="176"/>
      <c r="F83" s="17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2</v>
      </c>
      <c r="AW83" s="178">
        <f t="shared" ref="AW83:BS83" si="50">COUNTIF(AW$71:AW$80,22)</f>
        <v>2</v>
      </c>
      <c r="AX83" s="178">
        <f t="shared" si="50"/>
        <v>2</v>
      </c>
      <c r="AY83" s="178">
        <f t="shared" si="50"/>
        <v>2</v>
      </c>
      <c r="AZ83" s="178">
        <f t="shared" si="50"/>
        <v>2</v>
      </c>
      <c r="BA83" s="178">
        <f t="shared" si="50"/>
        <v>2</v>
      </c>
      <c r="BB83" s="178">
        <f t="shared" si="50"/>
        <v>2</v>
      </c>
      <c r="BC83" s="178">
        <f t="shared" si="50"/>
        <v>2</v>
      </c>
      <c r="BD83" s="178">
        <f t="shared" si="50"/>
        <v>2</v>
      </c>
      <c r="BE83" s="178">
        <f t="shared" si="50"/>
        <v>2</v>
      </c>
      <c r="BF83" s="178">
        <f t="shared" si="50"/>
        <v>1</v>
      </c>
      <c r="BG83" s="178">
        <f t="shared" si="50"/>
        <v>1</v>
      </c>
      <c r="BH83" s="178">
        <f t="shared" si="50"/>
        <v>1</v>
      </c>
      <c r="BI83" s="178">
        <f t="shared" si="50"/>
        <v>1</v>
      </c>
      <c r="BJ83" s="178">
        <f t="shared" si="50"/>
        <v>2</v>
      </c>
      <c r="BK83" s="178">
        <f t="shared" si="50"/>
        <v>2</v>
      </c>
      <c r="BL83" s="178">
        <f t="shared" si="50"/>
        <v>2</v>
      </c>
      <c r="BM83" s="178">
        <f t="shared" si="50"/>
        <v>2</v>
      </c>
      <c r="BN83" s="178">
        <f t="shared" si="50"/>
        <v>2</v>
      </c>
      <c r="BO83" s="178">
        <f t="shared" si="50"/>
        <v>2</v>
      </c>
      <c r="BP83" s="178">
        <f t="shared" si="50"/>
        <v>2</v>
      </c>
      <c r="BQ83" s="178">
        <f t="shared" si="50"/>
        <v>2</v>
      </c>
      <c r="BR83" s="178">
        <f t="shared" si="50"/>
        <v>2</v>
      </c>
      <c r="BS83" s="178">
        <f t="shared" si="50"/>
        <v>2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1</v>
      </c>
      <c r="CJ83" s="178">
        <f t="shared" si="51"/>
        <v>1</v>
      </c>
      <c r="CK83" s="178">
        <f t="shared" si="51"/>
        <v>1</v>
      </c>
      <c r="CL83" s="178">
        <f t="shared" si="51"/>
        <v>1</v>
      </c>
      <c r="CM83" s="178">
        <f t="shared" si="51"/>
        <v>1</v>
      </c>
      <c r="CN83" s="178">
        <f t="shared" si="51"/>
        <v>1</v>
      </c>
      <c r="CO83" s="178">
        <f t="shared" si="51"/>
        <v>1</v>
      </c>
      <c r="CP83" s="178">
        <f t="shared" si="51"/>
        <v>1</v>
      </c>
      <c r="CQ83" s="178">
        <f t="shared" si="51"/>
        <v>1</v>
      </c>
      <c r="CR83" s="178">
        <f t="shared" si="51"/>
        <v>1</v>
      </c>
      <c r="CS83" s="178">
        <f t="shared" si="51"/>
        <v>1</v>
      </c>
      <c r="CT83" s="178">
        <f t="shared" si="51"/>
        <v>1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0</v>
      </c>
      <c r="AW84" s="178">
        <f t="shared" ref="AW84:BS84" si="53">COUNTIF(AW$71:AW$80,12)</f>
        <v>0</v>
      </c>
      <c r="AX84" s="178">
        <f t="shared" si="53"/>
        <v>0</v>
      </c>
      <c r="AY84" s="178">
        <f t="shared" si="53"/>
        <v>0</v>
      </c>
      <c r="AZ84" s="178">
        <f t="shared" si="53"/>
        <v>0</v>
      </c>
      <c r="BA84" s="178">
        <f t="shared" si="53"/>
        <v>0</v>
      </c>
      <c r="BB84" s="178">
        <f t="shared" si="53"/>
        <v>0</v>
      </c>
      <c r="BC84" s="178">
        <f t="shared" si="53"/>
        <v>0</v>
      </c>
      <c r="BD84" s="178">
        <f t="shared" si="53"/>
        <v>0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0</v>
      </c>
      <c r="BS84" s="178">
        <f t="shared" si="53"/>
        <v>0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1</v>
      </c>
      <c r="CJ84" s="178">
        <f t="shared" si="54"/>
        <v>1</v>
      </c>
      <c r="CK84" s="178">
        <f t="shared" si="54"/>
        <v>1</v>
      </c>
      <c r="CL84" s="178">
        <f t="shared" si="54"/>
        <v>1</v>
      </c>
      <c r="CM84" s="178">
        <f t="shared" si="54"/>
        <v>1</v>
      </c>
      <c r="CN84" s="178">
        <f t="shared" si="54"/>
        <v>1</v>
      </c>
      <c r="CO84" s="178">
        <f t="shared" si="54"/>
        <v>1</v>
      </c>
      <c r="CP84" s="178">
        <f t="shared" si="54"/>
        <v>1</v>
      </c>
      <c r="CQ84" s="178">
        <f t="shared" si="54"/>
        <v>1</v>
      </c>
      <c r="CR84" s="178">
        <f t="shared" si="54"/>
        <v>1</v>
      </c>
      <c r="CS84" s="178">
        <f t="shared" si="54"/>
        <v>1</v>
      </c>
      <c r="CT84" s="178">
        <f t="shared" si="54"/>
        <v>1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21</v>
      </c>
      <c r="BK86" s="193">
        <f>IF(BK85=0,0,HLOOKUP(BK85,[1]Trav!$C$39:$G$59,$AU$105))</f>
        <v>21</v>
      </c>
      <c r="BL86" s="193">
        <f>IF(BL85=0,0,HLOOKUP(BL85,[1]Trav!$C$39:$G$59,$AU$105))</f>
        <v>21</v>
      </c>
      <c r="BM86" s="193">
        <f>IF(BM85=0,0,HLOOKUP(BM85,[1]Trav!$C$39:$G$59,$AU$105))</f>
        <v>21</v>
      </c>
      <c r="BN86" s="193">
        <f>IF(BN85=0,0,HLOOKUP(BN85,[1]Trav!$C$39:$G$59,$AU$105))</f>
        <v>21</v>
      </c>
      <c r="BO86" s="193">
        <f>IF(BO85=0,0,HLOOKUP(BO85,[1]Trav!$C$39:$G$59,$AU$105))</f>
        <v>21</v>
      </c>
      <c r="BP86" s="193">
        <f>IF(BP85=0,0,HLOOKUP(BP85,[1]Trav!$C$39:$G$59,$AU$105))</f>
        <v>42</v>
      </c>
      <c r="BQ86" s="193">
        <f>IF(BQ85=0,0,HLOOKUP(BQ85,[1]Trav!$C$39:$G$59,$AU$105))</f>
        <v>42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42</v>
      </c>
      <c r="CJ86" s="193">
        <f>IF(CJ85=0,0,HLOOKUP(CJ85,[1]Trav!$C$39:$G$59,$AU$105))</f>
        <v>42</v>
      </c>
      <c r="CK86" s="193">
        <f>IF(CK85=0,0,HLOOKUP(CK85,[1]Trav!$C$39:$G$59,$AU$105))</f>
        <v>42</v>
      </c>
      <c r="CL86" s="193">
        <f>IF(CL85=0,0,HLOOKUP(CL85,[1]Trav!$C$39:$G$59,$AU$105))</f>
        <v>42</v>
      </c>
      <c r="CM86" s="193">
        <f>IF(CM85=0,0,HLOOKUP(CM85,[1]Trav!$C$39:$G$59,$AU$105))</f>
        <v>42</v>
      </c>
      <c r="CN86" s="193">
        <f>IF(CN85=0,0,HLOOKUP(CN85,[1]Trav!$C$39:$G$59,$AU$105))</f>
        <v>42</v>
      </c>
      <c r="CO86" s="193">
        <f>IF(CO85=0,0,HLOOKUP(CO85,[1]Trav!$C$39:$G$59,$AU$105))</f>
        <v>42</v>
      </c>
      <c r="CP86" s="193">
        <f>IF(CP85=0,0,HLOOKUP(CP85,[1]Trav!$C$39:$G$59,$AU$105))</f>
        <v>42</v>
      </c>
      <c r="CQ86" s="193">
        <f>IF(CQ85=0,0,HLOOKUP(CQ85,[1]Trav!$C$39:$G$59,$AU$105))</f>
        <v>42</v>
      </c>
      <c r="CR86" s="193">
        <f>IF(CR85=0,0,HLOOKUP(CR85,[1]Trav!$C$39:$G$59,$AU$105))</f>
        <v>42</v>
      </c>
      <c r="CS86" s="193">
        <f>IF(CS85=0,0,HLOOKUP(CS85,[1]Trav!$C$39:$G$59,$AU$105))</f>
        <v>42</v>
      </c>
      <c r="CT86" s="193">
        <f>IF(CT85=0,0,HLOOKUP(CT85,[1]Trav!$C$39:$G$59,$AU$105))</f>
        <v>42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0</v>
      </c>
      <c r="CJ90" s="178">
        <f t="shared" si="62"/>
        <v>0</v>
      </c>
      <c r="CK90" s="178">
        <f t="shared" si="62"/>
        <v>0</v>
      </c>
      <c r="CL90" s="178">
        <f t="shared" si="62"/>
        <v>0</v>
      </c>
      <c r="CM90" s="178">
        <f t="shared" si="62"/>
        <v>0</v>
      </c>
      <c r="CN90" s="178">
        <f t="shared" si="62"/>
        <v>0</v>
      </c>
      <c r="CO90" s="178">
        <f t="shared" si="62"/>
        <v>0</v>
      </c>
      <c r="CP90" s="178">
        <f t="shared" si="62"/>
        <v>0</v>
      </c>
      <c r="CQ90" s="178">
        <f t="shared" si="62"/>
        <v>0</v>
      </c>
      <c r="CR90" s="178">
        <f t="shared" si="62"/>
        <v>0</v>
      </c>
      <c r="CS90" s="178">
        <f t="shared" si="62"/>
        <v>0</v>
      </c>
      <c r="CT90" s="178">
        <f t="shared" si="62"/>
        <v>0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1795.5590624999993</v>
      </c>
      <c r="C91" s="5"/>
      <c r="D91" s="206">
        <f>B91/Troupeau!$B$17</f>
        <v>5.0295772058823509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lot2</v>
      </c>
      <c r="AV91" s="178">
        <f t="shared" si="60"/>
        <v>0</v>
      </c>
      <c r="AW91" s="178">
        <f t="shared" si="60"/>
        <v>0</v>
      </c>
      <c r="AX91" s="178">
        <f t="shared" si="60"/>
        <v>0</v>
      </c>
      <c r="AY91" s="178">
        <f t="shared" si="60"/>
        <v>0</v>
      </c>
      <c r="AZ91" s="178">
        <f t="shared" si="60"/>
        <v>0</v>
      </c>
      <c r="BA91" s="178">
        <f t="shared" si="60"/>
        <v>0</v>
      </c>
      <c r="BB91" s="178">
        <f t="shared" si="60"/>
        <v>0</v>
      </c>
      <c r="BC91" s="178">
        <f t="shared" si="60"/>
        <v>0</v>
      </c>
      <c r="BD91" s="178">
        <f t="shared" si="60"/>
        <v>0</v>
      </c>
      <c r="BE91" s="178">
        <f t="shared" si="60"/>
        <v>0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0</v>
      </c>
      <c r="BQ91" s="178">
        <f t="shared" si="60"/>
        <v>0</v>
      </c>
      <c r="BR91" s="178">
        <f t="shared" si="60"/>
        <v>0</v>
      </c>
      <c r="BS91" s="178">
        <f t="shared" si="60"/>
        <v>0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1197</v>
      </c>
      <c r="C92" s="5"/>
      <c r="D92" s="206">
        <f>IF(B92=0,0,B92/Troupeau!$C$17)</f>
        <v>57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5.0909090909090917</v>
      </c>
      <c r="CC92" s="178">
        <f t="shared" si="62"/>
        <v>5.0909090909090917</v>
      </c>
      <c r="CD92" s="178">
        <f t="shared" si="62"/>
        <v>5.0909090909090917</v>
      </c>
      <c r="CE92" s="178">
        <f t="shared" si="62"/>
        <v>5.7272727272727284</v>
      </c>
      <c r="CF92" s="178">
        <f t="shared" si="62"/>
        <v>5.7272727272727284</v>
      </c>
      <c r="CG92" s="178">
        <f t="shared" si="62"/>
        <v>5.7272727272727284</v>
      </c>
      <c r="CH92" s="178">
        <f t="shared" si="62"/>
        <v>5.0909090909090917</v>
      </c>
      <c r="CI92" s="178">
        <f t="shared" si="62"/>
        <v>5.0909090909090917</v>
      </c>
      <c r="CJ92" s="178">
        <f t="shared" si="62"/>
        <v>5.0909090909090917</v>
      </c>
      <c r="CK92" s="178">
        <f t="shared" si="62"/>
        <v>5.0909090909090917</v>
      </c>
      <c r="CL92" s="178">
        <f t="shared" si="62"/>
        <v>4.454545454545455</v>
      </c>
      <c r="CM92" s="178">
        <f t="shared" si="62"/>
        <v>4.454545454545455</v>
      </c>
      <c r="CN92" s="178">
        <f t="shared" si="62"/>
        <v>4.454545454545455</v>
      </c>
      <c r="CO92" s="178">
        <f t="shared" si="62"/>
        <v>4.454545454545455</v>
      </c>
      <c r="CP92" s="178">
        <f t="shared" si="62"/>
        <v>3.8181818181818183</v>
      </c>
      <c r="CQ92" s="178">
        <f t="shared" si="62"/>
        <v>3.8181818181818183</v>
      </c>
      <c r="CR92" s="178">
        <f t="shared" si="62"/>
        <v>3.1818181818181817</v>
      </c>
      <c r="CS92" s="178">
        <f t="shared" si="62"/>
        <v>3.8181818181818183</v>
      </c>
      <c r="CT92" s="178">
        <f t="shared" si="62"/>
        <v>3.8181818181818183</v>
      </c>
      <c r="CU92" s="178">
        <f t="shared" si="62"/>
        <v>3.8181818181818183</v>
      </c>
      <c r="CV92" s="178">
        <f t="shared" si="62"/>
        <v>4.454545454545455</v>
      </c>
      <c r="CW92" s="178">
        <f t="shared" si="62"/>
        <v>4.454545454545455</v>
      </c>
      <c r="CX92" s="178">
        <f t="shared" si="62"/>
        <v>4.454545454545455</v>
      </c>
      <c r="CY92" s="178">
        <f t="shared" si="62"/>
        <v>4.454545454545455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7.4375</v>
      </c>
      <c r="AW93" s="178">
        <f t="shared" si="60"/>
        <v>7.4375</v>
      </c>
      <c r="AX93" s="178">
        <f t="shared" si="60"/>
        <v>7.4375</v>
      </c>
      <c r="AY93" s="178">
        <f t="shared" si="60"/>
        <v>7.4375</v>
      </c>
      <c r="AZ93" s="178">
        <f t="shared" si="60"/>
        <v>7.4375</v>
      </c>
      <c r="BA93" s="178">
        <f t="shared" si="60"/>
        <v>7.4375</v>
      </c>
      <c r="BB93" s="178">
        <f t="shared" si="60"/>
        <v>7.4375</v>
      </c>
      <c r="BC93" s="178">
        <f t="shared" si="60"/>
        <v>7.4375</v>
      </c>
      <c r="BD93" s="178">
        <f t="shared" si="60"/>
        <v>7.4375</v>
      </c>
      <c r="BE93" s="178">
        <f t="shared" si="60"/>
        <v>7.4375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7.4375</v>
      </c>
      <c r="BQ93" s="178">
        <f t="shared" si="60"/>
        <v>7.4375</v>
      </c>
      <c r="BR93" s="178">
        <f t="shared" si="60"/>
        <v>7.4375</v>
      </c>
      <c r="BS93" s="178">
        <f t="shared" si="60"/>
        <v>7.4375</v>
      </c>
      <c r="BY93" s="2"/>
      <c r="BZ93" s="192" t="str">
        <f t="shared" si="61"/>
        <v>Broutards</v>
      </c>
      <c r="CB93" s="178">
        <f t="shared" si="62"/>
        <v>9.545454545454545</v>
      </c>
      <c r="CC93" s="178">
        <f t="shared" si="62"/>
        <v>9.545454545454545</v>
      </c>
      <c r="CD93" s="178">
        <f t="shared" si="62"/>
        <v>9.545454545454545</v>
      </c>
      <c r="CE93" s="178">
        <f t="shared" si="62"/>
        <v>9.545454545454545</v>
      </c>
      <c r="CF93" s="178">
        <f t="shared" si="62"/>
        <v>9.545454545454545</v>
      </c>
      <c r="CG93" s="178">
        <f t="shared" si="62"/>
        <v>9.545454545454545</v>
      </c>
      <c r="CH93" s="178">
        <f t="shared" si="62"/>
        <v>9.545454545454545</v>
      </c>
      <c r="CI93" s="178">
        <f t="shared" si="62"/>
        <v>9.545454545454545</v>
      </c>
      <c r="CJ93" s="178">
        <f t="shared" si="62"/>
        <v>9.545454545454545</v>
      </c>
      <c r="CK93" s="178">
        <f t="shared" si="62"/>
        <v>9.545454545454545</v>
      </c>
      <c r="CL93" s="178">
        <f t="shared" si="62"/>
        <v>9.545454545454545</v>
      </c>
      <c r="CM93" s="178">
        <f t="shared" si="62"/>
        <v>9.545454545454545</v>
      </c>
      <c r="CN93" s="178">
        <f t="shared" si="62"/>
        <v>9.545454545454545</v>
      </c>
      <c r="CO93" s="178">
        <f t="shared" si="62"/>
        <v>9.545454545454545</v>
      </c>
      <c r="CP93" s="178">
        <f t="shared" si="62"/>
        <v>9.545454545454545</v>
      </c>
      <c r="CQ93" s="178">
        <f t="shared" si="62"/>
        <v>9.545454545454545</v>
      </c>
      <c r="CR93" s="178">
        <f t="shared" si="62"/>
        <v>9.545454545454545</v>
      </c>
      <c r="CS93" s="178">
        <f t="shared" si="62"/>
        <v>9.545454545454545</v>
      </c>
      <c r="CT93" s="178">
        <f t="shared" si="62"/>
        <v>9.545454545454545</v>
      </c>
      <c r="CU93" s="178">
        <f t="shared" si="62"/>
        <v>9.545454545454545</v>
      </c>
      <c r="CV93" s="178">
        <f t="shared" si="62"/>
        <v>9.545454545454545</v>
      </c>
      <c r="CW93" s="178">
        <f t="shared" si="62"/>
        <v>9.545454545454545</v>
      </c>
      <c r="CX93" s="178">
        <f t="shared" si="62"/>
        <v>9.545454545454545</v>
      </c>
      <c r="CY93" s="178">
        <f t="shared" si="62"/>
        <v>9.545454545454545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2992.5590624999995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 + vides</v>
      </c>
      <c r="AV94" s="178">
        <f>IF(AV41&gt;1,AV8,0)</f>
        <v>78.625</v>
      </c>
      <c r="AW94" s="178">
        <f t="shared" si="60"/>
        <v>71.1875</v>
      </c>
      <c r="AX94" s="178">
        <f t="shared" si="60"/>
        <v>63.75</v>
      </c>
      <c r="AY94" s="178">
        <f t="shared" si="60"/>
        <v>57.375</v>
      </c>
      <c r="AZ94" s="178">
        <f t="shared" si="60"/>
        <v>51</v>
      </c>
      <c r="BA94" s="178">
        <f t="shared" si="60"/>
        <v>44.625</v>
      </c>
      <c r="BB94" s="178">
        <f t="shared" si="60"/>
        <v>38.25</v>
      </c>
      <c r="BC94" s="178">
        <f t="shared" si="60"/>
        <v>31.875</v>
      </c>
      <c r="BD94" s="178">
        <f t="shared" si="60"/>
        <v>25.5</v>
      </c>
      <c r="BE94" s="178">
        <f t="shared" si="60"/>
        <v>18.0625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18.0625</v>
      </c>
      <c r="BQ94" s="178">
        <f t="shared" si="60"/>
        <v>18.0625</v>
      </c>
      <c r="BR94" s="178">
        <f t="shared" si="60"/>
        <v>78.625</v>
      </c>
      <c r="BS94" s="178">
        <f t="shared" si="60"/>
        <v>78.625</v>
      </c>
      <c r="BZ94" s="192" t="str">
        <f>BZ30</f>
        <v>génisses &lt; 1 an</v>
      </c>
      <c r="CB94" s="178">
        <f>IF(CB41&gt;1,CB8,0)</f>
        <v>2.5454545454545454</v>
      </c>
      <c r="CC94" s="178">
        <f t="shared" si="62"/>
        <v>2.5454545454545454</v>
      </c>
      <c r="CD94" s="178">
        <f t="shared" si="62"/>
        <v>2.5454545454545454</v>
      </c>
      <c r="CE94" s="178">
        <f t="shared" si="62"/>
        <v>2.8636363636363638</v>
      </c>
      <c r="CF94" s="178">
        <f t="shared" si="62"/>
        <v>2.8636363636363638</v>
      </c>
      <c r="CG94" s="178">
        <f t="shared" si="62"/>
        <v>2.8636363636363638</v>
      </c>
      <c r="CH94" s="178">
        <f t="shared" si="62"/>
        <v>2.5454545454545454</v>
      </c>
      <c r="CI94" s="178">
        <f t="shared" si="62"/>
        <v>2.5454545454545454</v>
      </c>
      <c r="CJ94" s="178">
        <f t="shared" si="62"/>
        <v>2.5454545454545454</v>
      </c>
      <c r="CK94" s="178">
        <f t="shared" si="62"/>
        <v>2.5454545454545454</v>
      </c>
      <c r="CL94" s="178">
        <f t="shared" si="62"/>
        <v>2.2272727272727271</v>
      </c>
      <c r="CM94" s="178">
        <f t="shared" si="62"/>
        <v>2.2272727272727271</v>
      </c>
      <c r="CN94" s="178">
        <f t="shared" si="62"/>
        <v>2.2272727272727271</v>
      </c>
      <c r="CO94" s="178">
        <f t="shared" si="62"/>
        <v>2.2272727272727271</v>
      </c>
      <c r="CP94" s="178">
        <f t="shared" si="62"/>
        <v>1.9090909090909092</v>
      </c>
      <c r="CQ94" s="178">
        <f t="shared" si="62"/>
        <v>1.9090909090909092</v>
      </c>
      <c r="CR94" s="178">
        <f t="shared" si="62"/>
        <v>1.5909090909090908</v>
      </c>
      <c r="CS94" s="178">
        <f t="shared" si="62"/>
        <v>1.9090909090909092</v>
      </c>
      <c r="CT94" s="178">
        <f t="shared" si="62"/>
        <v>1.9090909090909092</v>
      </c>
      <c r="CU94" s="178">
        <f t="shared" si="62"/>
        <v>1.9090909090909092</v>
      </c>
      <c r="CV94" s="178">
        <f t="shared" si="62"/>
        <v>2.2272727272727271</v>
      </c>
      <c r="CW94" s="178">
        <f t="shared" si="62"/>
        <v>2.2272727272727271</v>
      </c>
      <c r="CX94" s="178">
        <f t="shared" si="62"/>
        <v>2.2272727272727271</v>
      </c>
      <c r="CY94" s="178">
        <f t="shared" si="62"/>
        <v>2.2272727272727271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450.5</v>
      </c>
      <c r="AW99" s="62">
        <f t="shared" ref="AW99:BS99" si="68">SUM(AW90:AW98)</f>
        <v>449.4375</v>
      </c>
      <c r="AX99" s="62">
        <f t="shared" si="68"/>
        <v>447.3125</v>
      </c>
      <c r="AY99" s="62">
        <f t="shared" si="68"/>
        <v>422.875</v>
      </c>
      <c r="AZ99" s="62">
        <f t="shared" si="68"/>
        <v>420.75</v>
      </c>
      <c r="BA99" s="62">
        <f t="shared" si="68"/>
        <v>418.625</v>
      </c>
      <c r="BB99" s="62">
        <f t="shared" si="68"/>
        <v>416.5</v>
      </c>
      <c r="BC99" s="62">
        <f t="shared" si="68"/>
        <v>414.375</v>
      </c>
      <c r="BD99" s="62">
        <f t="shared" si="68"/>
        <v>412.25</v>
      </c>
      <c r="BE99" s="62">
        <f t="shared" si="68"/>
        <v>411.1875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364.4375</v>
      </c>
      <c r="BQ99" s="62">
        <f t="shared" si="68"/>
        <v>364.4375</v>
      </c>
      <c r="BR99" s="62">
        <f t="shared" si="68"/>
        <v>450.5</v>
      </c>
      <c r="BS99" s="62">
        <f t="shared" si="68"/>
        <v>450.5</v>
      </c>
      <c r="BZ99" s="37" t="s">
        <v>13</v>
      </c>
      <c r="CB99" s="62">
        <f t="shared" ref="CB99:CY99" si="69">SUM(CB94:CB98)</f>
        <v>2.5454545454545454</v>
      </c>
      <c r="CC99" s="62">
        <f t="shared" si="69"/>
        <v>2.5454545454545454</v>
      </c>
      <c r="CD99" s="62">
        <f t="shared" si="69"/>
        <v>2.5454545454545454</v>
      </c>
      <c r="CE99" s="62">
        <f t="shared" si="69"/>
        <v>2.8636363636363638</v>
      </c>
      <c r="CF99" s="62">
        <f t="shared" si="69"/>
        <v>2.8636363636363638</v>
      </c>
      <c r="CG99" s="62">
        <f t="shared" si="69"/>
        <v>2.8636363636363638</v>
      </c>
      <c r="CH99" s="62">
        <f t="shared" si="69"/>
        <v>2.5454545454545454</v>
      </c>
      <c r="CI99" s="62">
        <f t="shared" si="69"/>
        <v>2.5454545454545454</v>
      </c>
      <c r="CJ99" s="62">
        <f t="shared" si="69"/>
        <v>2.5454545454545454</v>
      </c>
      <c r="CK99" s="62">
        <f t="shared" si="69"/>
        <v>2.5454545454545454</v>
      </c>
      <c r="CL99" s="62">
        <f t="shared" si="69"/>
        <v>2.2272727272727271</v>
      </c>
      <c r="CM99" s="62">
        <f t="shared" si="69"/>
        <v>2.2272727272727271</v>
      </c>
      <c r="CN99" s="62">
        <f t="shared" si="69"/>
        <v>2.2272727272727271</v>
      </c>
      <c r="CO99" s="62">
        <f t="shared" si="69"/>
        <v>2.2272727272727271</v>
      </c>
      <c r="CP99" s="62">
        <f t="shared" si="69"/>
        <v>1.9090909090909092</v>
      </c>
      <c r="CQ99" s="62">
        <f t="shared" si="69"/>
        <v>1.9090909090909092</v>
      </c>
      <c r="CR99" s="62">
        <f t="shared" si="69"/>
        <v>1.5909090909090908</v>
      </c>
      <c r="CS99" s="62">
        <f t="shared" si="69"/>
        <v>1.9090909090909092</v>
      </c>
      <c r="CT99" s="62">
        <f t="shared" si="69"/>
        <v>1.9090909090909092</v>
      </c>
      <c r="CU99" s="62">
        <f t="shared" si="69"/>
        <v>1.9090909090909092</v>
      </c>
      <c r="CV99" s="62">
        <f t="shared" si="69"/>
        <v>2.2272727272727271</v>
      </c>
      <c r="CW99" s="62">
        <f t="shared" si="69"/>
        <v>2.2272727272727271</v>
      </c>
      <c r="CX99" s="62">
        <f t="shared" si="69"/>
        <v>2.2272727272727271</v>
      </c>
      <c r="CY99" s="62">
        <f t="shared" si="69"/>
        <v>2.2272727272727271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9.01</v>
      </c>
      <c r="AW100" s="178">
        <f t="shared" ref="AW100:BS100" si="71">IF($AT$2="OL",AW99/50,AW99/10)</f>
        <v>8.9887499999999996</v>
      </c>
      <c r="AX100" s="178">
        <f t="shared" si="71"/>
        <v>8.9462499999999991</v>
      </c>
      <c r="AY100" s="178">
        <f t="shared" si="71"/>
        <v>8.4574999999999996</v>
      </c>
      <c r="AZ100" s="178">
        <f t="shared" si="71"/>
        <v>8.4149999999999991</v>
      </c>
      <c r="BA100" s="178">
        <f t="shared" si="71"/>
        <v>8.3725000000000005</v>
      </c>
      <c r="BB100" s="178">
        <f t="shared" si="71"/>
        <v>8.33</v>
      </c>
      <c r="BC100" s="178">
        <f t="shared" si="71"/>
        <v>8.2874999999999996</v>
      </c>
      <c r="BD100" s="178">
        <f t="shared" si="71"/>
        <v>8.2449999999999992</v>
      </c>
      <c r="BE100" s="178">
        <f t="shared" si="71"/>
        <v>8.2237500000000008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7.2887500000000003</v>
      </c>
      <c r="BQ100" s="178">
        <f t="shared" si="71"/>
        <v>7.2887500000000003</v>
      </c>
      <c r="BR100" s="178">
        <f t="shared" si="71"/>
        <v>9.01</v>
      </c>
      <c r="BS100" s="178">
        <f t="shared" si="71"/>
        <v>9.01</v>
      </c>
      <c r="BZ100" s="32" t="s">
        <v>915</v>
      </c>
      <c r="CB100" s="178">
        <f>IF($AT$2="OL",CB99/50,CB99/10)</f>
        <v>5.0909090909090911E-2</v>
      </c>
      <c r="CC100" s="178">
        <f t="shared" ref="CC100:CY100" si="72">IF($AT$2="OL",CC99/50,CC99/10)</f>
        <v>5.0909090909090911E-2</v>
      </c>
      <c r="CD100" s="178">
        <f t="shared" si="72"/>
        <v>5.0909090909090911E-2</v>
      </c>
      <c r="CE100" s="178">
        <f t="shared" si="72"/>
        <v>5.7272727272727274E-2</v>
      </c>
      <c r="CF100" s="178">
        <f t="shared" si="72"/>
        <v>5.7272727272727274E-2</v>
      </c>
      <c r="CG100" s="178">
        <f t="shared" si="72"/>
        <v>5.7272727272727274E-2</v>
      </c>
      <c r="CH100" s="178">
        <f t="shared" si="72"/>
        <v>5.0909090909090911E-2</v>
      </c>
      <c r="CI100" s="178">
        <f t="shared" si="72"/>
        <v>5.0909090909090911E-2</v>
      </c>
      <c r="CJ100" s="178">
        <f t="shared" si="72"/>
        <v>5.0909090909090911E-2</v>
      </c>
      <c r="CK100" s="178">
        <f t="shared" si="72"/>
        <v>5.0909090909090911E-2</v>
      </c>
      <c r="CL100" s="178">
        <f t="shared" si="72"/>
        <v>4.4545454545454541E-2</v>
      </c>
      <c r="CM100" s="178">
        <f t="shared" si="72"/>
        <v>4.4545454545454541E-2</v>
      </c>
      <c r="CN100" s="178">
        <f t="shared" si="72"/>
        <v>4.4545454545454541E-2</v>
      </c>
      <c r="CO100" s="178">
        <f t="shared" si="72"/>
        <v>4.4545454545454541E-2</v>
      </c>
      <c r="CP100" s="178">
        <f t="shared" si="72"/>
        <v>3.8181818181818185E-2</v>
      </c>
      <c r="CQ100" s="178">
        <f t="shared" si="72"/>
        <v>3.8181818181818185E-2</v>
      </c>
      <c r="CR100" s="178">
        <f t="shared" si="72"/>
        <v>3.1818181818181815E-2</v>
      </c>
      <c r="CS100" s="178">
        <f t="shared" si="72"/>
        <v>3.8181818181818185E-2</v>
      </c>
      <c r="CT100" s="178">
        <f t="shared" si="72"/>
        <v>3.8181818181818185E-2</v>
      </c>
      <c r="CU100" s="178">
        <f t="shared" si="72"/>
        <v>3.8181818181818185E-2</v>
      </c>
      <c r="CV100" s="178">
        <f t="shared" si="72"/>
        <v>4.4545454545454541E-2</v>
      </c>
      <c r="CW100" s="178">
        <f t="shared" si="72"/>
        <v>4.4545454545454541E-2</v>
      </c>
      <c r="CX100" s="178">
        <f t="shared" si="72"/>
        <v>4.4545454545454541E-2</v>
      </c>
      <c r="CY100" s="178">
        <f t="shared" si="72"/>
        <v>4.4545454545454541E-2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8.01</v>
      </c>
      <c r="AW101" s="178">
        <f t="shared" ref="AW101:BS101" si="74">IF(AW100&gt;1,AW100-1,0)</f>
        <v>7.9887499999999996</v>
      </c>
      <c r="AX101" s="178">
        <f t="shared" si="74"/>
        <v>7.9462499999999991</v>
      </c>
      <c r="AY101" s="178">
        <f t="shared" si="74"/>
        <v>7.4574999999999996</v>
      </c>
      <c r="AZ101" s="178">
        <f t="shared" si="74"/>
        <v>7.4149999999999991</v>
      </c>
      <c r="BA101" s="178">
        <f t="shared" si="74"/>
        <v>7.3725000000000005</v>
      </c>
      <c r="BB101" s="178">
        <f t="shared" si="74"/>
        <v>7.33</v>
      </c>
      <c r="BC101" s="178">
        <f t="shared" si="74"/>
        <v>7.2874999999999996</v>
      </c>
      <c r="BD101" s="178">
        <f t="shared" si="74"/>
        <v>7.2449999999999992</v>
      </c>
      <c r="BE101" s="178">
        <f t="shared" si="74"/>
        <v>7.2237500000000008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6.2887500000000003</v>
      </c>
      <c r="BQ101" s="178">
        <f t="shared" si="74"/>
        <v>6.2887500000000003</v>
      </c>
      <c r="BR101" s="178">
        <f t="shared" si="74"/>
        <v>8.01</v>
      </c>
      <c r="BS101" s="178">
        <f t="shared" si="74"/>
        <v>8.01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56.017499999999998</v>
      </c>
      <c r="AW102" s="62">
        <f t="shared" ref="AW102:BS102" si="77">AW86+AW87*AW101</f>
        <v>55.980312499999997</v>
      </c>
      <c r="AX102" s="62">
        <f t="shared" si="77"/>
        <v>55.9059375</v>
      </c>
      <c r="AY102" s="62">
        <f t="shared" si="77"/>
        <v>55.050624999999997</v>
      </c>
      <c r="AZ102" s="62">
        <f t="shared" si="77"/>
        <v>54.97625</v>
      </c>
      <c r="BA102" s="62">
        <f t="shared" si="77"/>
        <v>54.901875000000004</v>
      </c>
      <c r="BB102" s="62">
        <f t="shared" si="77"/>
        <v>54.827500000000001</v>
      </c>
      <c r="BC102" s="62">
        <f t="shared" si="77"/>
        <v>54.753124999999997</v>
      </c>
      <c r="BD102" s="62">
        <f t="shared" si="77"/>
        <v>54.678750000000001</v>
      </c>
      <c r="BE102" s="62">
        <f t="shared" si="77"/>
        <v>54.641562499999999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32.823437499999997</v>
      </c>
      <c r="BK102" s="62">
        <f t="shared" si="77"/>
        <v>32.823437499999997</v>
      </c>
      <c r="BL102" s="62">
        <f t="shared" si="77"/>
        <v>32.823437499999997</v>
      </c>
      <c r="BM102" s="62">
        <f t="shared" si="77"/>
        <v>32.005312500000002</v>
      </c>
      <c r="BN102" s="62">
        <f t="shared" si="77"/>
        <v>32.005312500000002</v>
      </c>
      <c r="BO102" s="62">
        <f t="shared" si="77"/>
        <v>32.005312500000002</v>
      </c>
      <c r="BP102" s="62">
        <f t="shared" si="77"/>
        <v>53.005312500000002</v>
      </c>
      <c r="BQ102" s="62">
        <f t="shared" si="77"/>
        <v>53.005312500000002</v>
      </c>
      <c r="BR102" s="62">
        <f t="shared" si="77"/>
        <v>56.017499999999998</v>
      </c>
      <c r="BS102" s="62">
        <f t="shared" si="77"/>
        <v>56.017499999999998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14</v>
      </c>
      <c r="AW106" s="193">
        <f>IF(AW60&gt;0,HLOOKUP(AW60,[1]Trav!$C$11:$O$31,$AU$105),0)</f>
        <v>14</v>
      </c>
      <c r="AX106" s="193">
        <f>IF(AX60&gt;0,HLOOKUP(AX60,[1]Trav!$C$11:$O$31,$AU$105),0)</f>
        <v>14</v>
      </c>
      <c r="AY106" s="193">
        <f>IF(AY60&gt;0,HLOOKUP(AY60,[1]Trav!$C$11:$O$31,$AU$105),0)</f>
        <v>14</v>
      </c>
      <c r="AZ106" s="193">
        <f>IF(AZ60&gt;0,HLOOKUP(AZ60,[1]Trav!$C$11:$O$31,$AU$105),0)</f>
        <v>14</v>
      </c>
      <c r="BA106" s="193">
        <f>IF(BA60&gt;0,HLOOKUP(BA60,[1]Trav!$C$11:$O$31,$AU$105),0)</f>
        <v>14</v>
      </c>
      <c r="BB106" s="193">
        <f>IF(BB60&gt;0,HLOOKUP(BB60,[1]Trav!$C$11:$O$31,$AU$105),0)</f>
        <v>14</v>
      </c>
      <c r="BC106" s="193">
        <f>IF(BC60&gt;0,HLOOKUP(BC60,[1]Trav!$C$11:$O$31,$AU$105),0)</f>
        <v>14</v>
      </c>
      <c r="BD106" s="193">
        <f>IF(BD60&gt;0,HLOOKUP(BD60,[1]Trav!$C$11:$O$31,$AU$105),0)</f>
        <v>14</v>
      </c>
      <c r="BE106" s="193">
        <f>IF(BE60&gt;0,HLOOKUP(BE60,[1]Trav!$C$11:$O$31,$AU$105),0)</f>
        <v>14</v>
      </c>
      <c r="BF106" s="193">
        <f>IF(BF60&gt;0,HLOOKUP(BF60,[1]Trav!$C$11:$O$31,$AU$105),0)</f>
        <v>14</v>
      </c>
      <c r="BG106" s="193">
        <f>IF(BG60&gt;0,HLOOKUP(BG60,[1]Trav!$C$11:$O$31,$AU$105),0)</f>
        <v>14</v>
      </c>
      <c r="BH106" s="193">
        <f>IF(BH60&gt;0,HLOOKUP(BH60,[1]Trav!$C$11:$O$31,$AU$105),0)</f>
        <v>14</v>
      </c>
      <c r="BI106" s="193">
        <f>IF(BI60&gt;0,HLOOKUP(BI60,[1]Trav!$C$11:$O$31,$AU$105),0)</f>
        <v>14</v>
      </c>
      <c r="BJ106" s="193">
        <f>IF(BJ60&gt;0,HLOOKUP(BJ60,[1]Trav!$C$11:$O$31,$AU$105),0)</f>
        <v>14</v>
      </c>
      <c r="BK106" s="193">
        <f>IF(BK60&gt;0,HLOOKUP(BK60,[1]Trav!$C$11:$O$31,$AU$105),0)</f>
        <v>14</v>
      </c>
      <c r="BL106" s="193">
        <f>IF(BL60&gt;0,HLOOKUP(BL60,[1]Trav!$C$11:$O$31,$AU$105),0)</f>
        <v>14</v>
      </c>
      <c r="BM106" s="193">
        <f>IF(BM60&gt;0,HLOOKUP(BM60,[1]Trav!$C$11:$O$31,$AU$105),0)</f>
        <v>14</v>
      </c>
      <c r="BN106" s="193">
        <f>IF(BN60&gt;0,HLOOKUP(BN60,[1]Trav!$C$11:$O$31,$AU$105),0)</f>
        <v>14</v>
      </c>
      <c r="BO106" s="193">
        <f>IF(BO60&gt;0,HLOOKUP(BO60,[1]Trav!$C$11:$O$31,$AU$105),0)</f>
        <v>14</v>
      </c>
      <c r="BP106" s="193">
        <f>IF(BP60&gt;0,HLOOKUP(BP60,[1]Trav!$C$11:$O$31,$AU$105),0)</f>
        <v>14</v>
      </c>
      <c r="BQ106" s="193">
        <f>IF(BQ60&gt;0,HLOOKUP(BQ60,[1]Trav!$C$11:$O$31,$AU$105),0)</f>
        <v>14</v>
      </c>
      <c r="BR106" s="193">
        <f>IF(BR60&gt;0,HLOOKUP(BR60,[1]Trav!$C$11:$O$31,$AU$105),0)</f>
        <v>14</v>
      </c>
      <c r="BS106" s="193">
        <f>IF(BS60&gt;0,HLOOKUP(BS60,[1]Trav!$C$11:$O$31,$AU$105),0)</f>
        <v>14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5.25</v>
      </c>
      <c r="CJ106" s="193">
        <f>IF(CJ60&gt;0,HLOOKUP(CJ60,[1]Trav!$C$11:$O$31,$CA$105),0)</f>
        <v>5.25</v>
      </c>
      <c r="CK106" s="193">
        <f>IF(CK60&gt;0,HLOOKUP(CK60,[1]Trav!$C$11:$O$31,$CA$105),0)</f>
        <v>5.25</v>
      </c>
      <c r="CL106" s="193">
        <f>IF(CL60&gt;0,HLOOKUP(CL60,[1]Trav!$C$11:$O$31,$CA$105),0)</f>
        <v>5.25</v>
      </c>
      <c r="CM106" s="193">
        <f>IF(CM60&gt;0,HLOOKUP(CM60,[1]Trav!$C$11:$O$31,$CA$105),0)</f>
        <v>5.25</v>
      </c>
      <c r="CN106" s="193">
        <f>IF(CN60&gt;0,HLOOKUP(CN60,[1]Trav!$C$11:$O$31,$CA$105),0)</f>
        <v>5.25</v>
      </c>
      <c r="CO106" s="193">
        <f>IF(CO60&gt;0,HLOOKUP(CO60,[1]Trav!$C$11:$O$31,$CA$105),0)</f>
        <v>5.25</v>
      </c>
      <c r="CP106" s="193">
        <f>IF(CP60&gt;0,HLOOKUP(CP60,[1]Trav!$C$11:$O$31,$CA$105),0)</f>
        <v>5.25</v>
      </c>
      <c r="CQ106" s="193">
        <f>IF(CQ60&gt;0,HLOOKUP(CQ60,[1]Trav!$C$11:$O$31,$CA$105),0)</f>
        <v>5.25</v>
      </c>
      <c r="CR106" s="193">
        <f>IF(CR60&gt;0,HLOOKUP(CR60,[1]Trav!$C$11:$O$31,$CA$105),0)</f>
        <v>5.25</v>
      </c>
      <c r="CS106" s="193">
        <f>IF(CS60&gt;0,HLOOKUP(CS60,[1]Trav!$C$11:$O$31,$CA$105),0)</f>
        <v>5.25</v>
      </c>
      <c r="CT106" s="193">
        <f>IF(CT60&gt;0,HLOOKUP(CT60,[1]Trav!$C$11:$O$31,$CA$105),0)</f>
        <v>5.25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lot2</v>
      </c>
      <c r="AV107" s="193">
        <f>IF(AV61&gt;0,HLOOKUP(AV61,[1]Trav!$C$11:$O$31,$AU$105),0)</f>
        <v>0</v>
      </c>
      <c r="AW107" s="193">
        <f>IF(AW61&gt;0,HLOOKUP(AW61,[1]Trav!$C$11:$O$31,$AU$105),0)</f>
        <v>0</v>
      </c>
      <c r="AX107" s="193">
        <f>IF(AX61&gt;0,HLOOKUP(AX61,[1]Trav!$C$11:$O$31,$AU$105),0)</f>
        <v>0</v>
      </c>
      <c r="AY107" s="193">
        <f>IF(AY61&gt;0,HLOOKUP(AY61,[1]Trav!$C$11:$O$31,$AU$105),0)</f>
        <v>0</v>
      </c>
      <c r="AZ107" s="193">
        <f>IF(AZ61&gt;0,HLOOKUP(AZ61,[1]Trav!$C$11:$O$31,$AU$105),0)</f>
        <v>0</v>
      </c>
      <c r="BA107" s="193">
        <f>IF(BA61&gt;0,HLOOKUP(BA61,[1]Trav!$C$11:$O$31,$AU$105),0)</f>
        <v>0</v>
      </c>
      <c r="BB107" s="193">
        <f>IF(BB61&gt;0,HLOOKUP(BB61,[1]Trav!$C$11:$O$31,$AU$105),0)</f>
        <v>0</v>
      </c>
      <c r="BC107" s="193">
        <f>IF(BC61&gt;0,HLOOKUP(BC61,[1]Trav!$C$11:$O$31,$AU$105),0)</f>
        <v>0</v>
      </c>
      <c r="BD107" s="193">
        <f>IF(BD61&gt;0,HLOOKUP(BD61,[1]Trav!$C$11:$O$31,$AU$105),0)</f>
        <v>0</v>
      </c>
      <c r="BE107" s="193">
        <f>IF(BE61&gt;0,HLOOKUP(BE61,[1]Trav!$C$11:$O$31,$AU$105),0)</f>
        <v>0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0</v>
      </c>
      <c r="BQ107" s="193">
        <f>IF(BQ61&gt;0,HLOOKUP(BQ61,[1]Trav!$C$11:$O$31,$AU$105),0)</f>
        <v>0</v>
      </c>
      <c r="BR107" s="193">
        <f>IF(BR61&gt;0,HLOOKUP(BR61,[1]Trav!$C$11:$O$31,$AU$105),0)</f>
        <v>0</v>
      </c>
      <c r="BS107" s="193">
        <f>IF(BS61&gt;0,HLOOKUP(BS61,[1]Trav!$C$11:$O$31,$AU$105),0)</f>
        <v>0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10.5</v>
      </c>
      <c r="CJ107" s="193">
        <f>IF(CJ61&gt;0,HLOOKUP(CJ61,[1]Trav!$C$11:$O$31,$CA$105),0)</f>
        <v>10.5</v>
      </c>
      <c r="CK107" s="193">
        <f>IF(CK61&gt;0,HLOOKUP(CK61,[1]Trav!$C$11:$O$31,$CA$105),0)</f>
        <v>10.5</v>
      </c>
      <c r="CL107" s="193">
        <f>IF(CL61&gt;0,HLOOKUP(CL61,[1]Trav!$C$11:$O$31,$CA$105),0)</f>
        <v>10.5</v>
      </c>
      <c r="CM107" s="193">
        <f>IF(CM61&gt;0,HLOOKUP(CM61,[1]Trav!$C$11:$O$31,$CA$105),0)</f>
        <v>10.5</v>
      </c>
      <c r="CN107" s="193">
        <f>IF(CN61&gt;0,HLOOKUP(CN61,[1]Trav!$C$11:$O$31,$CA$105),0)</f>
        <v>10.5</v>
      </c>
      <c r="CO107" s="193">
        <f>IF(CO61&gt;0,HLOOKUP(CO61,[1]Trav!$C$11:$O$31,$CA$105),0)</f>
        <v>10.5</v>
      </c>
      <c r="CP107" s="193">
        <f>IF(CP61&gt;0,HLOOKUP(CP61,[1]Trav!$C$11:$O$31,$CA$105),0)</f>
        <v>10.5</v>
      </c>
      <c r="CQ107" s="193">
        <f>IF(CQ61&gt;0,HLOOKUP(CQ61,[1]Trav!$C$11:$O$31,$CA$105),0)</f>
        <v>10.5</v>
      </c>
      <c r="CR107" s="193">
        <f>IF(CR61&gt;0,HLOOKUP(CR61,[1]Trav!$C$11:$O$31,$CA$105),0)</f>
        <v>10.5</v>
      </c>
      <c r="CS107" s="193">
        <f>IF(CS61&gt;0,HLOOKUP(CS61,[1]Trav!$C$11:$O$31,$CA$105),0)</f>
        <v>10.5</v>
      </c>
      <c r="CT107" s="193">
        <f>IF(CT61&gt;0,HLOOKUP(CT61,[1]Trav!$C$11:$O$31,$CA$105),0)</f>
        <v>10.5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437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14</v>
      </c>
      <c r="BK108" s="193">
        <f>IF(BK62&gt;0,HLOOKUP(BK62,[1]Trav!$C$11:$O$31,$AU$105),0)</f>
        <v>14</v>
      </c>
      <c r="BL108" s="193">
        <f>IF(BL62&gt;0,HLOOKUP(BL62,[1]Trav!$C$11:$O$31,$AU$105),0)</f>
        <v>14</v>
      </c>
      <c r="BM108" s="193">
        <f>IF(BM62&gt;0,HLOOKUP(BM62,[1]Trav!$C$11:$O$31,$AU$105),0)</f>
        <v>14</v>
      </c>
      <c r="BN108" s="193">
        <f>IF(BN62&gt;0,HLOOKUP(BN62,[1]Trav!$C$11:$O$31,$AU$105),0)</f>
        <v>14</v>
      </c>
      <c r="BO108" s="193">
        <f>IF(BO62&gt;0,HLOOKUP(BO62,[1]Trav!$C$11:$O$31,$AU$105),0)</f>
        <v>14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10.5</v>
      </c>
      <c r="CJ108" s="193">
        <f>IF(CJ62&gt;0,HLOOKUP(CJ62,[1]Trav!$C$11:$O$31,$CA$105),0)</f>
        <v>10.5</v>
      </c>
      <c r="CK108" s="193">
        <f>IF(CK62&gt;0,HLOOKUP(CK62,[1]Trav!$C$11:$O$31,$CA$105),0)</f>
        <v>10.5</v>
      </c>
      <c r="CL108" s="193">
        <f>IF(CL62&gt;0,HLOOKUP(CL62,[1]Trav!$C$11:$O$31,$CA$105),0)</f>
        <v>10.5</v>
      </c>
      <c r="CM108" s="193">
        <f>IF(CM62&gt;0,HLOOKUP(CM62,[1]Trav!$C$11:$O$31,$CA$105),0)</f>
        <v>10.5</v>
      </c>
      <c r="CN108" s="193">
        <f>IF(CN62&gt;0,HLOOKUP(CN62,[1]Trav!$C$11:$O$31,$CA$105),0)</f>
        <v>10.5</v>
      </c>
      <c r="CO108" s="193">
        <f>IF(CO62&gt;0,HLOOKUP(CO62,[1]Trav!$C$11:$O$31,$CA$105),0)</f>
        <v>10.5</v>
      </c>
      <c r="CP108" s="193">
        <f>IF(CP62&gt;0,HLOOKUP(CP62,[1]Trav!$C$11:$O$31,$CA$105),0)</f>
        <v>10.5</v>
      </c>
      <c r="CQ108" s="193">
        <f>IF(CQ62&gt;0,HLOOKUP(CQ62,[1]Trav!$C$11:$O$31,$CA$105),0)</f>
        <v>10.5</v>
      </c>
      <c r="CR108" s="193">
        <f>IF(CR62&gt;0,HLOOKUP(CR62,[1]Trav!$C$11:$O$31,$CA$105),0)</f>
        <v>10.5</v>
      </c>
      <c r="CS108" s="193">
        <f>IF(CS62&gt;0,HLOOKUP(CS62,[1]Trav!$C$11:$O$31,$CA$105),0)</f>
        <v>10.5</v>
      </c>
      <c r="CT108" s="193">
        <f>IF(CT62&gt;0,HLOOKUP(CT62,[1]Trav!$C$11:$O$31,$CA$105),0)</f>
        <v>10.5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220</v>
      </c>
      <c r="D109" s="200"/>
      <c r="AT109" s="192" t="str">
        <f t="shared" si="80"/>
        <v>Béliers</v>
      </c>
      <c r="AV109" s="193">
        <f>IF(AV63&gt;0,HLOOKUP(AV63,[1]Trav!$C$11:$O$31,$AU$105),0)</f>
        <v>0</v>
      </c>
      <c r="AW109" s="193">
        <f>IF(AW63&gt;0,HLOOKUP(AW63,[1]Trav!$C$11:$O$31,$AU$105),0)</f>
        <v>0</v>
      </c>
      <c r="AX109" s="193">
        <f>IF(AX63&gt;0,HLOOKUP(AX63,[1]Trav!$C$11:$O$31,$AU$105),0)</f>
        <v>0</v>
      </c>
      <c r="AY109" s="193">
        <f>IF(AY63&gt;0,HLOOKUP(AY63,[1]Trav!$C$11:$O$31,$AU$105),0)</f>
        <v>0</v>
      </c>
      <c r="AZ109" s="193">
        <f>IF(AZ63&gt;0,HLOOKUP(AZ63,[1]Trav!$C$11:$O$31,$AU$105),0)</f>
        <v>0</v>
      </c>
      <c r="BA109" s="193">
        <f>IF(BA63&gt;0,HLOOKUP(BA63,[1]Trav!$C$11:$O$31,$AU$105),0)</f>
        <v>0</v>
      </c>
      <c r="BB109" s="193">
        <f>IF(BB63&gt;0,HLOOKUP(BB63,[1]Trav!$C$11:$O$31,$AU$105),0)</f>
        <v>0</v>
      </c>
      <c r="BC109" s="193">
        <f>IF(BC63&gt;0,HLOOKUP(BC63,[1]Trav!$C$11:$O$31,$AU$105),0)</f>
        <v>0</v>
      </c>
      <c r="BD109" s="193">
        <f>IF(BD63&gt;0,HLOOKUP(BD63,[1]Trav!$C$11:$O$31,$AU$105),0)</f>
        <v>0</v>
      </c>
      <c r="BE109" s="193">
        <f>IF(BE63&gt;0,HLOOKUP(BE63,[1]Trav!$C$11:$O$31,$AU$105),0)</f>
        <v>0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0</v>
      </c>
      <c r="BQ109" s="193">
        <f>IF(BQ63&gt;0,HLOOKUP(BQ63,[1]Trav!$C$11:$O$31,$AU$105),0)</f>
        <v>0</v>
      </c>
      <c r="BR109" s="193">
        <f>IF(BR63&gt;0,HLOOKUP(BR63,[1]Trav!$C$11:$O$31,$AU$105),0)</f>
        <v>0</v>
      </c>
      <c r="BS109" s="193">
        <f>IF(BS63&gt;0,HLOOKUP(BS63,[1]Trav!$C$11:$O$31,$AU$105),0)</f>
        <v>0</v>
      </c>
      <c r="BZ109" s="192" t="str">
        <f t="shared" si="81"/>
        <v>Broutards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 + vides</v>
      </c>
      <c r="AV110" s="193">
        <f>IF(AV64&gt;0,HLOOKUP(AV64,[1]Trav!$C$11:$O$31,$AU$105),0)</f>
        <v>14</v>
      </c>
      <c r="AW110" s="193">
        <f>IF(AW64&gt;0,HLOOKUP(AW64,[1]Trav!$C$11:$O$31,$AU$105),0)</f>
        <v>14</v>
      </c>
      <c r="AX110" s="193">
        <f>IF(AX64&gt;0,HLOOKUP(AX64,[1]Trav!$C$11:$O$31,$AU$105),0)</f>
        <v>14</v>
      </c>
      <c r="AY110" s="193">
        <f>IF(AY64&gt;0,HLOOKUP(AY64,[1]Trav!$C$11:$O$31,$AU$105),0)</f>
        <v>14</v>
      </c>
      <c r="AZ110" s="193">
        <f>IF(AZ64&gt;0,HLOOKUP(AZ64,[1]Trav!$C$11:$O$31,$AU$105),0)</f>
        <v>14</v>
      </c>
      <c r="BA110" s="193">
        <f>IF(BA64&gt;0,HLOOKUP(BA64,[1]Trav!$C$11:$O$31,$AU$105),0)</f>
        <v>14</v>
      </c>
      <c r="BB110" s="193">
        <f>IF(BB64&gt;0,HLOOKUP(BB64,[1]Trav!$C$11:$O$31,$AU$105),0)</f>
        <v>14</v>
      </c>
      <c r="BC110" s="193">
        <f>IF(BC64&gt;0,HLOOKUP(BC64,[1]Trav!$C$11:$O$31,$AU$105),0)</f>
        <v>14</v>
      </c>
      <c r="BD110" s="193">
        <f>IF(BD64&gt;0,HLOOKUP(BD64,[1]Trav!$C$11:$O$31,$AU$105),0)</f>
        <v>14</v>
      </c>
      <c r="BE110" s="193">
        <f>IF(BE64&gt;0,HLOOKUP(BE64,[1]Trav!$C$11:$O$31,$AU$105),0)</f>
        <v>14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14</v>
      </c>
      <c r="BQ110" s="193">
        <f>IF(BQ64&gt;0,HLOOKUP(BQ64,[1]Trav!$C$11:$O$31,$AU$105),0)</f>
        <v>14</v>
      </c>
      <c r="BR110" s="193">
        <f>IF(BR64&gt;0,HLOOKUP(BR64,[1]Trav!$C$11:$O$31,$AU$105),0)</f>
        <v>14</v>
      </c>
      <c r="BS110" s="193">
        <f>IF(BS64&gt;0,HLOOKUP(BS64,[1]Trav!$C$11:$O$31,$AU$105),0)</f>
        <v>14</v>
      </c>
      <c r="BZ110" s="192" t="str">
        <f t="shared" si="81"/>
        <v>génisses &lt; 1 an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220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18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3.8000000000000003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28</v>
      </c>
      <c r="AW117" s="178">
        <f t="shared" ref="AW117:BS117" si="83">SUM(AW106:AW115)</f>
        <v>28</v>
      </c>
      <c r="AX117" s="178">
        <f t="shared" si="83"/>
        <v>28</v>
      </c>
      <c r="AY117" s="178">
        <f t="shared" si="83"/>
        <v>28</v>
      </c>
      <c r="AZ117" s="178">
        <f t="shared" si="83"/>
        <v>28</v>
      </c>
      <c r="BA117" s="178">
        <f t="shared" si="83"/>
        <v>28</v>
      </c>
      <c r="BB117" s="178">
        <f t="shared" si="83"/>
        <v>28</v>
      </c>
      <c r="BC117" s="178">
        <f t="shared" si="83"/>
        <v>28</v>
      </c>
      <c r="BD117" s="178">
        <f t="shared" si="83"/>
        <v>28</v>
      </c>
      <c r="BE117" s="178">
        <f t="shared" si="83"/>
        <v>28</v>
      </c>
      <c r="BF117" s="178">
        <f t="shared" si="83"/>
        <v>14</v>
      </c>
      <c r="BG117" s="178">
        <f t="shared" si="83"/>
        <v>14</v>
      </c>
      <c r="BH117" s="178">
        <f t="shared" si="83"/>
        <v>14</v>
      </c>
      <c r="BI117" s="178">
        <f t="shared" si="83"/>
        <v>14</v>
      </c>
      <c r="BJ117" s="178">
        <f t="shared" si="83"/>
        <v>28</v>
      </c>
      <c r="BK117" s="178">
        <f t="shared" si="83"/>
        <v>28</v>
      </c>
      <c r="BL117" s="178">
        <f t="shared" si="83"/>
        <v>28</v>
      </c>
      <c r="BM117" s="178">
        <f t="shared" si="83"/>
        <v>28</v>
      </c>
      <c r="BN117" s="178">
        <f t="shared" si="83"/>
        <v>28</v>
      </c>
      <c r="BO117" s="178">
        <f t="shared" si="83"/>
        <v>28</v>
      </c>
      <c r="BP117" s="178">
        <f t="shared" si="83"/>
        <v>28</v>
      </c>
      <c r="BQ117" s="178">
        <f t="shared" si="83"/>
        <v>28</v>
      </c>
      <c r="BR117" s="178">
        <f t="shared" si="83"/>
        <v>28</v>
      </c>
      <c r="BS117" s="178">
        <f t="shared" si="83"/>
        <v>28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26.25</v>
      </c>
      <c r="CJ117" s="178">
        <f t="shared" si="84"/>
        <v>26.25</v>
      </c>
      <c r="CK117" s="178">
        <f t="shared" si="84"/>
        <v>26.25</v>
      </c>
      <c r="CL117" s="178">
        <f t="shared" si="84"/>
        <v>26.25</v>
      </c>
      <c r="CM117" s="178">
        <f t="shared" si="84"/>
        <v>26.25</v>
      </c>
      <c r="CN117" s="178">
        <f t="shared" si="84"/>
        <v>26.25</v>
      </c>
      <c r="CO117" s="178">
        <f t="shared" si="84"/>
        <v>26.25</v>
      </c>
      <c r="CP117" s="178">
        <f t="shared" si="84"/>
        <v>26.25</v>
      </c>
      <c r="CQ117" s="178">
        <f t="shared" si="84"/>
        <v>26.25</v>
      </c>
      <c r="CR117" s="178">
        <f t="shared" si="84"/>
        <v>26.25</v>
      </c>
      <c r="CS117" s="178">
        <f t="shared" si="84"/>
        <v>26.25</v>
      </c>
      <c r="CT117" s="178">
        <f t="shared" si="84"/>
        <v>26.25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3438.8390624999993</v>
      </c>
      <c r="D118" s="206">
        <f>B118/Troupeau!$B$17</f>
        <v>9.6326024159663852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1311</v>
      </c>
      <c r="D119" s="206">
        <f>IF(B119=0,0,B119/Troupeau!$C$17)</f>
        <v>62.428571428571431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4749.8390624999993</v>
      </c>
    </row>
    <row r="123" spans="1:132" x14ac:dyDescent="0.25">
      <c r="A123" s="2" t="s">
        <v>927</v>
      </c>
      <c r="B123" s="30">
        <f>B108</f>
        <v>437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220</v>
      </c>
    </row>
    <row r="126" spans="1:132" x14ac:dyDescent="0.25">
      <c r="A126" s="2" t="s">
        <v>943</v>
      </c>
      <c r="B126" s="30">
        <f>B114+B115+B116</f>
        <v>21.8</v>
      </c>
    </row>
    <row r="128" spans="1:132" x14ac:dyDescent="0.25">
      <c r="A128" s="2" t="s">
        <v>944</v>
      </c>
      <c r="B128" s="205">
        <f>SUM(B122:B126)</f>
        <v>6028.6390624999995</v>
      </c>
    </row>
    <row r="129" spans="1:2" x14ac:dyDescent="0.25">
      <c r="A129" s="2" t="s">
        <v>945</v>
      </c>
      <c r="B129" s="30">
        <f>IF(Scénario!K129=1,Travail!F77+Travail!F86,F86)</f>
        <v>469</v>
      </c>
    </row>
    <row r="130" spans="1:2" x14ac:dyDescent="0.25">
      <c r="A130" s="2" t="s">
        <v>946</v>
      </c>
      <c r="B130" s="205">
        <f>ROUND((B128-B129)/(Scénario!K4+Scénario!K6),0)</f>
        <v>3706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3" zoomScale="110" zoomScaleNormal="110" workbookViewId="0">
      <selection activeCell="E297" sqref="E29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Z3_OLBV_B_s4</v>
      </c>
      <c r="D1" s="261" t="str">
        <f>CONCATENATE(C1,"_corr")</f>
        <v>Z3_OLBV_B_s4_corr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4</v>
      </c>
      <c r="D51" s="182">
        <f t="shared" si="0"/>
        <v>4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1</v>
      </c>
      <c r="D53" s="182">
        <f t="shared" si="0"/>
        <v>1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1</v>
      </c>
      <c r="D61" s="182">
        <f t="shared" si="0"/>
        <v>1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lot2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Broutards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24.979791666666671</v>
      </c>
      <c r="D68" s="262">
        <f>ROUND(C68*$D$82/$C$82,3)</f>
        <v>0</v>
      </c>
      <c r="AT68" s="192" t="str">
        <f t="shared" si="2"/>
        <v>tardive + vides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génisses &lt; 1 an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77.456312500000024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5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7.2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29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4</v>
      </c>
      <c r="D76" s="262">
        <f t="shared" si="3"/>
        <v>0</v>
      </c>
      <c r="AT76" s="192" t="str">
        <f t="shared" si="4"/>
        <v>lot2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1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15.5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Broutards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14.5</v>
      </c>
      <c r="D79" s="262">
        <f t="shared" si="3"/>
        <v>0</v>
      </c>
      <c r="AT79" s="192" t="str">
        <f t="shared" si="4"/>
        <v>tardive + vides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génisses &lt; 1 an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36.200000000000003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47.1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1.645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28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19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8.4</v>
      </c>
      <c r="D88" s="265">
        <f t="shared" si="14"/>
        <v>0</v>
      </c>
      <c r="AT88" s="192" t="str">
        <f>CdTrp1!A16</f>
        <v>lot2</v>
      </c>
      <c r="AU88" s="195" t="str">
        <f>Scénario!K97</f>
        <v>fort</v>
      </c>
      <c r="AV88" s="178">
        <f t="shared" si="15"/>
        <v>2</v>
      </c>
      <c r="AW88" s="178">
        <f t="shared" si="15"/>
        <v>2</v>
      </c>
      <c r="AX88" s="178">
        <f t="shared" si="15"/>
        <v>2</v>
      </c>
      <c r="AY88" s="178">
        <f t="shared" si="15"/>
        <v>2</v>
      </c>
      <c r="AZ88" s="178">
        <f t="shared" si="15"/>
        <v>2</v>
      </c>
      <c r="BA88" s="178">
        <f t="shared" si="15"/>
        <v>2</v>
      </c>
      <c r="BB88" s="178">
        <f t="shared" si="15"/>
        <v>2</v>
      </c>
      <c r="BC88" s="178">
        <f t="shared" si="15"/>
        <v>2</v>
      </c>
      <c r="BD88" s="178">
        <f t="shared" si="15"/>
        <v>2</v>
      </c>
      <c r="BE88" s="178">
        <f t="shared" si="15"/>
        <v>2</v>
      </c>
      <c r="BF88" s="178">
        <f t="shared" si="15"/>
        <v>2</v>
      </c>
      <c r="BG88" s="178">
        <f t="shared" si="15"/>
        <v>2</v>
      </c>
      <c r="BH88" s="178">
        <f t="shared" si="15"/>
        <v>2</v>
      </c>
      <c r="BI88" s="178">
        <f t="shared" si="15"/>
        <v>2</v>
      </c>
      <c r="BJ88" s="178">
        <f t="shared" si="15"/>
        <v>2</v>
      </c>
      <c r="BK88" s="178">
        <f t="shared" si="15"/>
        <v>2</v>
      </c>
      <c r="BL88" s="178">
        <f t="shared" si="16"/>
        <v>2</v>
      </c>
      <c r="BM88" s="178">
        <f t="shared" si="16"/>
        <v>2</v>
      </c>
      <c r="BN88" s="178">
        <f t="shared" si="16"/>
        <v>2</v>
      </c>
      <c r="BO88" s="178">
        <f t="shared" si="16"/>
        <v>2</v>
      </c>
      <c r="BP88" s="178">
        <f t="shared" si="16"/>
        <v>2</v>
      </c>
      <c r="BQ88" s="178">
        <f t="shared" si="16"/>
        <v>2</v>
      </c>
      <c r="BR88" s="178">
        <f t="shared" si="16"/>
        <v>2</v>
      </c>
      <c r="BS88" s="178">
        <f t="shared" si="16"/>
        <v>2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5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fort</v>
      </c>
      <c r="AV90" s="178">
        <f t="shared" si="15"/>
        <v>2</v>
      </c>
      <c r="AW90" s="178">
        <f t="shared" si="15"/>
        <v>2</v>
      </c>
      <c r="AX90" s="178">
        <f t="shared" si="15"/>
        <v>2</v>
      </c>
      <c r="AY90" s="178">
        <f t="shared" si="15"/>
        <v>2</v>
      </c>
      <c r="AZ90" s="178">
        <f t="shared" si="15"/>
        <v>2</v>
      </c>
      <c r="BA90" s="178">
        <f t="shared" si="15"/>
        <v>2</v>
      </c>
      <c r="BB90" s="178">
        <f t="shared" si="15"/>
        <v>2</v>
      </c>
      <c r="BC90" s="178">
        <f t="shared" si="15"/>
        <v>2</v>
      </c>
      <c r="BD90" s="178">
        <f t="shared" si="15"/>
        <v>2</v>
      </c>
      <c r="BE90" s="178">
        <f t="shared" si="15"/>
        <v>2</v>
      </c>
      <c r="BF90" s="178">
        <f t="shared" si="15"/>
        <v>2</v>
      </c>
      <c r="BG90" s="178">
        <f t="shared" si="15"/>
        <v>2</v>
      </c>
      <c r="BH90" s="178">
        <f t="shared" si="15"/>
        <v>2</v>
      </c>
      <c r="BI90" s="178">
        <f t="shared" si="15"/>
        <v>2</v>
      </c>
      <c r="BJ90" s="178">
        <f t="shared" si="15"/>
        <v>2</v>
      </c>
      <c r="BK90" s="178">
        <f t="shared" si="15"/>
        <v>2</v>
      </c>
      <c r="BL90" s="178">
        <f t="shared" si="16"/>
        <v>2</v>
      </c>
      <c r="BM90" s="178">
        <f t="shared" si="16"/>
        <v>2</v>
      </c>
      <c r="BN90" s="178">
        <f t="shared" si="16"/>
        <v>2</v>
      </c>
      <c r="BO90" s="178">
        <f t="shared" si="16"/>
        <v>2</v>
      </c>
      <c r="BP90" s="178">
        <f t="shared" si="16"/>
        <v>2</v>
      </c>
      <c r="BQ90" s="178">
        <f t="shared" si="16"/>
        <v>2</v>
      </c>
      <c r="BR90" s="178">
        <f t="shared" si="16"/>
        <v>2</v>
      </c>
      <c r="BS90" s="178">
        <f t="shared" si="16"/>
        <v>2</v>
      </c>
      <c r="BZ90" s="192" t="str">
        <f t="shared" si="17"/>
        <v>Broutards</v>
      </c>
      <c r="CA90" s="195" t="str">
        <f>Scénario!K109</f>
        <v>fort</v>
      </c>
      <c r="CB90" s="178">
        <f t="shared" si="21"/>
        <v>2</v>
      </c>
      <c r="CC90" s="178">
        <f t="shared" si="18"/>
        <v>2</v>
      </c>
      <c r="CD90" s="178">
        <f t="shared" si="18"/>
        <v>2</v>
      </c>
      <c r="CE90" s="178">
        <f t="shared" si="18"/>
        <v>2</v>
      </c>
      <c r="CF90" s="178">
        <f t="shared" si="18"/>
        <v>2</v>
      </c>
      <c r="CG90" s="178">
        <f t="shared" si="18"/>
        <v>2</v>
      </c>
      <c r="CH90" s="178">
        <f t="shared" si="18"/>
        <v>2</v>
      </c>
      <c r="CI90" s="178">
        <f t="shared" si="18"/>
        <v>2</v>
      </c>
      <c r="CJ90" s="178">
        <f t="shared" si="18"/>
        <v>2</v>
      </c>
      <c r="CK90" s="178">
        <f t="shared" si="18"/>
        <v>2</v>
      </c>
      <c r="CL90" s="178">
        <f t="shared" si="18"/>
        <v>2</v>
      </c>
      <c r="CM90" s="178">
        <f t="shared" si="18"/>
        <v>2</v>
      </c>
      <c r="CN90" s="178">
        <f t="shared" si="18"/>
        <v>2</v>
      </c>
      <c r="CO90" s="178">
        <f t="shared" si="18"/>
        <v>2</v>
      </c>
      <c r="CP90" s="178">
        <f t="shared" si="18"/>
        <v>2</v>
      </c>
      <c r="CQ90" s="178">
        <f t="shared" si="18"/>
        <v>2</v>
      </c>
      <c r="CR90" s="178">
        <f t="shared" si="18"/>
        <v>2</v>
      </c>
      <c r="CS90" s="178">
        <f t="shared" si="18"/>
        <v>2</v>
      </c>
      <c r="CT90" s="178">
        <f t="shared" si="18"/>
        <v>2</v>
      </c>
      <c r="CU90" s="178">
        <f t="shared" si="18"/>
        <v>2</v>
      </c>
      <c r="CV90" s="178">
        <f t="shared" si="18"/>
        <v>2</v>
      </c>
      <c r="CW90" s="178">
        <f t="shared" si="18"/>
        <v>2</v>
      </c>
      <c r="CX90" s="178">
        <f t="shared" si="18"/>
        <v>2</v>
      </c>
      <c r="CY90" s="178">
        <f t="shared" si="18"/>
        <v>2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 + vides</v>
      </c>
      <c r="AU91" s="195" t="str">
        <f>Scénario!K100</f>
        <v>fort</v>
      </c>
      <c r="AV91" s="178">
        <f t="shared" si="15"/>
        <v>2</v>
      </c>
      <c r="AW91" s="178">
        <f t="shared" si="15"/>
        <v>2</v>
      </c>
      <c r="AX91" s="178">
        <f t="shared" si="15"/>
        <v>2</v>
      </c>
      <c r="AY91" s="178">
        <f t="shared" si="15"/>
        <v>2</v>
      </c>
      <c r="AZ91" s="178">
        <f t="shared" si="15"/>
        <v>2</v>
      </c>
      <c r="BA91" s="178">
        <f t="shared" si="15"/>
        <v>2</v>
      </c>
      <c r="BB91" s="178">
        <f t="shared" si="15"/>
        <v>2</v>
      </c>
      <c r="BC91" s="178">
        <f t="shared" si="15"/>
        <v>2</v>
      </c>
      <c r="BD91" s="178">
        <f t="shared" si="15"/>
        <v>2</v>
      </c>
      <c r="BE91" s="178">
        <f t="shared" si="15"/>
        <v>2</v>
      </c>
      <c r="BF91" s="178">
        <f t="shared" si="15"/>
        <v>2</v>
      </c>
      <c r="BG91" s="178">
        <f t="shared" si="15"/>
        <v>2</v>
      </c>
      <c r="BH91" s="178">
        <f t="shared" si="15"/>
        <v>2</v>
      </c>
      <c r="BI91" s="178">
        <f t="shared" si="15"/>
        <v>2</v>
      </c>
      <c r="BJ91" s="178">
        <f t="shared" si="15"/>
        <v>2</v>
      </c>
      <c r="BK91" s="178">
        <f t="shared" si="15"/>
        <v>2</v>
      </c>
      <c r="BL91" s="178">
        <f t="shared" si="16"/>
        <v>2</v>
      </c>
      <c r="BM91" s="178">
        <f t="shared" si="16"/>
        <v>2</v>
      </c>
      <c r="BN91" s="178">
        <f t="shared" si="16"/>
        <v>2</v>
      </c>
      <c r="BO91" s="178">
        <f t="shared" si="16"/>
        <v>2</v>
      </c>
      <c r="BP91" s="178">
        <f t="shared" si="16"/>
        <v>2</v>
      </c>
      <c r="BQ91" s="178">
        <f t="shared" si="16"/>
        <v>2</v>
      </c>
      <c r="BR91" s="178">
        <f t="shared" si="16"/>
        <v>2</v>
      </c>
      <c r="BS91" s="178">
        <f t="shared" si="16"/>
        <v>2</v>
      </c>
      <c r="BZ91" s="192" t="str">
        <f t="shared" si="17"/>
        <v>génisses &lt; 1 an</v>
      </c>
      <c r="CA91" s="195" t="str">
        <f>Scénario!K110</f>
        <v>fort</v>
      </c>
      <c r="CB91" s="178">
        <f t="shared" si="21"/>
        <v>2</v>
      </c>
      <c r="CC91" s="178">
        <f t="shared" si="18"/>
        <v>2</v>
      </c>
      <c r="CD91" s="178">
        <f t="shared" si="18"/>
        <v>2</v>
      </c>
      <c r="CE91" s="178">
        <f t="shared" si="18"/>
        <v>2</v>
      </c>
      <c r="CF91" s="178">
        <f t="shared" si="18"/>
        <v>2</v>
      </c>
      <c r="CG91" s="178">
        <f t="shared" si="18"/>
        <v>2</v>
      </c>
      <c r="CH91" s="178">
        <f t="shared" si="18"/>
        <v>2</v>
      </c>
      <c r="CI91" s="178">
        <f t="shared" si="18"/>
        <v>2</v>
      </c>
      <c r="CJ91" s="178">
        <f t="shared" si="18"/>
        <v>2</v>
      </c>
      <c r="CK91" s="178">
        <f t="shared" si="18"/>
        <v>2</v>
      </c>
      <c r="CL91" s="178">
        <f t="shared" si="18"/>
        <v>2</v>
      </c>
      <c r="CM91" s="178">
        <f t="shared" si="18"/>
        <v>2</v>
      </c>
      <c r="CN91" s="178">
        <f t="shared" si="18"/>
        <v>2</v>
      </c>
      <c r="CO91" s="178">
        <f t="shared" si="18"/>
        <v>2</v>
      </c>
      <c r="CP91" s="178">
        <f t="shared" si="18"/>
        <v>2</v>
      </c>
      <c r="CQ91" s="178">
        <f t="shared" si="18"/>
        <v>2</v>
      </c>
      <c r="CR91" s="178">
        <f t="shared" si="18"/>
        <v>2</v>
      </c>
      <c r="CS91" s="178">
        <f t="shared" si="18"/>
        <v>2</v>
      </c>
      <c r="CT91" s="178">
        <f t="shared" si="18"/>
        <v>2</v>
      </c>
      <c r="CU91" s="178">
        <f t="shared" si="18"/>
        <v>2</v>
      </c>
      <c r="CV91" s="178">
        <f t="shared" si="18"/>
        <v>2</v>
      </c>
      <c r="CW91" s="178">
        <f t="shared" si="18"/>
        <v>2</v>
      </c>
      <c r="CX91" s="178">
        <f t="shared" si="18"/>
        <v>2</v>
      </c>
      <c r="CY91" s="178">
        <f t="shared" si="18"/>
        <v>2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lot2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35.200000000000003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2</v>
      </c>
      <c r="D98" s="178">
        <f>C98</f>
        <v>2</v>
      </c>
      <c r="F98" s="14"/>
      <c r="G98" s="266" t="str">
        <f>CdTrp1!A92</f>
        <v>tardive + vides</v>
      </c>
      <c r="H98" s="30">
        <f>CdTrp1!B80</f>
        <v>1</v>
      </c>
      <c r="I98" s="30">
        <f>CdTrp1!C80</f>
        <v>1</v>
      </c>
      <c r="J98" s="30">
        <f>CdTrp1!D80</f>
        <v>1</v>
      </c>
      <c r="K98" s="30">
        <f>CdTrp1!E80</f>
        <v>1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2</v>
      </c>
      <c r="AW98" s="178">
        <f>IF(CdTrp1!C52=1,3,IF(CdTrp1!C52=0.5,2,IF(CdTrp1!C52=0,1,0)))</f>
        <v>2</v>
      </c>
      <c r="AX98" s="178">
        <f>IF(CdTrp1!D52=1,3,IF(CdTrp1!D52=0.5,2,IF(CdTrp1!D52=0,1,0)))</f>
        <v>2</v>
      </c>
      <c r="AY98" s="178">
        <f>IF(CdTrp1!E52=1,3,IF(CdTrp1!E52=0.5,2,IF(CdTrp1!E52=0,1,0)))</f>
        <v>2</v>
      </c>
      <c r="AZ98" s="178">
        <f>IF(CdTrp1!F52=1,3,IF(CdTrp1!F52=0.5,2,IF(CdTrp1!F52=0,1,0)))</f>
        <v>2</v>
      </c>
      <c r="BA98" s="178">
        <f>IF(CdTrp1!G52=1,3,IF(CdTrp1!G52=0.5,2,IF(CdTrp1!G52=0,1,0)))</f>
        <v>2</v>
      </c>
      <c r="BB98" s="178">
        <f>IF(CdTrp1!H52=1,3,IF(CdTrp1!H52=0.5,2,IF(CdTrp1!H52=0,1,0)))</f>
        <v>2</v>
      </c>
      <c r="BC98" s="178">
        <f>IF(CdTrp1!I52=1,3,IF(CdTrp1!I52=0.5,2,IF(CdTrp1!I52=0,1,0)))</f>
        <v>2</v>
      </c>
      <c r="BD98" s="178">
        <f>IF(CdTrp1!J52=1,3,IF(CdTrp1!J52=0.5,2,IF(CdTrp1!J52=0,1,0)))</f>
        <v>2</v>
      </c>
      <c r="BE98" s="178">
        <f>IF(CdTrp1!K52=1,3,IF(CdTrp1!K52=0.5,2,IF(CdTrp1!K52=0,1,0)))</f>
        <v>2</v>
      </c>
      <c r="BF98" s="178">
        <f>IF(CdTrp1!L52=1,3,IF(CdTrp1!L52=0.5,2,IF(CdTrp1!L52=0,1,0)))</f>
        <v>2</v>
      </c>
      <c r="BG98" s="178">
        <f>IF(CdTrp1!M52=1,3,IF(CdTrp1!M52=0.5,2,IF(CdTrp1!M52=0,1,0)))</f>
        <v>2</v>
      </c>
      <c r="BH98" s="178">
        <f>IF(CdTrp1!N52=1,3,IF(CdTrp1!N52=0.5,2,IF(CdTrp1!N52=0,1,0)))</f>
        <v>2</v>
      </c>
      <c r="BI98" s="178">
        <f>IF(CdTrp1!O52=1,3,IF(CdTrp1!O52=0.5,2,IF(CdTrp1!O52=0,1,0)))</f>
        <v>2</v>
      </c>
      <c r="BJ98" s="178">
        <f>IF(CdTrp1!P52=1,3,IF(CdTrp1!P52=0.5,2,IF(CdTrp1!P52=0,1,0)))</f>
        <v>2</v>
      </c>
      <c r="BK98" s="178">
        <f>IF(CdTrp1!Q52=1,3,IF(CdTrp1!Q52=0.5,2,IF(CdTrp1!Q52=0,1,0)))</f>
        <v>2</v>
      </c>
      <c r="BL98" s="178">
        <f>IF(CdTrp1!R52=1,3,IF(CdTrp1!R52=0.5,2,IF(CdTrp1!R52=0,1,0)))</f>
        <v>2</v>
      </c>
      <c r="BM98" s="178">
        <f>IF(CdTrp1!S52=1,3,IF(CdTrp1!S52=0.5,2,IF(CdTrp1!S52=0,1,0)))</f>
        <v>2</v>
      </c>
      <c r="BN98" s="178">
        <f>IF(CdTrp1!T52=1,3,IF(CdTrp1!T52=0.5,2,IF(CdTrp1!T52=0,1,0)))</f>
        <v>2</v>
      </c>
      <c r="BO98" s="178">
        <f>IF(CdTrp1!U52=1,3,IF(CdTrp1!U52=0.5,2,IF(CdTrp1!U52=0,1,0)))</f>
        <v>2</v>
      </c>
      <c r="BP98" s="178">
        <f>IF(CdTrp1!V52=1,3,IF(CdTrp1!V52=0.5,2,IF(CdTrp1!V52=0,1,0)))</f>
        <v>2</v>
      </c>
      <c r="BQ98" s="178">
        <f>IF(CdTrp1!W52=1,3,IF(CdTrp1!W52=0.5,2,IF(CdTrp1!W52=0,1,0)))</f>
        <v>2</v>
      </c>
      <c r="BR98" s="178">
        <f>IF(CdTrp1!X52=1,3,IF(CdTrp1!X52=0.5,2,IF(CdTrp1!X52=0,1,0)))</f>
        <v>2</v>
      </c>
      <c r="BS98" s="178">
        <f>IF(CdTrp1!Y52=1,3,IF(CdTrp1!Y52=0.5,2,IF(CdTrp1!Y52=0,1,0)))</f>
        <v>2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1</v>
      </c>
      <c r="CJ98" s="178">
        <f>IF(CdTrp2!J52=1,3,IF(CdTrp2!J52=0.5,2,IF(CdTrp2!J52=0,1,0)))</f>
        <v>1</v>
      </c>
      <c r="CK98" s="178">
        <f>IF(CdTrp2!K52=1,3,IF(CdTrp2!K52=0.5,2,IF(CdTrp2!K52=0,1,0)))</f>
        <v>1</v>
      </c>
      <c r="CL98" s="178">
        <f>IF(CdTrp2!L52=1,3,IF(CdTrp2!L52=0.5,2,IF(CdTrp2!L52=0,1,0)))</f>
        <v>1</v>
      </c>
      <c r="CM98" s="178">
        <f>IF(CdTrp2!M52=1,3,IF(CdTrp2!M52=0.5,2,IF(CdTrp2!M52=0,1,0)))</f>
        <v>1</v>
      </c>
      <c r="CN98" s="178">
        <f>IF(CdTrp2!N52=1,3,IF(CdTrp2!N52=0.5,2,IF(CdTrp2!N52=0,1,0)))</f>
        <v>1</v>
      </c>
      <c r="CO98" s="178">
        <f>IF(CdTrp2!O52=1,3,IF(CdTrp2!O52=0.5,2,IF(CdTrp2!O52=0,1,0)))</f>
        <v>1</v>
      </c>
      <c r="CP98" s="178">
        <f>IF(CdTrp2!P52=1,3,IF(CdTrp2!P52=0.5,2,IF(CdTrp2!P52=0,1,0)))</f>
        <v>1</v>
      </c>
      <c r="CQ98" s="178">
        <f>IF(CdTrp2!Q52=1,3,IF(CdTrp2!Q52=0.5,2,IF(CdTrp2!Q52=0,1,0)))</f>
        <v>1</v>
      </c>
      <c r="CR98" s="178">
        <f>IF(CdTrp2!R52=1,3,IF(CdTrp2!R52=0.5,2,IF(CdTrp2!R52=0,1,0)))</f>
        <v>1</v>
      </c>
      <c r="CS98" s="178">
        <f>IF(CdTrp2!S52=1,3,IF(CdTrp2!S52=0.5,2,IF(CdTrp2!S52=0,1,0)))</f>
        <v>1</v>
      </c>
      <c r="CT98" s="178">
        <f>IF(CdTrp2!T52=1,3,IF(CdTrp2!T52=0.5,2,IF(CdTrp2!T52=0,1,0)))</f>
        <v>1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3</v>
      </c>
      <c r="D99" s="178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lot2</v>
      </c>
      <c r="AU99" s="32"/>
      <c r="AV99" s="178">
        <f>IF(CdTrp1!B53=1,3,IF(CdTrp1!B53=0.5,2,IF(CdTrp1!B53=0,1,0)))</f>
        <v>1</v>
      </c>
      <c r="AW99" s="178">
        <f>IF(CdTrp1!C53=1,3,IF(CdTrp1!C53=0.5,2,IF(CdTrp1!C53=0,1,0)))</f>
        <v>1</v>
      </c>
      <c r="AX99" s="178">
        <f>IF(CdTrp1!D53=1,3,IF(CdTrp1!D53=0.5,2,IF(CdTrp1!D53=0,1,0)))</f>
        <v>1</v>
      </c>
      <c r="AY99" s="178">
        <f>IF(CdTrp1!E53=1,3,IF(CdTrp1!E53=0.5,2,IF(CdTrp1!E53=0,1,0)))</f>
        <v>1</v>
      </c>
      <c r="AZ99" s="178">
        <f>IF(CdTrp1!F53=1,3,IF(CdTrp1!F53=0.5,2,IF(CdTrp1!F53=0,1,0)))</f>
        <v>1</v>
      </c>
      <c r="BA99" s="178">
        <f>IF(CdTrp1!G53=1,3,IF(CdTrp1!G53=0.5,2,IF(CdTrp1!G53=0,1,0)))</f>
        <v>1</v>
      </c>
      <c r="BB99" s="178">
        <f>IF(CdTrp1!H53=1,3,IF(CdTrp1!H53=0.5,2,IF(CdTrp1!H53=0,1,0)))</f>
        <v>1</v>
      </c>
      <c r="BC99" s="178">
        <f>IF(CdTrp1!I53=1,3,IF(CdTrp1!I53=0.5,2,IF(CdTrp1!I53=0,1,0)))</f>
        <v>1</v>
      </c>
      <c r="BD99" s="178">
        <f>IF(CdTrp1!J53=1,3,IF(CdTrp1!J53=0.5,2,IF(CdTrp1!J53=0,1,0)))</f>
        <v>1</v>
      </c>
      <c r="BE99" s="178">
        <f>IF(CdTrp1!K53=1,3,IF(CdTrp1!K53=0.5,2,IF(CdTrp1!K53=0,1,0)))</f>
        <v>1</v>
      </c>
      <c r="BF99" s="178">
        <f>IF(CdTrp1!L53=1,3,IF(CdTrp1!L53=0.5,2,IF(CdTrp1!L53=0,1,0)))</f>
        <v>1</v>
      </c>
      <c r="BG99" s="178">
        <f>IF(CdTrp1!M53=1,3,IF(CdTrp1!M53=0.5,2,IF(CdTrp1!M53=0,1,0)))</f>
        <v>1</v>
      </c>
      <c r="BH99" s="178">
        <f>IF(CdTrp1!N53=1,3,IF(CdTrp1!N53=0.5,2,IF(CdTrp1!N53=0,1,0)))</f>
        <v>1</v>
      </c>
      <c r="BI99" s="178">
        <f>IF(CdTrp1!O53=1,3,IF(CdTrp1!O53=0.5,2,IF(CdTrp1!O53=0,1,0)))</f>
        <v>1</v>
      </c>
      <c r="BJ99" s="178">
        <f>IF(CdTrp1!P53=1,3,IF(CdTrp1!P53=0.5,2,IF(CdTrp1!P53=0,1,0)))</f>
        <v>1</v>
      </c>
      <c r="BK99" s="178">
        <f>IF(CdTrp1!Q53=1,3,IF(CdTrp1!Q53=0.5,2,IF(CdTrp1!Q53=0,1,0)))</f>
        <v>1</v>
      </c>
      <c r="BL99" s="178">
        <f>IF(CdTrp1!R53=1,3,IF(CdTrp1!R53=0.5,2,IF(CdTrp1!R53=0,1,0)))</f>
        <v>1</v>
      </c>
      <c r="BM99" s="178">
        <f>IF(CdTrp1!S53=1,3,IF(CdTrp1!S53=0.5,2,IF(CdTrp1!S53=0,1,0)))</f>
        <v>1</v>
      </c>
      <c r="BN99" s="178">
        <f>IF(CdTrp1!T53=1,3,IF(CdTrp1!T53=0.5,2,IF(CdTrp1!T53=0,1,0)))</f>
        <v>1</v>
      </c>
      <c r="BO99" s="178">
        <f>IF(CdTrp1!U53=1,3,IF(CdTrp1!U53=0.5,2,IF(CdTrp1!U53=0,1,0)))</f>
        <v>1</v>
      </c>
      <c r="BP99" s="178">
        <f>IF(CdTrp1!V53=1,3,IF(CdTrp1!V53=0.5,2,IF(CdTrp1!V53=0,1,0)))</f>
        <v>1</v>
      </c>
      <c r="BQ99" s="178">
        <f>IF(CdTrp1!W53=1,3,IF(CdTrp1!W53=0.5,2,IF(CdTrp1!W53=0,1,0)))</f>
        <v>1</v>
      </c>
      <c r="BR99" s="178">
        <f>IF(CdTrp1!X53=1,3,IF(CdTrp1!X53=0.5,2,IF(CdTrp1!X53=0,1,0)))</f>
        <v>1</v>
      </c>
      <c r="BS99" s="178">
        <f>IF(CdTrp1!Y53=1,3,IF(CdTrp1!Y53=0.5,2,IF(CdTrp1!Y53=0,1,0)))</f>
        <v>1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2</v>
      </c>
      <c r="CJ99" s="178">
        <f>IF(CdTrp2!J53=1,3,IF(CdTrp2!J53=0.5,2,IF(CdTrp2!J53=0,1,0)))</f>
        <v>2</v>
      </c>
      <c r="CK99" s="178">
        <f>IF(CdTrp2!K53=1,3,IF(CdTrp2!K53=0.5,2,IF(CdTrp2!K53=0,1,0)))</f>
        <v>2</v>
      </c>
      <c r="CL99" s="178">
        <f>IF(CdTrp2!L53=1,3,IF(CdTrp2!L53=0.5,2,IF(CdTrp2!L53=0,1,0)))</f>
        <v>2</v>
      </c>
      <c r="CM99" s="178">
        <f>IF(CdTrp2!M53=1,3,IF(CdTrp2!M53=0.5,2,IF(CdTrp2!M53=0,1,0)))</f>
        <v>2</v>
      </c>
      <c r="CN99" s="178">
        <f>IF(CdTrp2!N53=1,3,IF(CdTrp2!N53=0.5,2,IF(CdTrp2!N53=0,1,0)))</f>
        <v>2</v>
      </c>
      <c r="CO99" s="178">
        <f>IF(CdTrp2!O53=1,3,IF(CdTrp2!O53=0.5,2,IF(CdTrp2!O53=0,1,0)))</f>
        <v>2</v>
      </c>
      <c r="CP99" s="178">
        <f>IF(CdTrp2!P53=1,3,IF(CdTrp2!P53=0.5,2,IF(CdTrp2!P53=0,1,0)))</f>
        <v>2</v>
      </c>
      <c r="CQ99" s="178">
        <f>IF(CdTrp2!Q53=1,3,IF(CdTrp2!Q53=0.5,2,IF(CdTrp2!Q53=0,1,0)))</f>
        <v>2</v>
      </c>
      <c r="CR99" s="178">
        <f>IF(CdTrp2!R53=1,3,IF(CdTrp2!R53=0.5,2,IF(CdTrp2!R53=0,1,0)))</f>
        <v>2</v>
      </c>
      <c r="CS99" s="178">
        <f>IF(CdTrp2!S53=1,3,IF(CdTrp2!S53=0.5,2,IF(CdTrp2!S53=0,1,0)))</f>
        <v>2</v>
      </c>
      <c r="CT99" s="178">
        <f>IF(CdTrp2!T53=1,3,IF(CdTrp2!T53=0.5,2,IF(CdTrp2!T53=0,1,0)))</f>
        <v>2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2</v>
      </c>
      <c r="BK100" s="178">
        <f>IF(CdTrp1!Q54=1,3,IF(CdTrp1!Q54=0.5,2,IF(CdTrp1!Q54=0,1,0)))</f>
        <v>2</v>
      </c>
      <c r="BL100" s="178">
        <f>IF(CdTrp1!R54=1,3,IF(CdTrp1!R54=0.5,2,IF(CdTrp1!R54=0,1,0)))</f>
        <v>2</v>
      </c>
      <c r="BM100" s="178">
        <f>IF(CdTrp1!S54=1,3,IF(CdTrp1!S54=0.5,2,IF(CdTrp1!S54=0,1,0)))</f>
        <v>2</v>
      </c>
      <c r="BN100" s="178">
        <f>IF(CdTrp1!T54=1,3,IF(CdTrp1!T54=0.5,2,IF(CdTrp1!T54=0,1,0)))</f>
        <v>2</v>
      </c>
      <c r="BO100" s="178">
        <f>IF(CdTrp1!U54=1,3,IF(CdTrp1!U54=0.5,2,IF(CdTrp1!U54=0,1,0)))</f>
        <v>2</v>
      </c>
      <c r="BP100" s="178">
        <f>IF(CdTrp1!V54=1,3,IF(CdTrp1!V54=0.5,2,IF(CdTrp1!V54=0,1,0)))</f>
        <v>3</v>
      </c>
      <c r="BQ100" s="178">
        <f>IF(CdTrp1!W54=1,3,IF(CdTrp1!W54=0.5,2,IF(CdTrp1!W54=0,1,0)))</f>
        <v>3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2</v>
      </c>
      <c r="CJ100" s="178">
        <f>IF(CdTrp2!J54=1,3,IF(CdTrp2!J54=0.5,2,IF(CdTrp2!J54=0,1,0)))</f>
        <v>2</v>
      </c>
      <c r="CK100" s="178">
        <f>IF(CdTrp2!K54=1,3,IF(CdTrp2!K54=0.5,2,IF(CdTrp2!K54=0,1,0)))</f>
        <v>2</v>
      </c>
      <c r="CL100" s="178">
        <f>IF(CdTrp2!L54=1,3,IF(CdTrp2!L54=0.5,2,IF(CdTrp2!L54=0,1,0)))</f>
        <v>2</v>
      </c>
      <c r="CM100" s="178">
        <f>IF(CdTrp2!M54=1,3,IF(CdTrp2!M54=0.5,2,IF(CdTrp2!M54=0,1,0)))</f>
        <v>2</v>
      </c>
      <c r="CN100" s="178">
        <f>IF(CdTrp2!N54=1,3,IF(CdTrp2!N54=0.5,2,IF(CdTrp2!N54=0,1,0)))</f>
        <v>2</v>
      </c>
      <c r="CO100" s="178">
        <f>IF(CdTrp2!O54=1,3,IF(CdTrp2!O54=0.5,2,IF(CdTrp2!O54=0,1,0)))</f>
        <v>2</v>
      </c>
      <c r="CP100" s="178">
        <f>IF(CdTrp2!P54=1,3,IF(CdTrp2!P54=0.5,2,IF(CdTrp2!P54=0,1,0)))</f>
        <v>2</v>
      </c>
      <c r="CQ100" s="178">
        <f>IF(CdTrp2!Q54=1,3,IF(CdTrp2!Q54=0.5,2,IF(CdTrp2!Q54=0,1,0)))</f>
        <v>2</v>
      </c>
      <c r="CR100" s="178">
        <f>IF(CdTrp2!R54=1,3,IF(CdTrp2!R54=0.5,2,IF(CdTrp2!R54=0,1,0)))</f>
        <v>2</v>
      </c>
      <c r="CS100" s="178">
        <f>IF(CdTrp2!S54=1,3,IF(CdTrp2!S54=0.5,2,IF(CdTrp2!S54=0,1,0)))</f>
        <v>2</v>
      </c>
      <c r="CT100" s="178">
        <f>IF(CdTrp2!T54=1,3,IF(CdTrp2!T54=0.5,2,IF(CdTrp2!T54=0,1,0)))</f>
        <v>2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5</v>
      </c>
      <c r="D101" s="178">
        <f t="shared" si="25"/>
        <v>5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3</v>
      </c>
      <c r="AW101" s="178">
        <f>IF(CdTrp1!C55=1,3,IF(CdTrp1!C55=0.5,2,IF(CdTrp1!C55=0,1,0)))</f>
        <v>3</v>
      </c>
      <c r="AX101" s="178">
        <f>IF(CdTrp1!D55=1,3,IF(CdTrp1!D55=0.5,2,IF(CdTrp1!D55=0,1,0)))</f>
        <v>3</v>
      </c>
      <c r="AY101" s="178">
        <f>IF(CdTrp1!E55=1,3,IF(CdTrp1!E55=0.5,2,IF(CdTrp1!E55=0,1,0)))</f>
        <v>3</v>
      </c>
      <c r="AZ101" s="178">
        <f>IF(CdTrp1!F55=1,3,IF(CdTrp1!F55=0.5,2,IF(CdTrp1!F55=0,1,0)))</f>
        <v>3</v>
      </c>
      <c r="BA101" s="178">
        <f>IF(CdTrp1!G55=1,3,IF(CdTrp1!G55=0.5,2,IF(CdTrp1!G55=0,1,0)))</f>
        <v>3</v>
      </c>
      <c r="BB101" s="178">
        <f>IF(CdTrp1!H55=1,3,IF(CdTrp1!H55=0.5,2,IF(CdTrp1!H55=0,1,0)))</f>
        <v>3</v>
      </c>
      <c r="BC101" s="178">
        <f>IF(CdTrp1!I55=1,3,IF(CdTrp1!I55=0.5,2,IF(CdTrp1!I55=0,1,0)))</f>
        <v>3</v>
      </c>
      <c r="BD101" s="178">
        <f>IF(CdTrp1!J55=1,3,IF(CdTrp1!J55=0.5,2,IF(CdTrp1!J55=0,1,0)))</f>
        <v>3</v>
      </c>
      <c r="BE101" s="178">
        <f>IF(CdTrp1!K55=1,3,IF(CdTrp1!K55=0.5,2,IF(CdTrp1!K55=0,1,0)))</f>
        <v>3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3</v>
      </c>
      <c r="BQ101" s="178">
        <f>IF(CdTrp1!W55=1,3,IF(CdTrp1!W55=0.5,2,IF(CdTrp1!W55=0,1,0)))</f>
        <v>3</v>
      </c>
      <c r="BR101" s="178">
        <f>IF(CdTrp1!X55=1,3,IF(CdTrp1!X55=0.5,2,IF(CdTrp1!X55=0,1,0)))</f>
        <v>3</v>
      </c>
      <c r="BS101" s="178">
        <f>IF(CdTrp1!Y55=1,3,IF(CdTrp1!Y55=0.5,2,IF(CdTrp1!Y55=0,1,0)))</f>
        <v>3</v>
      </c>
      <c r="BZ101" s="192" t="str">
        <f t="shared" si="23"/>
        <v>Broutards</v>
      </c>
      <c r="CA101" s="32"/>
      <c r="CB101" s="178">
        <f>IF(CdTrp2!B55=1,3,IF(CdTrp2!B55=0.5,2,IF(CdTrp2!B55=0,1,0)))</f>
        <v>3</v>
      </c>
      <c r="CC101" s="178">
        <f>IF(CdTrp2!C55=1,3,IF(CdTrp2!C55=0.5,2,IF(CdTrp2!C55=0,1,0)))</f>
        <v>3</v>
      </c>
      <c r="CD101" s="178">
        <f>IF(CdTrp2!D55=1,3,IF(CdTrp2!D55=0.5,2,IF(CdTrp2!D55=0,1,0)))</f>
        <v>3</v>
      </c>
      <c r="CE101" s="178">
        <f>IF(CdTrp2!E55=1,3,IF(CdTrp2!E55=0.5,2,IF(CdTrp2!E55=0,1,0)))</f>
        <v>3</v>
      </c>
      <c r="CF101" s="178">
        <f>IF(CdTrp2!F55=1,3,IF(CdTrp2!F55=0.5,2,IF(CdTrp2!F55=0,1,0)))</f>
        <v>3</v>
      </c>
      <c r="CG101" s="178">
        <f>IF(CdTrp2!G55=1,3,IF(CdTrp2!G55=0.5,2,IF(CdTrp2!G55=0,1,0)))</f>
        <v>3</v>
      </c>
      <c r="CH101" s="178">
        <f>IF(CdTrp2!H55=1,3,IF(CdTrp2!H55=0.5,2,IF(CdTrp2!H55=0,1,0)))</f>
        <v>3</v>
      </c>
      <c r="CI101" s="178">
        <f>IF(CdTrp2!I55=1,3,IF(CdTrp2!I55=0.5,2,IF(CdTrp2!I55=0,1,0)))</f>
        <v>3</v>
      </c>
      <c r="CJ101" s="178">
        <f>IF(CdTrp2!J55=1,3,IF(CdTrp2!J55=0.5,2,IF(CdTrp2!J55=0,1,0)))</f>
        <v>3</v>
      </c>
      <c r="CK101" s="178">
        <f>IF(CdTrp2!K55=1,3,IF(CdTrp2!K55=0.5,2,IF(CdTrp2!K55=0,1,0)))</f>
        <v>3</v>
      </c>
      <c r="CL101" s="178">
        <f>IF(CdTrp2!L55=1,3,IF(CdTrp2!L55=0.5,2,IF(CdTrp2!L55=0,1,0)))</f>
        <v>3</v>
      </c>
      <c r="CM101" s="178">
        <f>IF(CdTrp2!M55=1,3,IF(CdTrp2!M55=0.5,2,IF(CdTrp2!M55=0,1,0)))</f>
        <v>3</v>
      </c>
      <c r="CN101" s="178">
        <f>IF(CdTrp2!N55=1,3,IF(CdTrp2!N55=0.5,2,IF(CdTrp2!N55=0,1,0)))</f>
        <v>3</v>
      </c>
      <c r="CO101" s="178">
        <f>IF(CdTrp2!O55=1,3,IF(CdTrp2!O55=0.5,2,IF(CdTrp2!O55=0,1,0)))</f>
        <v>3</v>
      </c>
      <c r="CP101" s="178">
        <f>IF(CdTrp2!P55=1,3,IF(CdTrp2!P55=0.5,2,IF(CdTrp2!P55=0,1,0)))</f>
        <v>3</v>
      </c>
      <c r="CQ101" s="178">
        <f>IF(CdTrp2!Q55=1,3,IF(CdTrp2!Q55=0.5,2,IF(CdTrp2!Q55=0,1,0)))</f>
        <v>3</v>
      </c>
      <c r="CR101" s="178">
        <f>IF(CdTrp2!R55=1,3,IF(CdTrp2!R55=0.5,2,IF(CdTrp2!R55=0,1,0)))</f>
        <v>3</v>
      </c>
      <c r="CS101" s="178">
        <f>IF(CdTrp2!S55=1,3,IF(CdTrp2!S55=0.5,2,IF(CdTrp2!S55=0,1,0)))</f>
        <v>3</v>
      </c>
      <c r="CT101" s="178">
        <f>IF(CdTrp2!T55=1,3,IF(CdTrp2!T55=0.5,2,IF(CdTrp2!T55=0,1,0)))</f>
        <v>3</v>
      </c>
      <c r="CU101" s="178">
        <f>IF(CdTrp2!U55=1,3,IF(CdTrp2!U55=0.5,2,IF(CdTrp2!U55=0,1,0)))</f>
        <v>3</v>
      </c>
      <c r="CV101" s="178">
        <f>IF(CdTrp2!V55=1,3,IF(CdTrp2!V55=0.5,2,IF(CdTrp2!V55=0,1,0)))</f>
        <v>3</v>
      </c>
      <c r="CW101" s="178">
        <f>IF(CdTrp2!W55=1,3,IF(CdTrp2!W55=0.5,2,IF(CdTrp2!W55=0,1,0)))</f>
        <v>3</v>
      </c>
      <c r="CX101" s="178">
        <f>IF(CdTrp2!X55=1,3,IF(CdTrp2!X55=0.5,2,IF(CdTrp2!X55=0,1,0)))</f>
        <v>3</v>
      </c>
      <c r="CY101" s="178">
        <f>IF(CdTrp2!Y55=1,3,IF(CdTrp2!Y55=0.5,2,IF(CdTrp2!Y55=0,1,0)))</f>
        <v>3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12</v>
      </c>
      <c r="D102" s="17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 + vides</v>
      </c>
      <c r="AU102" s="32"/>
      <c r="AV102" s="178">
        <f>IF(CdTrp1!B56=1,3,IF(CdTrp1!B56=0.5,2,IF(CdTrp1!B56=0,1,0)))</f>
        <v>2</v>
      </c>
      <c r="AW102" s="178">
        <f>IF(CdTrp1!C56=1,3,IF(CdTrp1!C56=0.5,2,IF(CdTrp1!C56=0,1,0)))</f>
        <v>2</v>
      </c>
      <c r="AX102" s="178">
        <f>IF(CdTrp1!D56=1,3,IF(CdTrp1!D56=0.5,2,IF(CdTrp1!D56=0,1,0)))</f>
        <v>2</v>
      </c>
      <c r="AY102" s="178">
        <f>IF(CdTrp1!E56=1,3,IF(CdTrp1!E56=0.5,2,IF(CdTrp1!E56=0,1,0)))</f>
        <v>2</v>
      </c>
      <c r="AZ102" s="178">
        <f>IF(CdTrp1!F56=1,3,IF(CdTrp1!F56=0.5,2,IF(CdTrp1!F56=0,1,0)))</f>
        <v>2</v>
      </c>
      <c r="BA102" s="178">
        <f>IF(CdTrp1!G56=1,3,IF(CdTrp1!G56=0.5,2,IF(CdTrp1!G56=0,1,0)))</f>
        <v>2</v>
      </c>
      <c r="BB102" s="178">
        <f>IF(CdTrp1!H56=1,3,IF(CdTrp1!H56=0.5,2,IF(CdTrp1!H56=0,1,0)))</f>
        <v>2</v>
      </c>
      <c r="BC102" s="178">
        <f>IF(CdTrp1!I56=1,3,IF(CdTrp1!I56=0.5,2,IF(CdTrp1!I56=0,1,0)))</f>
        <v>2</v>
      </c>
      <c r="BD102" s="178">
        <f>IF(CdTrp1!J56=1,3,IF(CdTrp1!J56=0.5,2,IF(CdTrp1!J56=0,1,0)))</f>
        <v>2</v>
      </c>
      <c r="BE102" s="178">
        <f>IF(CdTrp1!K56=1,3,IF(CdTrp1!K56=0.5,2,IF(CdTrp1!K56=0,1,0)))</f>
        <v>2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2</v>
      </c>
      <c r="BQ102" s="178">
        <f>IF(CdTrp1!W56=1,3,IF(CdTrp1!W56=0.5,2,IF(CdTrp1!W56=0,1,0)))</f>
        <v>2</v>
      </c>
      <c r="BR102" s="178">
        <f>IF(CdTrp1!X56=1,3,IF(CdTrp1!X56=0.5,2,IF(CdTrp1!X56=0,1,0)))</f>
        <v>2</v>
      </c>
      <c r="BS102" s="178">
        <f>IF(CdTrp1!Y56=1,3,IF(CdTrp1!Y56=0.5,2,IF(CdTrp1!Y56=0,1,0)))</f>
        <v>2</v>
      </c>
      <c r="BZ102" s="192" t="str">
        <f t="shared" si="23"/>
        <v>génisses &lt; 1 an</v>
      </c>
      <c r="CA102" s="32"/>
      <c r="CB102" s="178">
        <f>IF(CdTrp2!B56=1,3,IF(CdTrp2!B56=0.5,2,IF(CdTrp2!B56=0,1,0)))</f>
        <v>3</v>
      </c>
      <c r="CC102" s="178">
        <f>IF(CdTrp2!C56=1,3,IF(CdTrp2!C56=0.5,2,IF(CdTrp2!C56=0,1,0)))</f>
        <v>3</v>
      </c>
      <c r="CD102" s="178">
        <f>IF(CdTrp2!D56=1,3,IF(CdTrp2!D56=0.5,2,IF(CdTrp2!D56=0,1,0)))</f>
        <v>3</v>
      </c>
      <c r="CE102" s="178">
        <f>IF(CdTrp2!E56=1,3,IF(CdTrp2!E56=0.5,2,IF(CdTrp2!E56=0,1,0)))</f>
        <v>3</v>
      </c>
      <c r="CF102" s="178">
        <f>IF(CdTrp2!F56=1,3,IF(CdTrp2!F56=0.5,2,IF(CdTrp2!F56=0,1,0)))</f>
        <v>3</v>
      </c>
      <c r="CG102" s="178">
        <f>IF(CdTrp2!G56=1,3,IF(CdTrp2!G56=0.5,2,IF(CdTrp2!G56=0,1,0)))</f>
        <v>3</v>
      </c>
      <c r="CH102" s="178">
        <f>IF(CdTrp2!H56=1,3,IF(CdTrp2!H56=0.5,2,IF(CdTrp2!H56=0,1,0)))</f>
        <v>3</v>
      </c>
      <c r="CI102" s="178">
        <f>IF(CdTrp2!I56=1,3,IF(CdTrp2!I56=0.5,2,IF(CdTrp2!I56=0,1,0)))</f>
        <v>3</v>
      </c>
      <c r="CJ102" s="178">
        <f>IF(CdTrp2!J56=1,3,IF(CdTrp2!J56=0.5,2,IF(CdTrp2!J56=0,1,0)))</f>
        <v>3</v>
      </c>
      <c r="CK102" s="178">
        <f>IF(CdTrp2!K56=1,3,IF(CdTrp2!K56=0.5,2,IF(CdTrp2!K56=0,1,0)))</f>
        <v>3</v>
      </c>
      <c r="CL102" s="178">
        <f>IF(CdTrp2!L56=1,3,IF(CdTrp2!L56=0.5,2,IF(CdTrp2!L56=0,1,0)))</f>
        <v>3</v>
      </c>
      <c r="CM102" s="178">
        <f>IF(CdTrp2!M56=1,3,IF(CdTrp2!M56=0.5,2,IF(CdTrp2!M56=0,1,0)))</f>
        <v>3</v>
      </c>
      <c r="CN102" s="178">
        <f>IF(CdTrp2!N56=1,3,IF(CdTrp2!N56=0.5,2,IF(CdTrp2!N56=0,1,0)))</f>
        <v>3</v>
      </c>
      <c r="CO102" s="178">
        <f>IF(CdTrp2!O56=1,3,IF(CdTrp2!O56=0.5,2,IF(CdTrp2!O56=0,1,0)))</f>
        <v>3</v>
      </c>
      <c r="CP102" s="178">
        <f>IF(CdTrp2!P56=1,3,IF(CdTrp2!P56=0.5,2,IF(CdTrp2!P56=0,1,0)))</f>
        <v>3</v>
      </c>
      <c r="CQ102" s="178">
        <f>IF(CdTrp2!Q56=1,3,IF(CdTrp2!Q56=0.5,2,IF(CdTrp2!Q56=0,1,0)))</f>
        <v>3</v>
      </c>
      <c r="CR102" s="178">
        <f>IF(CdTrp2!R56=1,3,IF(CdTrp2!R56=0.5,2,IF(CdTrp2!R56=0,1,0)))</f>
        <v>3</v>
      </c>
      <c r="CS102" s="178">
        <f>IF(CdTrp2!S56=1,3,IF(CdTrp2!S56=0.5,2,IF(CdTrp2!S56=0,1,0)))</f>
        <v>3</v>
      </c>
      <c r="CT102" s="178">
        <f>IF(CdTrp2!T56=1,3,IF(CdTrp2!T56=0.5,2,IF(CdTrp2!T56=0,1,0)))</f>
        <v>3</v>
      </c>
      <c r="CU102" s="178">
        <f>IF(CdTrp2!U56=1,3,IF(CdTrp2!U56=0.5,2,IF(CdTrp2!U56=0,1,0)))</f>
        <v>3</v>
      </c>
      <c r="CV102" s="178">
        <f>IF(CdTrp2!V56=1,3,IF(CdTrp2!V56=0.5,2,IF(CdTrp2!V56=0,1,0)))</f>
        <v>3</v>
      </c>
      <c r="CW102" s="178">
        <f>IF(CdTrp2!W56=1,3,IF(CdTrp2!W56=0.5,2,IF(CdTrp2!W56=0,1,0)))</f>
        <v>3</v>
      </c>
      <c r="CX102" s="178">
        <f>IF(CdTrp2!X56=1,3,IF(CdTrp2!X56=0.5,2,IF(CdTrp2!X56=0,1,0)))</f>
        <v>3</v>
      </c>
      <c r="CY102" s="178">
        <f>IF(CdTrp2!Y56=1,3,IF(CdTrp2!Y56=0.5,2,IF(CdTrp2!Y56=0,1,0)))</f>
        <v>3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6</v>
      </c>
      <c r="D103" s="178">
        <f t="shared" si="25"/>
        <v>6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12</v>
      </c>
      <c r="D105" s="178">
        <f t="shared" si="25"/>
        <v>12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2</v>
      </c>
      <c r="P105" s="30">
        <f>CdTrp2!J76</f>
        <v>2</v>
      </c>
      <c r="Q105" s="30">
        <f>CdTrp2!K76</f>
        <v>3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3</v>
      </c>
      <c r="W105" s="30">
        <f>CdTrp2!Q76</f>
        <v>2</v>
      </c>
      <c r="X105" s="30">
        <f>CdTrp2!R76</f>
        <v>2</v>
      </c>
      <c r="Y105" s="30">
        <f>CdTrp2!S76</f>
        <v>3</v>
      </c>
      <c r="Z105" s="30">
        <f>CdTrp2!T76</f>
        <v>2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22</v>
      </c>
      <c r="D106" s="178">
        <f t="shared" si="25"/>
        <v>22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18</v>
      </c>
      <c r="D107" s="178">
        <f t="shared" si="25"/>
        <v>18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1</v>
      </c>
      <c r="P107" s="30">
        <f>CdTrp2!J78</f>
        <v>1</v>
      </c>
      <c r="Q107" s="30">
        <f>CdTrp2!K78</f>
        <v>1</v>
      </c>
      <c r="R107" s="30">
        <f>CdTrp2!L78</f>
        <v>1</v>
      </c>
      <c r="S107" s="30">
        <f>CdTrp2!M78</f>
        <v>1</v>
      </c>
      <c r="T107" s="30">
        <f>CdTrp2!N78</f>
        <v>1</v>
      </c>
      <c r="U107" s="30">
        <f>CdTrp2!O78</f>
        <v>1</v>
      </c>
      <c r="V107" s="30">
        <f>CdTrp2!P78</f>
        <v>1</v>
      </c>
      <c r="W107" s="30">
        <f>CdTrp2!Q78</f>
        <v>1</v>
      </c>
      <c r="X107" s="30">
        <f>CdTrp2!R78</f>
        <v>1</v>
      </c>
      <c r="Y107" s="30">
        <f>CdTrp2!S78</f>
        <v>1</v>
      </c>
      <c r="Z107" s="30">
        <f>CdTrp2!T78</f>
        <v>1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Broutards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40</v>
      </c>
      <c r="D109" s="178">
        <f t="shared" si="25"/>
        <v>40</v>
      </c>
      <c r="F109" s="14"/>
      <c r="G109" s="266" t="str">
        <f>CdTrp2!A80</f>
        <v>génisses &lt; 1 an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1</v>
      </c>
      <c r="AW109" s="178">
        <f>IF(CdTrp1!C76=1,1,IF(CdTrp1!C76=2,2,IF(CdTrp1!C76=3,2,IF(CdTrp1!C76=4,4,0))))</f>
        <v>1</v>
      </c>
      <c r="AX109" s="178">
        <f>IF(CdTrp1!D76=1,1,IF(CdTrp1!D76=2,2,IF(CdTrp1!D76=3,2,IF(CdTrp1!D76=4,4,0))))</f>
        <v>1</v>
      </c>
      <c r="AY109" s="178">
        <f>IF(CdTrp1!E76=1,1,IF(CdTrp1!E76=2,2,IF(CdTrp1!E76=3,2,IF(CdTrp1!E76=4,4,0))))</f>
        <v>1</v>
      </c>
      <c r="AZ109" s="178">
        <f>IF(CdTrp1!F76=1,1,IF(CdTrp1!F76=2,2,IF(CdTrp1!F76=3,2,IF(CdTrp1!F76=4,4,0))))</f>
        <v>1</v>
      </c>
      <c r="BA109" s="178">
        <f>IF(CdTrp1!G76=1,1,IF(CdTrp1!G76=2,2,IF(CdTrp1!G76=3,2,IF(CdTrp1!G76=4,4,0))))</f>
        <v>1</v>
      </c>
      <c r="BB109" s="178">
        <f>IF(CdTrp1!H76=1,1,IF(CdTrp1!H76=2,2,IF(CdTrp1!H76=3,2,IF(CdTrp1!H76=4,4,0))))</f>
        <v>1</v>
      </c>
      <c r="BC109" s="178">
        <f>IF(CdTrp1!I76=1,1,IF(CdTrp1!I76=2,2,IF(CdTrp1!I76=3,2,IF(CdTrp1!I76=4,4,0))))</f>
        <v>1</v>
      </c>
      <c r="BD109" s="178">
        <f>IF(CdTrp1!J76=1,1,IF(CdTrp1!J76=2,2,IF(CdTrp1!J76=3,2,IF(CdTrp1!J76=4,4,0))))</f>
        <v>1</v>
      </c>
      <c r="BE109" s="178">
        <f>IF(CdTrp1!K76=1,1,IF(CdTrp1!K76=2,2,IF(CdTrp1!K76=3,2,IF(CdTrp1!K76=4,4,0))))</f>
        <v>1</v>
      </c>
      <c r="BF109" s="178">
        <f>IF(CdTrp1!L76=1,1,IF(CdTrp1!L76=2,2,IF(CdTrp1!L76=3,2,IF(CdTrp1!L76=4,4,0))))</f>
        <v>1</v>
      </c>
      <c r="BG109" s="178">
        <f>IF(CdTrp1!M76=1,1,IF(CdTrp1!M76=2,2,IF(CdTrp1!M76=3,2,IF(CdTrp1!M76=4,4,0))))</f>
        <v>1</v>
      </c>
      <c r="BH109" s="178">
        <v>2</v>
      </c>
      <c r="BI109" s="178">
        <f>IF(CdTrp1!O76=1,1,IF(CdTrp1!O76=2,2,IF(CdTrp1!O76=3,2,IF(CdTrp1!O76=4,4,0))))</f>
        <v>1</v>
      </c>
      <c r="BJ109" s="178">
        <f>IF(CdTrp1!P76=1,1,IF(CdTrp1!P76=2,2,IF(CdTrp1!P76=3,2,IF(CdTrp1!P76=4,4,0))))</f>
        <v>1</v>
      </c>
      <c r="BK109" s="178">
        <f>IF(CdTrp1!Q76=1,1,IF(CdTrp1!Q76=2,2,IF(CdTrp1!Q76=3,2,IF(CdTrp1!Q76=4,4,0))))</f>
        <v>1</v>
      </c>
      <c r="BL109" s="178">
        <f>IF(CdTrp1!R76=1,1,IF(CdTrp1!R76=2,2,IF(CdTrp1!R76=3,2,IF(CdTrp1!R76=4,4,0))))</f>
        <v>1</v>
      </c>
      <c r="BM109" s="178">
        <f>IF(CdTrp1!S76=1,1,IF(CdTrp1!S76=2,2,IF(CdTrp1!S76=3,2,IF(CdTrp1!S76=4,4,0))))</f>
        <v>1</v>
      </c>
      <c r="BN109" s="178">
        <f>IF(CdTrp1!T76=1,1,IF(CdTrp1!T76=2,2,IF(CdTrp1!T76=3,2,IF(CdTrp1!T76=4,4,0))))</f>
        <v>1</v>
      </c>
      <c r="BO109" s="178">
        <f>IF(CdTrp1!U76=1,1,IF(CdTrp1!U76=2,2,IF(CdTrp1!U76=3,2,IF(CdTrp1!U76=4,4,0))))</f>
        <v>1</v>
      </c>
      <c r="BP109" s="178">
        <f>IF(CdTrp1!V76=1,1,IF(CdTrp1!V76=2,2,IF(CdTrp1!V76=3,2,IF(CdTrp1!V76=4,4,0))))</f>
        <v>1</v>
      </c>
      <c r="BQ109" s="178">
        <f>IF(CdTrp1!W76=1,1,IF(CdTrp1!W76=2,2,IF(CdTrp1!W76=3,2,IF(CdTrp1!W76=4,4,0))))</f>
        <v>1</v>
      </c>
      <c r="BR109" s="178">
        <f>IF(CdTrp1!X76=1,1,IF(CdTrp1!X76=2,2,IF(CdTrp1!X76=3,2,IF(CdTrp1!X76=4,4,0))))</f>
        <v>1</v>
      </c>
      <c r="BS109" s="178">
        <f>IF(CdTrp1!Y76=1,1,IF(CdTrp1!Y76=2,2,IF(CdTrp1!Y76=3,2,IF(CdTrp1!Y76=4,4,0))))</f>
        <v>1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2</v>
      </c>
      <c r="CJ109" s="178">
        <f>IF(CdTrp2!J76=1,1,IF(CdTrp2!J76=2,2,IF(CdTrp2!J76=3,2,IF(CdTrp2!J76=4,4,0))))</f>
        <v>2</v>
      </c>
      <c r="CK109" s="178">
        <f>IF(CdTrp2!K76=1,1,IF(CdTrp2!K76=2,2,IF(CdTrp2!K76=3,2,IF(CdTrp2!K76=4,4,0))))</f>
        <v>2</v>
      </c>
      <c r="CL109" s="178">
        <f>IF(CdTrp2!L76=1,1,IF(CdTrp2!L76=2,2,IF(CdTrp2!L76=3,2,IF(CdTrp2!L76=4,4,0))))</f>
        <v>2</v>
      </c>
      <c r="CM109" s="178">
        <f>IF(CdTrp2!M76=1,1,IF(CdTrp2!M76=2,2,IF(CdTrp2!M76=3,2,IF(CdTrp2!M76=4,4,0))))</f>
        <v>2</v>
      </c>
      <c r="CN109" s="178">
        <f>IF(CdTrp2!N76=1,1,IF(CdTrp2!N76=2,2,IF(CdTrp2!N76=3,2,IF(CdTrp2!N76=4,4,0))))</f>
        <v>2</v>
      </c>
      <c r="CO109" s="178">
        <f>IF(CdTrp2!O76=1,1,IF(CdTrp2!O76=2,2,IF(CdTrp2!O76=3,2,IF(CdTrp2!O76=4,4,0))))</f>
        <v>2</v>
      </c>
      <c r="CP109" s="178">
        <f>IF(CdTrp2!P76=1,1,IF(CdTrp2!P76=2,2,IF(CdTrp2!P76=3,2,IF(CdTrp2!P76=4,4,0))))</f>
        <v>2</v>
      </c>
      <c r="CQ109" s="178">
        <f>IF(CdTrp2!Q76=1,1,IF(CdTrp2!Q76=2,2,IF(CdTrp2!Q76=3,2,IF(CdTrp2!Q76=4,4,0))))</f>
        <v>2</v>
      </c>
      <c r="CR109" s="178">
        <f>IF(CdTrp2!R76=1,1,IF(CdTrp2!R76=2,2,IF(CdTrp2!R76=3,2,IF(CdTrp2!R76=4,4,0))))</f>
        <v>2</v>
      </c>
      <c r="CS109" s="178">
        <f>IF(CdTrp2!S76=1,1,IF(CdTrp2!S76=2,2,IF(CdTrp2!S76=3,2,IF(CdTrp2!S76=4,4,0))))</f>
        <v>2</v>
      </c>
      <c r="CT109" s="178">
        <f>IF(CdTrp2!T76=1,1,IF(CdTrp2!T76=2,2,IF(CdTrp2!T76=3,2,IF(CdTrp2!T76=4,4,0))))</f>
        <v>2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22</v>
      </c>
      <c r="D110" s="178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lot2</v>
      </c>
      <c r="AU110" s="32"/>
      <c r="AV110" s="178">
        <f>IF(CdTrp1!B77=1,1,IF(CdTrp1!B77=2,2,IF(CdTrp1!B77=3,2,IF(CdTrp1!B77=4,4,0))))</f>
        <v>0</v>
      </c>
      <c r="AW110" s="178">
        <f>IF(CdTrp1!C77=1,1,IF(CdTrp1!C77=2,2,IF(CdTrp1!C77=3,2,IF(CdTrp1!C77=4,4,0))))</f>
        <v>0</v>
      </c>
      <c r="AX110" s="178">
        <f>IF(CdTrp1!D77=1,1,IF(CdTrp1!D77=2,2,IF(CdTrp1!D77=3,2,IF(CdTrp1!D77=4,4,0))))</f>
        <v>0</v>
      </c>
      <c r="AY110" s="178">
        <f>IF(CdTrp1!E77=1,1,IF(CdTrp1!E77=2,2,IF(CdTrp1!E77=3,2,IF(CdTrp1!E77=4,4,0))))</f>
        <v>0</v>
      </c>
      <c r="AZ110" s="178">
        <f>IF(CdTrp1!F77=1,1,IF(CdTrp1!F77=2,2,IF(CdTrp1!F77=3,2,IF(CdTrp1!F77=4,4,0))))</f>
        <v>0</v>
      </c>
      <c r="BA110" s="178">
        <f>IF(CdTrp1!G77=1,1,IF(CdTrp1!G77=2,2,IF(CdTrp1!G77=3,2,IF(CdTrp1!G77=4,4,0))))</f>
        <v>0</v>
      </c>
      <c r="BB110" s="178">
        <f>IF(CdTrp1!H77=1,1,IF(CdTrp1!H77=2,2,IF(CdTrp1!H77=3,2,IF(CdTrp1!H77=4,4,0))))</f>
        <v>0</v>
      </c>
      <c r="BC110" s="178">
        <f>IF(CdTrp1!I77=1,1,IF(CdTrp1!I77=2,2,IF(CdTrp1!I77=3,2,IF(CdTrp1!I77=4,4,0))))</f>
        <v>0</v>
      </c>
      <c r="BD110" s="178">
        <f>IF(CdTrp1!J77=1,1,IF(CdTrp1!J77=2,2,IF(CdTrp1!J77=3,2,IF(CdTrp1!J77=4,4,0))))</f>
        <v>0</v>
      </c>
      <c r="BE110" s="178">
        <f>IF(CdTrp1!K77=1,1,IF(CdTrp1!K77=2,2,IF(CdTrp1!K77=3,2,IF(CdTrp1!K77=4,4,0))))</f>
        <v>0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0</v>
      </c>
      <c r="BN110" s="178">
        <f>IF(CdTrp1!T77=1,1,IF(CdTrp1!T77=2,2,IF(CdTrp1!T77=3,2,IF(CdTrp1!T77=4,4,0))))</f>
        <v>0</v>
      </c>
      <c r="BO110" s="178">
        <f>IF(CdTrp1!U77=1,1,IF(CdTrp1!U77=2,2,IF(CdTrp1!U77=3,2,IF(CdTrp1!U77=4,4,0))))</f>
        <v>0</v>
      </c>
      <c r="BP110" s="178">
        <f>IF(CdTrp1!V77=1,1,IF(CdTrp1!V77=2,2,IF(CdTrp1!V77=3,2,IF(CdTrp1!V77=4,4,0))))</f>
        <v>0</v>
      </c>
      <c r="BQ110" s="178">
        <f>IF(CdTrp1!W77=1,1,IF(CdTrp1!W77=2,2,IF(CdTrp1!W77=3,2,IF(CdTrp1!W77=4,4,0))))</f>
        <v>0</v>
      </c>
      <c r="BR110" s="178">
        <f>IF(CdTrp1!X77=1,1,IF(CdTrp1!X77=2,2,IF(CdTrp1!X77=3,2,IF(CdTrp1!X77=4,4,0))))</f>
        <v>0</v>
      </c>
      <c r="BS110" s="178">
        <f>IF(CdTrp1!Y77=1,1,IF(CdTrp1!Y77=2,2,IF(CdTrp1!Y77=3,2,IF(CdTrp1!Y77=4,4,0))))</f>
        <v>0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1</v>
      </c>
      <c r="CJ110" s="178">
        <f>IF(CdTrp2!J77=1,1,IF(CdTrp2!J77=2,2,IF(CdTrp2!J77=3,2,IF(CdTrp2!J77=4,4,0))))</f>
        <v>1</v>
      </c>
      <c r="CK110" s="178">
        <f>IF(CdTrp2!K77=1,1,IF(CdTrp2!K77=2,2,IF(CdTrp2!K77=3,2,IF(CdTrp2!K77=4,4,0))))</f>
        <v>1</v>
      </c>
      <c r="CL110" s="178">
        <f>IF(CdTrp2!L77=1,1,IF(CdTrp2!L77=2,2,IF(CdTrp2!L77=3,2,IF(CdTrp2!L77=4,4,0))))</f>
        <v>1</v>
      </c>
      <c r="CM110" s="178">
        <f>IF(CdTrp2!M77=1,1,IF(CdTrp2!M77=2,2,IF(CdTrp2!M77=3,2,IF(CdTrp2!M77=4,4,0))))</f>
        <v>1</v>
      </c>
      <c r="CN110" s="178">
        <f>IF(CdTrp2!N77=1,1,IF(CdTrp2!N77=2,2,IF(CdTrp2!N77=3,2,IF(CdTrp2!N77=4,4,0))))</f>
        <v>1</v>
      </c>
      <c r="CO110" s="178">
        <f>IF(CdTrp2!O77=1,1,IF(CdTrp2!O77=2,2,IF(CdTrp2!O77=3,2,IF(CdTrp2!O77=4,4,0))))</f>
        <v>1</v>
      </c>
      <c r="CP110" s="178">
        <f>IF(CdTrp2!P77=1,1,IF(CdTrp2!P77=2,2,IF(CdTrp2!P77=3,2,IF(CdTrp2!P77=4,4,0))))</f>
        <v>1</v>
      </c>
      <c r="CQ110" s="178">
        <f>IF(CdTrp2!Q77=1,1,IF(CdTrp2!Q77=2,2,IF(CdTrp2!Q77=3,2,IF(CdTrp2!Q77=4,4,0))))</f>
        <v>1</v>
      </c>
      <c r="CR110" s="178">
        <f>IF(CdTrp2!R77=1,1,IF(CdTrp2!R77=2,2,IF(CdTrp2!R77=3,2,IF(CdTrp2!R77=4,4,0))))</f>
        <v>1</v>
      </c>
      <c r="CS110" s="178">
        <f>IF(CdTrp2!S77=1,1,IF(CdTrp2!S77=2,2,IF(CdTrp2!S77=3,2,IF(CdTrp2!S77=4,4,0))))</f>
        <v>1</v>
      </c>
      <c r="CT110" s="178">
        <f>IF(CdTrp2!T77=1,1,IF(CdTrp2!T77=2,2,IF(CdTrp2!T77=3,2,IF(CdTrp2!T77=4,4,0))))</f>
        <v>1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12</v>
      </c>
      <c r="D111" s="178">
        <f t="shared" si="25"/>
        <v>12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1</v>
      </c>
      <c r="BK111" s="178">
        <f>IF(CdTrp1!Q78=1,1,IF(CdTrp1!Q78=2,2,IF(CdTrp1!Q78=3,2,IF(CdTrp1!Q78=4,4,0))))</f>
        <v>1</v>
      </c>
      <c r="BL111" s="178">
        <f>IF(CdTrp1!R78=1,1,IF(CdTrp1!R78=2,2,IF(CdTrp1!R78=3,2,IF(CdTrp1!R78=4,4,0))))</f>
        <v>1</v>
      </c>
      <c r="BM111" s="178">
        <f>IF(CdTrp1!S78=1,1,IF(CdTrp1!S78=2,2,IF(CdTrp1!S78=3,2,IF(CdTrp1!S78=4,4,0))))</f>
        <v>1</v>
      </c>
      <c r="BN111" s="178">
        <f>IF(CdTrp1!T78=1,1,IF(CdTrp1!T78=2,2,IF(CdTrp1!T78=3,2,IF(CdTrp1!T78=4,4,0))))</f>
        <v>1</v>
      </c>
      <c r="BO111" s="178">
        <f>IF(CdTrp1!U78=1,1,IF(CdTrp1!U78=2,2,IF(CdTrp1!U78=3,2,IF(CdTrp1!U78=4,4,0))))</f>
        <v>1</v>
      </c>
      <c r="BP111" s="178">
        <f>IF(CdTrp1!V78=1,1,IF(CdTrp1!V78=2,2,IF(CdTrp1!V78=3,2,IF(CdTrp1!V78=4,4,0))))</f>
        <v>0</v>
      </c>
      <c r="BQ111" s="178">
        <f>IF(CdTrp1!W78=1,1,IF(CdTrp1!W78=2,2,IF(CdTrp1!W78=3,2,IF(CdTrp1!W78=4,4,0))))</f>
        <v>0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1</v>
      </c>
      <c r="CJ111" s="178">
        <f>IF(CdTrp2!J78=1,1,IF(CdTrp2!J78=2,2,IF(CdTrp2!J78=3,2,IF(CdTrp2!J78=4,4,0))))</f>
        <v>1</v>
      </c>
      <c r="CK111" s="178">
        <f>IF(CdTrp2!K78=1,1,IF(CdTrp2!K78=2,2,IF(CdTrp2!K78=3,2,IF(CdTrp2!K78=4,4,0))))</f>
        <v>1</v>
      </c>
      <c r="CL111" s="178">
        <f>IF(CdTrp2!L78=1,1,IF(CdTrp2!L78=2,2,IF(CdTrp2!L78=3,2,IF(CdTrp2!L78=4,4,0))))</f>
        <v>1</v>
      </c>
      <c r="CM111" s="178">
        <f>IF(CdTrp2!M78=1,1,IF(CdTrp2!M78=2,2,IF(CdTrp2!M78=3,2,IF(CdTrp2!M78=4,4,0))))</f>
        <v>1</v>
      </c>
      <c r="CN111" s="178">
        <f>IF(CdTrp2!N78=1,1,IF(CdTrp2!N78=2,2,IF(CdTrp2!N78=3,2,IF(CdTrp2!N78=4,4,0))))</f>
        <v>1</v>
      </c>
      <c r="CO111" s="178">
        <f>IF(CdTrp2!O78=1,1,IF(CdTrp2!O78=2,2,IF(CdTrp2!O78=3,2,IF(CdTrp2!O78=4,4,0))))</f>
        <v>1</v>
      </c>
      <c r="CP111" s="178">
        <f>IF(CdTrp2!P78=1,1,IF(CdTrp2!P78=2,2,IF(CdTrp2!P78=3,2,IF(CdTrp2!P78=4,4,0))))</f>
        <v>1</v>
      </c>
      <c r="CQ111" s="178">
        <f>IF(CdTrp2!Q78=1,1,IF(CdTrp2!Q78=2,2,IF(CdTrp2!Q78=3,2,IF(CdTrp2!Q78=4,4,0))))</f>
        <v>1</v>
      </c>
      <c r="CR111" s="178">
        <f>IF(CdTrp2!R78=1,1,IF(CdTrp2!R78=2,2,IF(CdTrp2!R78=3,2,IF(CdTrp2!R78=4,4,0))))</f>
        <v>1</v>
      </c>
      <c r="CS111" s="178">
        <f>IF(CdTrp2!S78=1,1,IF(CdTrp2!S78=2,2,IF(CdTrp2!S78=3,2,IF(CdTrp2!S78=4,4,0))))</f>
        <v>1</v>
      </c>
      <c r="CT111" s="178">
        <f>IF(CdTrp2!T78=1,1,IF(CdTrp2!T78=2,2,IF(CdTrp2!T78=3,2,IF(CdTrp2!T78=4,4,0))))</f>
        <v>1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0</v>
      </c>
      <c r="AW112" s="178">
        <f>IF(CdTrp1!C79=1,1,IF(CdTrp1!C79=2,2,IF(CdTrp1!C79=3,2,IF(CdTrp1!C79=4,4,0))))</f>
        <v>0</v>
      </c>
      <c r="AX112" s="178">
        <f>IF(CdTrp1!D79=1,1,IF(CdTrp1!D79=2,2,IF(CdTrp1!D79=3,2,IF(CdTrp1!D79=4,4,0))))</f>
        <v>0</v>
      </c>
      <c r="AY112" s="178">
        <f>IF(CdTrp1!E79=1,1,IF(CdTrp1!E79=2,2,IF(CdTrp1!E79=3,2,IF(CdTrp1!E79=4,4,0))))</f>
        <v>0</v>
      </c>
      <c r="AZ112" s="178">
        <f>IF(CdTrp1!F79=1,1,IF(CdTrp1!F79=2,2,IF(CdTrp1!F79=3,2,IF(CdTrp1!F79=4,4,0))))</f>
        <v>0</v>
      </c>
      <c r="BA112" s="178">
        <f>IF(CdTrp1!G79=1,1,IF(CdTrp1!G79=2,2,IF(CdTrp1!G79=3,2,IF(CdTrp1!G79=4,4,0))))</f>
        <v>0</v>
      </c>
      <c r="BB112" s="178">
        <f>IF(CdTrp1!H79=1,1,IF(CdTrp1!H79=2,2,IF(CdTrp1!H79=3,2,IF(CdTrp1!H79=4,4,0))))</f>
        <v>0</v>
      </c>
      <c r="BC112" s="178">
        <f>IF(CdTrp1!I79=1,1,IF(CdTrp1!I79=2,2,IF(CdTrp1!I79=3,2,IF(CdTrp1!I79=4,4,0))))</f>
        <v>0</v>
      </c>
      <c r="BD112" s="178">
        <f>IF(CdTrp1!J79=1,1,IF(CdTrp1!J79=2,2,IF(CdTrp1!J79=3,2,IF(CdTrp1!J79=4,4,0))))</f>
        <v>0</v>
      </c>
      <c r="BE112" s="178">
        <f>IF(CdTrp1!K79=1,1,IF(CdTrp1!K79=2,2,IF(CdTrp1!K79=3,2,IF(CdTrp1!K79=4,4,0))))</f>
        <v>0</v>
      </c>
      <c r="BF112" s="178">
        <f>IF(CdTrp1!L79=1,1,IF(CdTrp1!L79=2,2,IF(CdTrp1!L79=3,2,IF(CdTrp1!L79=4,4,0))))</f>
        <v>0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0</v>
      </c>
      <c r="BQ112" s="178">
        <f>IF(CdTrp1!W79=1,1,IF(CdTrp1!W79=2,2,IF(CdTrp1!W79=3,2,IF(CdTrp1!W79=4,4,0))))</f>
        <v>0</v>
      </c>
      <c r="BR112" s="178">
        <f>IF(CdTrp1!X79=1,1,IF(CdTrp1!X79=2,2,IF(CdTrp1!X79=3,2,IF(CdTrp1!X79=4,4,0))))</f>
        <v>0</v>
      </c>
      <c r="BS112" s="178">
        <f>IF(CdTrp1!Y79=1,1,IF(CdTrp1!Y79=2,2,IF(CdTrp1!Y79=3,2,IF(CdTrp1!Y79=4,4,0))))</f>
        <v>0</v>
      </c>
      <c r="BU112">
        <v>0</v>
      </c>
      <c r="BV112" t="s">
        <v>854</v>
      </c>
      <c r="BZ112" s="192" t="str">
        <f t="shared" si="26"/>
        <v>Broutards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0</v>
      </c>
      <c r="D113" s="17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 + vides</v>
      </c>
      <c r="AU113" s="32"/>
      <c r="AV113" s="178">
        <f>IF(CdTrp1!B80=1,1,IF(CdTrp1!B80=2,2,IF(CdTrp1!B80=3,2,IF(CdTrp1!B80=4,4,0))))</f>
        <v>1</v>
      </c>
      <c r="AW113" s="178">
        <f>IF(CdTrp1!C80=1,1,IF(CdTrp1!C80=2,2,IF(CdTrp1!C80=3,2,IF(CdTrp1!C80=4,4,0))))</f>
        <v>1</v>
      </c>
      <c r="AX113" s="178">
        <f>IF(CdTrp1!D80=1,1,IF(CdTrp1!D80=2,2,IF(CdTrp1!D80=3,2,IF(CdTrp1!D80=4,4,0))))</f>
        <v>1</v>
      </c>
      <c r="AY113" s="178">
        <f>IF(CdTrp1!E80=1,1,IF(CdTrp1!E80=2,2,IF(CdTrp1!E80=3,2,IF(CdTrp1!E80=4,4,0))))</f>
        <v>1</v>
      </c>
      <c r="AZ113" s="178">
        <f>IF(CdTrp1!F80=1,1,IF(CdTrp1!F80=2,2,IF(CdTrp1!F80=3,2,IF(CdTrp1!F80=4,4,0))))</f>
        <v>1</v>
      </c>
      <c r="BA113" s="178">
        <f>IF(CdTrp1!G80=1,1,IF(CdTrp1!G80=2,2,IF(CdTrp1!G80=3,2,IF(CdTrp1!G80=4,4,0))))</f>
        <v>1</v>
      </c>
      <c r="BB113" s="178">
        <f>IF(CdTrp1!H80=1,1,IF(CdTrp1!H80=2,2,IF(CdTrp1!H80=3,2,IF(CdTrp1!H80=4,4,0))))</f>
        <v>1</v>
      </c>
      <c r="BC113" s="178">
        <f>IF(CdTrp1!I80=1,1,IF(CdTrp1!I80=2,2,IF(CdTrp1!I80=3,2,IF(CdTrp1!I80=4,4,0))))</f>
        <v>1</v>
      </c>
      <c r="BD113" s="178">
        <f>IF(CdTrp1!J80=1,1,IF(CdTrp1!J80=2,2,IF(CdTrp1!J80=3,2,IF(CdTrp1!J80=4,4,0))))</f>
        <v>1</v>
      </c>
      <c r="BE113" s="178">
        <f>IF(CdTrp1!K80=1,1,IF(CdTrp1!K80=2,2,IF(CdTrp1!K80=3,2,IF(CdTrp1!K80=4,4,0))))</f>
        <v>1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1</v>
      </c>
      <c r="BQ113" s="178">
        <f>IF(CdTrp1!W80=1,1,IF(CdTrp1!W80=2,2,IF(CdTrp1!W80=3,2,IF(CdTrp1!W80=4,4,0))))</f>
        <v>1</v>
      </c>
      <c r="BR113" s="178">
        <f>IF(CdTrp1!X80=1,1,IF(CdTrp1!X80=2,2,IF(CdTrp1!X80=3,2,IF(CdTrp1!X80=4,4,0))))</f>
        <v>1</v>
      </c>
      <c r="BS113" s="178">
        <f>IF(CdTrp1!Y80=1,1,IF(CdTrp1!Y80=2,2,IF(CdTrp1!Y80=3,2,IF(CdTrp1!Y80=4,4,0))))</f>
        <v>1</v>
      </c>
      <c r="BZ113" s="192" t="str">
        <f t="shared" si="26"/>
        <v>génisses &lt; 1 an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4.5</v>
      </c>
      <c r="D114" s="178">
        <f t="shared" si="25"/>
        <v>4.5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0</v>
      </c>
      <c r="D116" s="17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1.5</v>
      </c>
      <c r="D117" s="178">
        <f t="shared" si="25"/>
        <v>1.5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lot2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Broutards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 + vides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génisses &lt; 1 an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1</v>
      </c>
      <c r="D133" s="268">
        <f t="shared" si="25"/>
        <v>1</v>
      </c>
      <c r="AT133" s="192" t="str">
        <f t="shared" ref="AT133:AT141" si="42">AT122</f>
        <v>lot2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0.66666666666666663</v>
      </c>
      <c r="D134" s="268">
        <f t="shared" si="25"/>
        <v>0.66666666666666663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Broutards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>
        <f>SUM(C110:C112)/SUM(C110:C118)</f>
        <v>0.85</v>
      </c>
      <c r="D136" s="268">
        <f t="shared" si="25"/>
        <v>0.85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 + vides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génisses &lt; 1 an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lot2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Broutards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 + vides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génisses &lt; 1 an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0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113.73134982125009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161.42336709931251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43.735374573863631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66.992827331420457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lot2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171.29999999999998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154.59703939511365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Broutards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187.5</v>
      </c>
      <c r="D171" s="269">
        <f t="shared" si="50"/>
        <v>0</v>
      </c>
      <c r="AT171" s="192" t="str">
        <f t="shared" si="95"/>
        <v>tardive + vides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génisses &lt; 1 an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209.9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16.702960604886329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>
        <f>ROUND((1 -(C173/C169))*100,1)</f>
        <v>90.2</v>
      </c>
      <c r="D174" s="269">
        <f t="shared" si="50"/>
        <v>0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-22.400000000000006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22.400000000000006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0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94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3398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20.3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167</v>
      </c>
      <c r="D185" s="178">
        <f>C185</f>
        <v>167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4</v>
      </c>
      <c r="D189" s="178">
        <f t="shared" si="101"/>
        <v>4</v>
      </c>
      <c r="AH189" s="15"/>
      <c r="AJ189" s="14" t="s">
        <v>1188</v>
      </c>
      <c r="AK189" s="30">
        <f>D189</f>
        <v>4</v>
      </c>
      <c r="AO189" s="178">
        <f>ROUND((([1]Protect!$B$5/[1]Protect!$B$11)+[1]Protect!$B$8)*AK189,0)</f>
        <v>3617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27.5</v>
      </c>
      <c r="D191" s="178">
        <f>C191</f>
        <v>27.5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0.47500000000000003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3617</v>
      </c>
    </row>
    <row r="193" spans="1:43" x14ac:dyDescent="0.25">
      <c r="B193" s="14" t="s">
        <v>1391</v>
      </c>
      <c r="C193" s="178">
        <f>(Travail!F75+Travail!F76+Travail!F81)/8</f>
        <v>12.75</v>
      </c>
      <c r="D193" s="178">
        <f>C193</f>
        <v>12.75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104737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3617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3617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2904.8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9835.232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3617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305.82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63135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1860.0000000000002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12834.000000000002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15.203999999999946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125.99999999999997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27.971999999999902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3463.2540000000004</v>
      </c>
      <c r="D235" s="270">
        <f>(D191+D192)*8*[1]Eco!$B$106</f>
        <v>2338.6000000000004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39340</v>
      </c>
      <c r="D236" s="270">
        <f>ROUND(SUM(D222:D235),0)</f>
        <v>9566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35512.100000000006</v>
      </c>
      <c r="D237" s="270">
        <f>D194+D211-D221-D236</f>
        <v>-9566</v>
      </c>
    </row>
    <row r="238" spans="1:49" x14ac:dyDescent="0.25">
      <c r="B238" s="215" t="s">
        <v>1164</v>
      </c>
      <c r="C238" s="178">
        <f>ROUND(C237/Scénario!$K$4,0)</f>
        <v>23675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2513.6557730028235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16998</v>
      </c>
      <c r="D241" s="274">
        <f>ROUND(D237-D239-D240,0)</f>
        <v>-25566</v>
      </c>
    </row>
    <row r="242" spans="1:15" x14ac:dyDescent="0.25">
      <c r="B242" s="215" t="s">
        <v>1168</v>
      </c>
      <c r="C242" s="178">
        <f>ROUND(C241/Scénario!K4,0)</f>
        <v>11332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20388</v>
      </c>
      <c r="D243" s="178">
        <f>C243</f>
        <v>20388</v>
      </c>
    </row>
    <row r="244" spans="1:15" x14ac:dyDescent="0.25">
      <c r="B244" s="215" t="s">
        <v>1440</v>
      </c>
      <c r="C244" s="178">
        <f>'Calcul éco'!AA237+'Calcul éco'!AA240</f>
        <v>20388</v>
      </c>
      <c r="D244" s="178">
        <f>C244</f>
        <v>20388</v>
      </c>
    </row>
    <row r="245" spans="1:15" x14ac:dyDescent="0.25">
      <c r="A245" s="2" t="s">
        <v>1441</v>
      </c>
      <c r="B245" s="14" t="s">
        <v>606</v>
      </c>
      <c r="C245" s="276">
        <f>Travail!F5</f>
        <v>616</v>
      </c>
      <c r="D245" s="178">
        <f>C245</f>
        <v>616</v>
      </c>
    </row>
    <row r="246" spans="1:15" x14ac:dyDescent="0.25">
      <c r="B246" s="14" t="s">
        <v>620</v>
      </c>
      <c r="C246" s="276">
        <f>Travail!F6</f>
        <v>189</v>
      </c>
      <c r="D246" s="178">
        <f t="shared" ref="D246:D247" si="112">C246</f>
        <v>189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1179.5590624999993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1008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1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51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141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137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0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37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36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220</v>
      </c>
      <c r="D275" s="178">
        <f>C275</f>
        <v>220</v>
      </c>
    </row>
    <row r="276" spans="1:4" x14ac:dyDescent="0.25">
      <c r="A276" s="23"/>
      <c r="B276" s="32" t="s">
        <v>1451</v>
      </c>
      <c r="C276" s="276">
        <f>C192*8</f>
        <v>3.8000000000000003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102</v>
      </c>
      <c r="D277" s="178">
        <f>C277</f>
        <v>102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3439</v>
      </c>
      <c r="D281" s="270">
        <f>ROUND(D245+D248+D251+D254+D257+D260+D261,0)</f>
        <v>836</v>
      </c>
    </row>
    <row r="282" spans="1:4" x14ac:dyDescent="0.25">
      <c r="B282" s="14" t="s">
        <v>1458</v>
      </c>
      <c r="C282" s="178">
        <f>ROUND(C246+C249+C252+C255+C258,0)</f>
        <v>1311</v>
      </c>
      <c r="D282" s="270">
        <f>ROUND(D246+D249+D252+D255+D258,0)</f>
        <v>189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9.6300000000000008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62.43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4750</v>
      </c>
      <c r="D287" s="270">
        <f>SUM(D281:D283)</f>
        <v>1025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437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325.8</v>
      </c>
      <c r="D290" s="277">
        <f>D275+D276+D277</f>
        <v>322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6113</v>
      </c>
      <c r="D292" s="270">
        <f>ROUND(SUM(D287:D291),0)</f>
        <v>1958</v>
      </c>
    </row>
    <row r="293" spans="2:4" x14ac:dyDescent="0.25">
      <c r="B293" s="14" t="s">
        <v>945</v>
      </c>
      <c r="C293" s="178">
        <f>ROUND(IF(Scénario!$K$129=1,SUM(C275:C280),SUM(C278:C280)),0)</f>
        <v>326</v>
      </c>
      <c r="D293" s="178">
        <f>ROUND(IF(Scénario!$K$129=1,SUM(D275:D280),SUM(D278:D280)),0)</f>
        <v>322</v>
      </c>
    </row>
    <row r="294" spans="2:4" x14ac:dyDescent="0.25">
      <c r="B294" s="14" t="s">
        <v>946</v>
      </c>
      <c r="C294" s="178">
        <f>ROUND((C292-C293)/C83,0)</f>
        <v>3858</v>
      </c>
      <c r="D294" s="178" t="e">
        <f>ROUND((D292-D293)/D83,0)</f>
        <v>#DIV/0!</v>
      </c>
    </row>
    <row r="295" spans="2:4" x14ac:dyDescent="0.25">
      <c r="B295" s="14" t="s">
        <v>1482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1483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1484</v>
      </c>
      <c r="C297" s="17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1485</v>
      </c>
      <c r="C298" s="178">
        <f>IF(Troupeau!$B$3="OL",CdTrp1!AA220,0)</f>
        <v>110.86166482125003</v>
      </c>
    </row>
    <row r="299" spans="2:4" x14ac:dyDescent="0.25">
      <c r="B299" s="14" t="s">
        <v>1486</v>
      </c>
      <c r="C299" s="178">
        <f>IF(Troupeau!$B$3="OL",CdTrp1!AA221,0)</f>
        <v>0</v>
      </c>
    </row>
    <row r="300" spans="2:4" x14ac:dyDescent="0.25">
      <c r="B300" s="14" t="s">
        <v>1487</v>
      </c>
      <c r="C300" s="178">
        <f>IF(Troupeau!$B$3="BV",CdTrp1!AA220,0)+IF(Troupeau!$C$3="BV",CdTrp2!AA220,0)</f>
        <v>43.735374573863638</v>
      </c>
    </row>
    <row r="301" spans="2:4" x14ac:dyDescent="0.25">
      <c r="B301" s="14" t="s">
        <v>1488</v>
      </c>
      <c r="C301" s="178">
        <f>IF(Troupeau!$B$3="BV",CdTrp1!AA221,0)+IF(Troupeau!$C$3="BV",CdTrp2!AA221,0)</f>
        <v>0</v>
      </c>
    </row>
    <row r="302" spans="2:4" x14ac:dyDescent="0.25">
      <c r="B302" s="14" t="s">
        <v>1489</v>
      </c>
      <c r="C302" s="178">
        <f>IF(Troupeau!$B$3="VL",CdTrp1!AA220,0)</f>
        <v>0</v>
      </c>
    </row>
    <row r="303" spans="2:4" x14ac:dyDescent="0.25">
      <c r="B303" s="14" t="s">
        <v>1490</v>
      </c>
      <c r="C303" s="178">
        <f>'Alim -Surf'!H10</f>
        <v>16.8</v>
      </c>
    </row>
    <row r="304" spans="2:4" x14ac:dyDescent="0.25">
      <c r="B304" s="14" t="s">
        <v>1491</v>
      </c>
      <c r="C304" s="178">
        <f>Protection!BL31+Protection!BK31</f>
        <v>20.3</v>
      </c>
    </row>
    <row r="305" spans="2:3" x14ac:dyDescent="0.25">
      <c r="B305" s="14" t="s">
        <v>1492</v>
      </c>
      <c r="C305" s="178">
        <f>Protection!BJ31</f>
        <v>0</v>
      </c>
    </row>
    <row r="306" spans="2:3" x14ac:dyDescent="0.25">
      <c r="B306" s="14" t="s">
        <v>1493</v>
      </c>
      <c r="C306" s="178">
        <f>'Calcul éco'!X233</f>
        <v>0</v>
      </c>
    </row>
    <row r="307" spans="2:3" x14ac:dyDescent="0.25">
      <c r="B307" s="14" t="s">
        <v>1494</v>
      </c>
      <c r="C307" s="178">
        <f>'Calcul éco'!X234</f>
        <v>20388</v>
      </c>
    </row>
    <row r="308" spans="2:3" x14ac:dyDescent="0.25">
      <c r="B308" s="14" t="s">
        <v>1495</v>
      </c>
      <c r="C308" s="178">
        <f>'Calcul éco'!X235</f>
        <v>0</v>
      </c>
    </row>
    <row r="309" spans="2:3" x14ac:dyDescent="0.25">
      <c r="B309" s="14" t="s">
        <v>1496</v>
      </c>
      <c r="C309" s="178">
        <f>'Calcul éco'!X236</f>
        <v>0</v>
      </c>
    </row>
    <row r="310" spans="2:3" x14ac:dyDescent="0.25">
      <c r="B310" s="14" t="s">
        <v>1497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0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0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2"/>
      <c r="AF31" s="282"/>
      <c r="AG31" s="283" t="s">
        <v>1468</v>
      </c>
      <c r="AH31" s="283"/>
      <c r="AI31" s="283"/>
      <c r="AJ31" s="283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2"/>
      <c r="AF32" s="282"/>
      <c r="AG32" s="282" t="s">
        <v>1470</v>
      </c>
      <c r="AH32" s="282" t="s">
        <v>1471</v>
      </c>
      <c r="AI32" s="282" t="s">
        <v>168</v>
      </c>
      <c r="AJ32" s="282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2"/>
      <c r="AF33" s="282" t="s">
        <v>536</v>
      </c>
      <c r="AG33" s="282">
        <f>V28</f>
        <v>21</v>
      </c>
      <c r="AH33" s="282">
        <f>ROUND(AG33*0.24,0)</f>
        <v>5</v>
      </c>
      <c r="AI33" s="282">
        <f>AG33+AH33*1.5*0.6</f>
        <v>25.5</v>
      </c>
      <c r="AJ33" s="282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2"/>
      <c r="AF34" s="282" t="s">
        <v>539</v>
      </c>
      <c r="AG34" s="282">
        <f t="shared" ref="AG34:AG35" si="18">V29</f>
        <v>0</v>
      </c>
      <c r="AH34" s="282">
        <f>ROUND(AG34*0.3,0)</f>
        <v>0</v>
      </c>
      <c r="AI34" s="282">
        <f t="shared" ref="AI34" si="19">AG34+AH34*1.5*0.6</f>
        <v>0</v>
      </c>
      <c r="AJ34" s="282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2"/>
      <c r="AF35" s="282" t="s">
        <v>543</v>
      </c>
      <c r="AG35" s="282">
        <f t="shared" si="18"/>
        <v>357</v>
      </c>
      <c r="AH35" s="282"/>
      <c r="AI35" s="282">
        <f>AG35*0.15</f>
        <v>53.55</v>
      </c>
      <c r="AJ35" s="282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2"/>
      <c r="AF36" s="284" t="s">
        <v>1076</v>
      </c>
      <c r="AG36" s="282"/>
      <c r="AH36" s="282"/>
      <c r="AI36" s="282">
        <f>SUM(AI33:AI35)</f>
        <v>79.05</v>
      </c>
      <c r="AJ36" s="284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5" t="s">
        <v>1473</v>
      </c>
      <c r="AF37" s="282"/>
      <c r="AG37" s="282"/>
      <c r="AH37" s="282"/>
      <c r="AI37" s="282"/>
      <c r="AJ37" s="283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2.2000000000000002</v>
      </c>
      <c r="U38" s="178">
        <v>1</v>
      </c>
      <c r="V38" s="178">
        <f>T38*U38</f>
        <v>2.2000000000000002</v>
      </c>
      <c r="Y38" s="14" t="s">
        <v>1046</v>
      </c>
      <c r="Z38" s="30">
        <f>V46</f>
        <v>42.739999999999995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4">
        <f>IF($AJ$40=0,AB38*$AC$40,AD38*$AJ$40/100)</f>
        <v>7087.5</v>
      </c>
      <c r="AF38" s="282"/>
      <c r="AG38" s="282"/>
      <c r="AH38" s="282"/>
      <c r="AI38" s="286" t="s">
        <v>1474</v>
      </c>
      <c r="AJ38" s="284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20.7</v>
      </c>
      <c r="U39" s="178">
        <f>[1]Eco!$B$20/100</f>
        <v>1</v>
      </c>
      <c r="V39" s="178">
        <f t="shared" ref="V39:V41" si="20">T39*U39</f>
        <v>20.7</v>
      </c>
      <c r="Y39" s="14" t="s">
        <v>1049</v>
      </c>
      <c r="Z39" s="30">
        <f>Z38/T25</f>
        <v>42.739999999999995</v>
      </c>
      <c r="AA39" s="14" t="s">
        <v>1050</v>
      </c>
      <c r="AB39" s="178">
        <f>IF(Z39&gt;50,25,IF(Z39&gt;25,Z39-25,0))</f>
        <v>17.739999999999995</v>
      </c>
      <c r="AC39" s="178">
        <f>AC40+0.66*AC36</f>
        <v>231.70000000000002</v>
      </c>
      <c r="AD39" s="178">
        <f t="shared" ref="AD39:AD40" si="21">AB39*AC39</f>
        <v>4110.3579999999993</v>
      </c>
      <c r="AE39" s="284">
        <f>IF($AJ$40=0,AB39*$AC$40,AD39*$AJ$40/100)</f>
        <v>3699.3221999999992</v>
      </c>
      <c r="AF39" s="282"/>
      <c r="AG39" s="282"/>
      <c r="AH39" s="282"/>
      <c r="AI39" s="286" t="s">
        <v>1475</v>
      </c>
      <c r="AJ39" s="284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4">
        <f>IF($AJ$40=0,AB40*$AC$40,AD40*$AJ$40/100)</f>
        <v>0</v>
      </c>
      <c r="AF40" s="282"/>
      <c r="AG40" s="282"/>
      <c r="AH40" s="282"/>
      <c r="AI40" s="286" t="s">
        <v>1476</v>
      </c>
      <c r="AJ40" s="284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11985.358</v>
      </c>
      <c r="AE41" s="287">
        <f>ROUND(SUM(AE38:AE40)*T25,0)</f>
        <v>10787</v>
      </c>
      <c r="AF41" s="282"/>
      <c r="AG41" s="282"/>
      <c r="AH41" s="282"/>
      <c r="AI41" s="282"/>
      <c r="AJ41" s="282"/>
      <c r="AL41"/>
    </row>
    <row r="42" spans="1:143" x14ac:dyDescent="0.25">
      <c r="A42" t="s">
        <v>1053</v>
      </c>
      <c r="B42" s="30">
        <f>V46</f>
        <v>42.739999999999995</v>
      </c>
      <c r="C42" s="219">
        <f>[1]Eco!$B$24</f>
        <v>97</v>
      </c>
      <c r="J42" s="178">
        <f>B42*C42</f>
        <v>4145.78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42.739999999999995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2094.2599999999998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42.739999999999995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2863.5799999999995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42.739999999999995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11985.358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42.739999999999995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137986.57800000001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lot2</v>
      </c>
      <c r="AH48" s="225">
        <f>CdTrp1!B40</f>
        <v>0</v>
      </c>
      <c r="AI48" s="225">
        <f>CdTrp1!C40</f>
        <v>0</v>
      </c>
      <c r="AJ48" s="225">
        <f>CdTrp1!D40</f>
        <v>0</v>
      </c>
      <c r="AK48" s="225">
        <f>CdTrp1!E40</f>
        <v>0</v>
      </c>
      <c r="AL48" s="225">
        <f>CdTrp1!F40</f>
        <v>0</v>
      </c>
      <c r="AM48" s="225">
        <f>CdTrp1!G40</f>
        <v>0</v>
      </c>
      <c r="AN48" s="225">
        <f>CdTrp1!H40</f>
        <v>0</v>
      </c>
      <c r="AO48" s="225">
        <f>CdTrp1!I40</f>
        <v>0</v>
      </c>
      <c r="AP48" s="225">
        <f>CdTrp1!J40</f>
        <v>0</v>
      </c>
      <c r="AQ48" s="225">
        <f>CdTrp1!K40</f>
        <v>0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1</v>
      </c>
      <c r="AW48" s="225">
        <f>IF(CdTrp1!C76=1,1,IF(CdTrp1!C76=2,2,IF(CdTrp1!C76=3,2,0)))</f>
        <v>1</v>
      </c>
      <c r="AX48" s="225">
        <f>IF(CdTrp1!D76=1,1,IF(CdTrp1!D76=2,2,IF(CdTrp1!D76=3,2,0)))</f>
        <v>1</v>
      </c>
      <c r="AY48" s="225">
        <f>IF(CdTrp1!E76=1,1,IF(CdTrp1!E76=2,2,IF(CdTrp1!E76=3,2,0)))</f>
        <v>1</v>
      </c>
      <c r="AZ48" s="225">
        <f>IF(CdTrp1!F76=1,1,IF(CdTrp1!F76=2,2,IF(CdTrp1!F76=3,2,0)))</f>
        <v>1</v>
      </c>
      <c r="BA48" s="225">
        <f>IF(CdTrp1!G76=1,1,IF(CdTrp1!G76=2,2,IF(CdTrp1!G76=3,2,0)))</f>
        <v>1</v>
      </c>
      <c r="BB48" s="225">
        <f>IF(CdTrp1!H76=1,1,IF(CdTrp1!H76=2,2,IF(CdTrp1!H76=3,2,0)))</f>
        <v>1</v>
      </c>
      <c r="BC48" s="225">
        <f>IF(CdTrp1!I76=1,1,IF(CdTrp1!I76=2,2,IF(CdTrp1!I76=3,2,0)))</f>
        <v>1</v>
      </c>
      <c r="BD48" s="225">
        <f>IF(CdTrp1!J76=1,1,IF(CdTrp1!J76=2,2,IF(CdTrp1!J76=3,2,0)))</f>
        <v>1</v>
      </c>
      <c r="BE48" s="225">
        <f>IF(CdTrp1!K76=1,1,IF(CdTrp1!K76=2,2,IF(CdTrp1!K76=3,2,0)))</f>
        <v>1</v>
      </c>
      <c r="BF48" s="225">
        <f>IF(CdTrp1!L76=1,1,IF(CdTrp1!L76=2,2,IF(CdTrp1!L76=3,2,0)))</f>
        <v>1</v>
      </c>
      <c r="BG48" s="225">
        <f>IF(CdTrp1!M76=1,1,IF(CdTrp1!M76=2,2,IF(CdTrp1!M76=3,2,0)))</f>
        <v>1</v>
      </c>
      <c r="BH48" s="225">
        <f>IF(CdTrp1!N76=1,1,IF(CdTrp1!N76=2,2,IF(CdTrp1!N76=3,2,0)))</f>
        <v>1</v>
      </c>
      <c r="BI48" s="225">
        <f>IF(CdTrp1!O76=1,1,IF(CdTrp1!O76=2,2,IF(CdTrp1!O76=3,2,0)))</f>
        <v>1</v>
      </c>
      <c r="BJ48" s="225">
        <f>IF(CdTrp1!P76=1,1,IF(CdTrp1!P76=2,2,IF(CdTrp1!P76=3,2,0)))</f>
        <v>1</v>
      </c>
      <c r="BK48" s="225">
        <f>IF(CdTrp1!Q76=1,1,IF(CdTrp1!Q76=2,2,IF(CdTrp1!Q76=3,2,0)))</f>
        <v>1</v>
      </c>
      <c r="BL48" s="225">
        <f>IF(CdTrp1!R76=1,1,IF(CdTrp1!R76=2,2,IF(CdTrp1!R76=3,2,0)))</f>
        <v>1</v>
      </c>
      <c r="BM48" s="225">
        <f>IF(CdTrp1!S76=1,1,IF(CdTrp1!S76=2,2,IF(CdTrp1!S76=3,2,0)))</f>
        <v>1</v>
      </c>
      <c r="BN48" s="225">
        <f>IF(CdTrp1!T76=1,1,IF(CdTrp1!T76=2,2,IF(CdTrp1!T76=3,2,0)))</f>
        <v>1</v>
      </c>
      <c r="BO48" s="225">
        <f>IF(CdTrp1!U76=1,1,IF(CdTrp1!U76=2,2,IF(CdTrp1!U76=3,2,0)))</f>
        <v>1</v>
      </c>
      <c r="BP48" s="225">
        <f>IF(CdTrp1!V76=1,1,IF(CdTrp1!V76=2,2,IF(CdTrp1!V76=3,2,0)))</f>
        <v>1</v>
      </c>
      <c r="BQ48" s="225">
        <f>IF(CdTrp1!W76=1,1,IF(CdTrp1!W76=2,2,IF(CdTrp1!W76=3,2,0)))</f>
        <v>1</v>
      </c>
      <c r="BR48" s="225">
        <f>IF(CdTrp1!X76=1,1,IF(CdTrp1!X76=2,2,IF(CdTrp1!X76=3,2,0)))</f>
        <v>1</v>
      </c>
      <c r="BS48" s="225">
        <f>IF(CdTrp1!Y76=1,1,IF(CdTrp1!Y76=2,2,IF(CdTrp1!Y76=3,2,0)))</f>
        <v>1</v>
      </c>
      <c r="BT48" s="221">
        <f>CdTrp2!M40</f>
        <v>8.1136363636363633</v>
      </c>
      <c r="BU48" s="221">
        <f>CdTrp2!N40</f>
        <v>8.1136363636363633</v>
      </c>
      <c r="BV48" s="221">
        <f>CdTrp2!O40</f>
        <v>8.1136363636363633</v>
      </c>
      <c r="BW48" s="221">
        <f>CdTrp2!P40</f>
        <v>8.1136363636363633</v>
      </c>
      <c r="BX48" s="221">
        <f>CdTrp2!Q40</f>
        <v>8.1136363636363633</v>
      </c>
      <c r="BY48" s="221">
        <f>CdTrp2!R40</f>
        <v>8.1136363636363633</v>
      </c>
      <c r="BZ48" s="221">
        <f>CdTrp2!S40</f>
        <v>8.1136363636363633</v>
      </c>
      <c r="CA48" s="221">
        <f>CdTrp2!T40</f>
        <v>8.1136363636363633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2</v>
      </c>
      <c r="CJ48" s="221">
        <f>IF(CdTrp2!J76=1,1,IF(CdTrp2!J76=2,2,IF(CdTrp2!J76=3,2,0)))</f>
        <v>2</v>
      </c>
      <c r="CK48" s="221">
        <f>IF(CdTrp2!K76=1,1,IF(CdTrp2!K76=2,2,IF(CdTrp2!K76=3,2,0)))</f>
        <v>2</v>
      </c>
      <c r="CL48" s="221">
        <f>IF(CdTrp2!L76=1,1,IF(CdTrp2!L76=2,2,IF(CdTrp2!L76=3,2,0)))</f>
        <v>2</v>
      </c>
      <c r="CM48" s="221">
        <f>IF(CdTrp2!M76=1,1,IF(CdTrp2!M76=2,2,IF(CdTrp2!M76=3,2,0)))</f>
        <v>2</v>
      </c>
      <c r="CN48" s="221">
        <f>IF(CdTrp2!N76=1,1,IF(CdTrp2!N76=2,2,IF(CdTrp2!N76=3,2,0)))</f>
        <v>2</v>
      </c>
      <c r="CO48" s="221">
        <f>IF(CdTrp2!O76=1,1,IF(CdTrp2!O76=2,2,IF(CdTrp2!O76=3,2,0)))</f>
        <v>2</v>
      </c>
      <c r="CP48" s="221">
        <f>IF(CdTrp2!P76=1,1,IF(CdTrp2!P76=2,2,IF(CdTrp2!P76=3,2,0)))</f>
        <v>2</v>
      </c>
      <c r="CQ48" s="221">
        <f>IF(CdTrp2!Q76=1,1,IF(CdTrp2!Q76=2,2,IF(CdTrp2!Q76=3,2,0)))</f>
        <v>2</v>
      </c>
      <c r="CR48" s="221">
        <f>IF(CdTrp2!R76=1,1,IF(CdTrp2!R76=2,2,IF(CdTrp2!R76=3,2,0)))</f>
        <v>2</v>
      </c>
      <c r="CS48" s="221">
        <f>IF(CdTrp2!S76=1,1,IF(CdTrp2!S76=2,2,IF(CdTrp2!S76=3,2,0)))</f>
        <v>2</v>
      </c>
      <c r="CT48" s="221">
        <f>IF(CdTrp2!T76=1,1,IF(CdTrp2!T76=2,2,IF(CdTrp2!T76=3,2,0)))</f>
        <v>2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0</v>
      </c>
      <c r="AW49" s="225">
        <f>IF(CdTrp1!C77=1,1,IF(CdTrp1!C77=2,2,IF(CdTrp1!C77=3,2,0)))</f>
        <v>0</v>
      </c>
      <c r="AX49" s="225">
        <f>IF(CdTrp1!D77=1,1,IF(CdTrp1!D77=2,2,IF(CdTrp1!D77=3,2,0)))</f>
        <v>0</v>
      </c>
      <c r="AY49" s="225">
        <f>IF(CdTrp1!E77=1,1,IF(CdTrp1!E77=2,2,IF(CdTrp1!E77=3,2,0)))</f>
        <v>0</v>
      </c>
      <c r="AZ49" s="225">
        <f>IF(CdTrp1!F77=1,1,IF(CdTrp1!F77=2,2,IF(CdTrp1!F77=3,2,0)))</f>
        <v>0</v>
      </c>
      <c r="BA49" s="225">
        <f>IF(CdTrp1!G77=1,1,IF(CdTrp1!G77=2,2,IF(CdTrp1!G77=3,2,0)))</f>
        <v>0</v>
      </c>
      <c r="BB49" s="225">
        <f>IF(CdTrp1!H77=1,1,IF(CdTrp1!H77=2,2,IF(CdTrp1!H77=3,2,0)))</f>
        <v>0</v>
      </c>
      <c r="BC49" s="225">
        <f>IF(CdTrp1!I77=1,1,IF(CdTrp1!I77=2,2,IF(CdTrp1!I77=3,2,0)))</f>
        <v>0</v>
      </c>
      <c r="BD49" s="225">
        <f>IF(CdTrp1!J77=1,1,IF(CdTrp1!J77=2,2,IF(CdTrp1!J77=3,2,0)))</f>
        <v>0</v>
      </c>
      <c r="BE49" s="225">
        <f>IF(CdTrp1!K77=1,1,IF(CdTrp1!K77=2,2,IF(CdTrp1!K77=3,2,0)))</f>
        <v>0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0</v>
      </c>
      <c r="BN49" s="225">
        <f>IF(CdTrp1!T77=1,1,IF(CdTrp1!T77=2,2,IF(CdTrp1!T77=3,2,0)))</f>
        <v>0</v>
      </c>
      <c r="BO49" s="225">
        <f>IF(CdTrp1!U77=1,1,IF(CdTrp1!U77=2,2,IF(CdTrp1!U77=3,2,0)))</f>
        <v>0</v>
      </c>
      <c r="BP49" s="225">
        <f>IF(CdTrp1!V77=1,1,IF(CdTrp1!V77=2,2,IF(CdTrp1!V77=3,2,0)))</f>
        <v>0</v>
      </c>
      <c r="BQ49" s="225">
        <f>IF(CdTrp1!W77=1,1,IF(CdTrp1!W77=2,2,IF(CdTrp1!W77=3,2,0)))</f>
        <v>0</v>
      </c>
      <c r="BR49" s="225">
        <f>IF(CdTrp1!X77=1,1,IF(CdTrp1!X77=2,2,IF(CdTrp1!X77=3,2,0)))</f>
        <v>0</v>
      </c>
      <c r="BS49" s="225">
        <f>IF(CdTrp1!Y77=1,1,IF(CdTrp1!Y77=2,2,IF(CdTrp1!Y77=3,2,0)))</f>
        <v>0</v>
      </c>
      <c r="BT49" s="221">
        <f>CdTrp2!M41</f>
        <v>2.9400000000000004</v>
      </c>
      <c r="BU49" s="221">
        <f>CdTrp2!N41</f>
        <v>2.9400000000000004</v>
      </c>
      <c r="BV49" s="221">
        <f>CdTrp2!O41</f>
        <v>2.9400000000000004</v>
      </c>
      <c r="BW49" s="221">
        <f>CdTrp2!P41</f>
        <v>2.52</v>
      </c>
      <c r="BX49" s="221">
        <f>CdTrp2!Q41</f>
        <v>2.52</v>
      </c>
      <c r="BY49" s="221">
        <f>CdTrp2!R41</f>
        <v>2.1</v>
      </c>
      <c r="BZ49" s="221">
        <f>CdTrp2!S41</f>
        <v>2.52</v>
      </c>
      <c r="CA49" s="221">
        <f>CdTrp2!T41</f>
        <v>2.52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1</v>
      </c>
      <c r="CJ49" s="221">
        <f>IF(CdTrp2!J77=1,1,IF(CdTrp2!J77=2,2,IF(CdTrp2!J77=3,2,0)))</f>
        <v>1</v>
      </c>
      <c r="CK49" s="221">
        <f>IF(CdTrp2!K77=1,1,IF(CdTrp2!K77=2,2,IF(CdTrp2!K77=3,2,0)))</f>
        <v>1</v>
      </c>
      <c r="CL49" s="221">
        <f>IF(CdTrp2!L77=1,1,IF(CdTrp2!L77=2,2,IF(CdTrp2!L77=3,2,0)))</f>
        <v>1</v>
      </c>
      <c r="CM49" s="221">
        <f>IF(CdTrp2!M77=1,1,IF(CdTrp2!M77=2,2,IF(CdTrp2!M77=3,2,0)))</f>
        <v>1</v>
      </c>
      <c r="CN49" s="221">
        <f>IF(CdTrp2!N77=1,1,IF(CdTrp2!N77=2,2,IF(CdTrp2!N77=3,2,0)))</f>
        <v>1</v>
      </c>
      <c r="CO49" s="221">
        <f>IF(CdTrp2!O77=1,1,IF(CdTrp2!O77=2,2,IF(CdTrp2!O77=3,2,0)))</f>
        <v>1</v>
      </c>
      <c r="CP49" s="221">
        <f>IF(CdTrp2!P77=1,1,IF(CdTrp2!P77=2,2,IF(CdTrp2!P77=3,2,0)))</f>
        <v>1</v>
      </c>
      <c r="CQ49" s="221">
        <f>IF(CdTrp2!Q77=1,1,IF(CdTrp2!Q77=2,2,IF(CdTrp2!Q77=3,2,0)))</f>
        <v>1</v>
      </c>
      <c r="CR49" s="221">
        <f>IF(CdTrp2!R77=1,1,IF(CdTrp2!R77=2,2,IF(CdTrp2!R77=3,2,0)))</f>
        <v>1</v>
      </c>
      <c r="CS49" s="221">
        <f>IF(CdTrp2!S77=1,1,IF(CdTrp2!S77=2,2,IF(CdTrp2!S77=3,2,0)))</f>
        <v>1</v>
      </c>
      <c r="CT49" s="221">
        <f>IF(CdTrp2!T77=1,1,IF(CdTrp2!T77=2,2,IF(CdTrp2!T77=3,2,0)))</f>
        <v>1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1</v>
      </c>
      <c r="BK50" s="225">
        <f>IF(CdTrp1!Q78=1,1,IF(CdTrp1!Q78=2,2,IF(CdTrp1!Q78=3,2,0)))</f>
        <v>1</v>
      </c>
      <c r="BL50" s="225">
        <f>IF(CdTrp1!R78=1,1,IF(CdTrp1!R78=2,2,IF(CdTrp1!R78=3,2,0)))</f>
        <v>1</v>
      </c>
      <c r="BM50" s="225">
        <f>IF(CdTrp1!S78=1,1,IF(CdTrp1!S78=2,2,IF(CdTrp1!S78=3,2,0)))</f>
        <v>1</v>
      </c>
      <c r="BN50" s="225">
        <f>IF(CdTrp1!T78=1,1,IF(CdTrp1!T78=2,2,IF(CdTrp1!T78=3,2,0)))</f>
        <v>1</v>
      </c>
      <c r="BO50" s="225">
        <f>IF(CdTrp1!U78=1,1,IF(CdTrp1!U78=2,2,IF(CdTrp1!U78=3,2,0)))</f>
        <v>1</v>
      </c>
      <c r="BP50" s="225">
        <f>IF(CdTrp1!V78=1,1,IF(CdTrp1!V78=2,2,IF(CdTrp1!V78=3,2,0)))</f>
        <v>0</v>
      </c>
      <c r="BQ50" s="225">
        <f>IF(CdTrp1!W78=1,1,IF(CdTrp1!W78=2,2,IF(CdTrp1!W78=3,2,0)))</f>
        <v>0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1.4318181818181817</v>
      </c>
      <c r="BU50" s="221">
        <f>CdTrp2!N42</f>
        <v>1.4318181818181817</v>
      </c>
      <c r="BV50" s="221">
        <f>CdTrp2!O42</f>
        <v>1.4318181818181817</v>
      </c>
      <c r="BW50" s="221">
        <f>CdTrp2!P42</f>
        <v>1.4318181818181817</v>
      </c>
      <c r="BX50" s="221">
        <f>CdTrp2!Q42</f>
        <v>1.4318181818181817</v>
      </c>
      <c r="BY50" s="221">
        <f>CdTrp2!R42</f>
        <v>1.4318181818181817</v>
      </c>
      <c r="BZ50" s="221">
        <f>CdTrp2!S42</f>
        <v>1.4318181818181817</v>
      </c>
      <c r="CA50" s="221">
        <f>CdTrp2!T42</f>
        <v>1.4318181818181817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1</v>
      </c>
      <c r="CJ50" s="221">
        <f>IF(CdTrp2!J78=1,1,IF(CdTrp2!J78=2,2,IF(CdTrp2!J78=3,2,0)))</f>
        <v>1</v>
      </c>
      <c r="CK50" s="221">
        <f>IF(CdTrp2!K78=1,1,IF(CdTrp2!K78=2,2,IF(CdTrp2!K78=3,2,0)))</f>
        <v>1</v>
      </c>
      <c r="CL50" s="221">
        <f>IF(CdTrp2!L78=1,1,IF(CdTrp2!L78=2,2,IF(CdTrp2!L78=3,2,0)))</f>
        <v>1</v>
      </c>
      <c r="CM50" s="221">
        <f>IF(CdTrp2!M78=1,1,IF(CdTrp2!M78=2,2,IF(CdTrp2!M78=3,2,0)))</f>
        <v>1</v>
      </c>
      <c r="CN50" s="221">
        <f>IF(CdTrp2!N78=1,1,IF(CdTrp2!N78=2,2,IF(CdTrp2!N78=3,2,0)))</f>
        <v>1</v>
      </c>
      <c r="CO50" s="221">
        <f>IF(CdTrp2!O78=1,1,IF(CdTrp2!O78=2,2,IF(CdTrp2!O78=3,2,0)))</f>
        <v>1</v>
      </c>
      <c r="CP50" s="221">
        <f>IF(CdTrp2!P78=1,1,IF(CdTrp2!P78=2,2,IF(CdTrp2!P78=3,2,0)))</f>
        <v>1</v>
      </c>
      <c r="CQ50" s="221">
        <f>IF(CdTrp2!Q78=1,1,IF(CdTrp2!Q78=2,2,IF(CdTrp2!Q78=3,2,0)))</f>
        <v>1</v>
      </c>
      <c r="CR50" s="221">
        <f>IF(CdTrp2!R78=1,1,IF(CdTrp2!R78=2,2,IF(CdTrp2!R78=3,2,0)))</f>
        <v>1</v>
      </c>
      <c r="CS50" s="221">
        <f>IF(CdTrp2!S78=1,1,IF(CdTrp2!S78=2,2,IF(CdTrp2!S78=3,2,0)))</f>
        <v>1</v>
      </c>
      <c r="CT50" s="221">
        <f>IF(CdTrp2!T78=1,1,IF(CdTrp2!T78=2,2,IF(CdTrp2!T78=3,2,0)))</f>
        <v>1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 + vides</v>
      </c>
      <c r="AH51" s="225">
        <f>CdTrp1!B43</f>
        <v>11.0075</v>
      </c>
      <c r="AI51" s="225">
        <f>CdTrp1!C43</f>
        <v>9.9662500000000005</v>
      </c>
      <c r="AJ51" s="225">
        <f>CdTrp1!D43</f>
        <v>8.9250000000000007</v>
      </c>
      <c r="AK51" s="225">
        <f>CdTrp1!E43</f>
        <v>8.0325000000000006</v>
      </c>
      <c r="AL51" s="225">
        <f>CdTrp1!F43</f>
        <v>7.1400000000000006</v>
      </c>
      <c r="AM51" s="225">
        <f>CdTrp1!G43</f>
        <v>6.2475000000000005</v>
      </c>
      <c r="AN51" s="225">
        <f>CdTrp1!H43</f>
        <v>5.3550000000000004</v>
      </c>
      <c r="AO51" s="225">
        <f>CdTrp1!I43</f>
        <v>4.4625000000000004</v>
      </c>
      <c r="AP51" s="225">
        <f>CdTrp1!J43</f>
        <v>3.5700000000000003</v>
      </c>
      <c r="AQ51" s="225">
        <f>CdTrp1!K43</f>
        <v>2.5287500000000001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0</v>
      </c>
      <c r="AW51" s="225">
        <f>IF(CdTrp1!C79=1,1,IF(CdTrp1!C79=2,2,IF(CdTrp1!C79=3,2,0)))</f>
        <v>0</v>
      </c>
      <c r="AX51" s="225">
        <f>IF(CdTrp1!D79=1,1,IF(CdTrp1!D79=2,2,IF(CdTrp1!D79=3,2,0)))</f>
        <v>0</v>
      </c>
      <c r="AY51" s="225">
        <f>IF(CdTrp1!E79=1,1,IF(CdTrp1!E79=2,2,IF(CdTrp1!E79=3,2,0)))</f>
        <v>0</v>
      </c>
      <c r="AZ51" s="225">
        <f>IF(CdTrp1!F79=1,1,IF(CdTrp1!F79=2,2,IF(CdTrp1!F79=3,2,0)))</f>
        <v>0</v>
      </c>
      <c r="BA51" s="225">
        <f>IF(CdTrp1!G79=1,1,IF(CdTrp1!G79=2,2,IF(CdTrp1!G79=3,2,0)))</f>
        <v>0</v>
      </c>
      <c r="BB51" s="225">
        <f>IF(CdTrp1!H79=1,1,IF(CdTrp1!H79=2,2,IF(CdTrp1!H79=3,2,0)))</f>
        <v>0</v>
      </c>
      <c r="BC51" s="225">
        <f>IF(CdTrp1!I79=1,1,IF(CdTrp1!I79=2,2,IF(CdTrp1!I79=3,2,0)))</f>
        <v>0</v>
      </c>
      <c r="BD51" s="225">
        <f>IF(CdTrp1!J79=1,1,IF(CdTrp1!J79=2,2,IF(CdTrp1!J79=3,2,0)))</f>
        <v>0</v>
      </c>
      <c r="BE51" s="225">
        <f>IF(CdTrp1!K79=1,1,IF(CdTrp1!K79=2,2,IF(CdTrp1!K79=3,2,0)))</f>
        <v>0</v>
      </c>
      <c r="BF51" s="225">
        <f>IF(CdTrp1!L79=1,1,IF(CdTrp1!L79=2,2,IF(CdTrp1!L79=3,2,0)))</f>
        <v>0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0</v>
      </c>
      <c r="BQ51" s="225">
        <f>IF(CdTrp1!W79=1,1,IF(CdTrp1!W79=2,2,IF(CdTrp1!W79=3,2,0)))</f>
        <v>0</v>
      </c>
      <c r="BR51" s="225">
        <f>IF(CdTrp1!X79=1,1,IF(CdTrp1!X79=2,2,IF(CdTrp1!X79=3,2,0)))</f>
        <v>0</v>
      </c>
      <c r="BS51" s="225">
        <f>IF(CdTrp1!Y79=1,1,IF(CdTrp1!Y79=2,2,IF(CdTrp1!Y79=3,2,0)))</f>
        <v>0</v>
      </c>
      <c r="BT51" s="221">
        <f>CdTrp2!M43</f>
        <v>0.89090909090909087</v>
      </c>
      <c r="BU51" s="221">
        <f>CdTrp2!N43</f>
        <v>0.89090909090909087</v>
      </c>
      <c r="BV51" s="221">
        <f>CdTrp2!O43</f>
        <v>0.89090909090909087</v>
      </c>
      <c r="BW51" s="221">
        <f>CdTrp2!P43</f>
        <v>0.76363636363636367</v>
      </c>
      <c r="BX51" s="221">
        <f>CdTrp2!Q43</f>
        <v>0.76363636363636367</v>
      </c>
      <c r="BY51" s="221">
        <f>CdTrp2!R43</f>
        <v>0.63636363636363635</v>
      </c>
      <c r="BZ51" s="221">
        <f>CdTrp2!S43</f>
        <v>0.76363636363636367</v>
      </c>
      <c r="CA51" s="221">
        <f>CdTrp2!T43</f>
        <v>0.76363636363636367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1</v>
      </c>
      <c r="AW52" s="225">
        <f>IF(CdTrp1!C80=1,1,IF(CdTrp1!C80=2,2,IF(CdTrp1!C80=3,2,0)))</f>
        <v>1</v>
      </c>
      <c r="AX52" s="225">
        <f>IF(CdTrp1!D80=1,1,IF(CdTrp1!D80=2,2,IF(CdTrp1!D80=3,2,0)))</f>
        <v>1</v>
      </c>
      <c r="AY52" s="225">
        <f>IF(CdTrp1!E80=1,1,IF(CdTrp1!E80=2,2,IF(CdTrp1!E80=3,2,0)))</f>
        <v>1</v>
      </c>
      <c r="AZ52" s="225">
        <f>IF(CdTrp1!F80=1,1,IF(CdTrp1!F80=2,2,IF(CdTrp1!F80=3,2,0)))</f>
        <v>1</v>
      </c>
      <c r="BA52" s="225">
        <f>IF(CdTrp1!G80=1,1,IF(CdTrp1!G80=2,2,IF(CdTrp1!G80=3,2,0)))</f>
        <v>1</v>
      </c>
      <c r="BB52" s="225">
        <f>IF(CdTrp1!H80=1,1,IF(CdTrp1!H80=2,2,IF(CdTrp1!H80=3,2,0)))</f>
        <v>1</v>
      </c>
      <c r="BC52" s="225">
        <f>IF(CdTrp1!I80=1,1,IF(CdTrp1!I80=2,2,IF(CdTrp1!I80=3,2,0)))</f>
        <v>1</v>
      </c>
      <c r="BD52" s="225">
        <f>IF(CdTrp1!J80=1,1,IF(CdTrp1!J80=2,2,IF(CdTrp1!J80=3,2,0)))</f>
        <v>1</v>
      </c>
      <c r="BE52" s="225">
        <f>IF(CdTrp1!K80=1,1,IF(CdTrp1!K80=2,2,IF(CdTrp1!K80=3,2,0)))</f>
        <v>1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1</v>
      </c>
      <c r="BQ52" s="225">
        <f>IF(CdTrp1!W80=1,1,IF(CdTrp1!W80=2,2,IF(CdTrp1!W80=3,2,0)))</f>
        <v>1</v>
      </c>
      <c r="BR52" s="225">
        <f>IF(CdTrp1!X80=1,1,IF(CdTrp1!X80=2,2,IF(CdTrp1!X80=3,2,0)))</f>
        <v>1</v>
      </c>
      <c r="BS52" s="225">
        <f>IF(CdTrp1!Y80=1,1,IF(CdTrp1!Y80=2,2,IF(CdTrp1!Y80=3,2,0)))</f>
        <v>1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lot2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1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2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1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1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 + vides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lot2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1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2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1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1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 + vides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22.400000000000006</v>
      </c>
      <c r="C118" s="193">
        <f>IF(Scénario!$K$12="BV",[1]Eco!$B$78,IF(Scénario!$K$12="BL",[1]Eco!$B$77,[1]Eco!$B$76))</f>
        <v>223</v>
      </c>
      <c r="J118" s="178">
        <f>B118*C118</f>
        <v>4995.2000000000016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60.500399999999985</v>
      </c>
      <c r="C119" s="193">
        <f>[1]Eco!$B$79</f>
        <v>80</v>
      </c>
      <c r="J119" s="178">
        <f>B119*C119</f>
        <v>4840.0319999999992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5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7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210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9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466.2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14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779.80000000000007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5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626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3617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305.82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63134.852000000006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37.200000000000003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1860.0000000000002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28</v>
      </c>
      <c r="X153" t="s">
        <v>51</v>
      </c>
      <c r="Y153" s="178">
        <f>W153-Scénario!K28</f>
        <v>0.59999999999999787</v>
      </c>
      <c r="Z153" s="178">
        <f>Y153-Y156</f>
        <v>0.41999999999999849</v>
      </c>
    </row>
    <row r="154" spans="1:39" x14ac:dyDescent="0.25">
      <c r="A154" t="s">
        <v>1148</v>
      </c>
      <c r="B154" s="178">
        <f>Scénario!K48</f>
        <v>37.200000000000003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12834.000000000002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19</v>
      </c>
      <c r="X154" t="s">
        <v>51</v>
      </c>
      <c r="Y154" s="178">
        <f>W154-Scénario!K29</f>
        <v>4.1999999999999993</v>
      </c>
      <c r="Z154" s="178">
        <f>Y154</f>
        <v>4.1999999999999993</v>
      </c>
    </row>
    <row r="155" spans="1:39" x14ac:dyDescent="0.25">
      <c r="A155" s="17" t="s">
        <v>1150</v>
      </c>
      <c r="B155" s="242">
        <f>B154</f>
        <v>37.200000000000003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2157.6000000000004</v>
      </c>
      <c r="O155" s="237">
        <v>25</v>
      </c>
      <c r="V155" s="14" t="s">
        <v>1151</v>
      </c>
      <c r="W155" s="178">
        <f>W$228</f>
        <v>0</v>
      </c>
      <c r="X155" t="s">
        <v>51</v>
      </c>
      <c r="Y155" s="178">
        <f>W155-Scénario!K30</f>
        <v>0</v>
      </c>
      <c r="Z155" s="178">
        <f t="shared" ref="Z155:Z156" si="68">Y155</f>
        <v>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0.17999999999999935</v>
      </c>
      <c r="Z156" s="178">
        <f t="shared" si="68"/>
        <v>0.17999999999999935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0.41999999999999849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15.203999999999946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4.1999999999999993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125.99999999999997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0.17999999999999935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27.971999999999902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301</v>
      </c>
      <c r="S164" s="178">
        <f>'Alim -Surf'!R7</f>
        <v>2.5</v>
      </c>
      <c r="T164" s="178">
        <f>VLOOKUP($R164,[1]MEP!$A$4:$M$300,13)</f>
        <v>1</v>
      </c>
      <c r="U164" s="178">
        <f>IF($T164&gt;0,$S164,0)</f>
        <v>2.5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2.5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2.5</v>
      </c>
      <c r="AJ164" s="178">
        <f>IF(T164&gt;1,AD164,0)</f>
        <v>0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302</v>
      </c>
      <c r="S165" s="178">
        <f>'Alim -Surf'!R8</f>
        <v>0</v>
      </c>
      <c r="T165" s="178">
        <f>VLOOKUP(R165,[1]MEP!$A$4:$M$300,13)</f>
        <v>2</v>
      </c>
      <c r="U165" s="178">
        <f t="shared" ref="U165:U207" si="72">IF($T165&gt;0,$S165,0)</f>
        <v>0</v>
      </c>
      <c r="V165" s="178">
        <f t="shared" ref="V165:V207" si="73">IF($T165&gt;1,$S165,0)</f>
        <v>0</v>
      </c>
      <c r="W165" s="178">
        <f t="shared" ref="W165:W207" si="74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0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0</v>
      </c>
      <c r="AN165" s="32" t="s">
        <v>704</v>
      </c>
      <c r="AO165" s="178">
        <f>SUM(AD164:AD183)</f>
        <v>15.5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303</v>
      </c>
      <c r="S166" s="178">
        <f>'Alim -Surf'!R9</f>
        <v>7</v>
      </c>
      <c r="T166" s="178">
        <f>VLOOKUP(R166,[1]MEP!$A$4:$M$300,13)</f>
        <v>0</v>
      </c>
      <c r="U166" s="178">
        <f t="shared" si="72"/>
        <v>0</v>
      </c>
      <c r="V166" s="178">
        <f t="shared" si="73"/>
        <v>0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7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7</v>
      </c>
      <c r="AI166" s="178">
        <f t="shared" si="81"/>
        <v>0</v>
      </c>
      <c r="AJ166" s="178">
        <f t="shared" si="82"/>
        <v>0</v>
      </c>
      <c r="AN166" s="32" t="s">
        <v>705</v>
      </c>
      <c r="AO166" s="178">
        <f>SUM(AC164:AC183)</f>
        <v>4</v>
      </c>
    </row>
    <row r="167" spans="1:41" x14ac:dyDescent="0.25">
      <c r="A167" s="5" t="s">
        <v>1161</v>
      </c>
      <c r="B167" s="30">
        <f>IF(Scénario!K129=1,SUM(Travail!F69:F75)+Travail!F81+Travail!F83+Travail!F84,0)</f>
        <v>325.8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3463.2540000000004</v>
      </c>
      <c r="K167" s="178"/>
      <c r="L167" s="178"/>
      <c r="M167" s="178"/>
      <c r="N167" s="178"/>
      <c r="Q167">
        <v>4</v>
      </c>
      <c r="R167" s="178">
        <f>'Alim -Surf'!Q10</f>
        <v>304</v>
      </c>
      <c r="S167" s="178">
        <f>'Alim -Surf'!R10</f>
        <v>0</v>
      </c>
      <c r="T167" s="178">
        <f>VLOOKUP(R167,[1]MEP!$A$4:$M$300,13)</f>
        <v>2</v>
      </c>
      <c r="U167" s="178">
        <f t="shared" si="72"/>
        <v>0</v>
      </c>
      <c r="V167" s="178">
        <f t="shared" si="73"/>
        <v>0</v>
      </c>
      <c r="W167" s="178">
        <f t="shared" si="74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72"/>
        <v>0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14.5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72"/>
        <v>0</v>
      </c>
      <c r="V169" s="178">
        <f t="shared" si="73"/>
        <v>0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</v>
      </c>
      <c r="AN169" s="32" t="s">
        <v>708</v>
      </c>
      <c r="AO169" s="178">
        <f>SUM(AC186:AC205)</f>
        <v>1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39340.43</v>
      </c>
      <c r="K170" s="62"/>
      <c r="L170" s="62"/>
      <c r="M170" s="62"/>
      <c r="N170" s="62"/>
      <c r="Q170">
        <v>7</v>
      </c>
      <c r="R170" s="178">
        <f>'Alim -Surf'!Q13</f>
        <v>308</v>
      </c>
      <c r="S170" s="178">
        <f>'Alim -Surf'!R13</f>
        <v>4</v>
      </c>
      <c r="T170" s="178">
        <f>VLOOKUP(R170,[1]MEP!$A$4:$M$300,13)</f>
        <v>2</v>
      </c>
      <c r="U170" s="178">
        <f t="shared" si="72"/>
        <v>4</v>
      </c>
      <c r="V170" s="178">
        <f t="shared" si="73"/>
        <v>4</v>
      </c>
      <c r="W170" s="178">
        <f t="shared" si="74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4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4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198</v>
      </c>
      <c r="S171" s="178">
        <f>'Alim -Surf'!R14</f>
        <v>4</v>
      </c>
      <c r="T171" s="178">
        <f>VLOOKUP(R171,[1]MEP!$A$4:$M$300,13)</f>
        <v>2</v>
      </c>
      <c r="U171" s="178">
        <f t="shared" si="72"/>
        <v>4</v>
      </c>
      <c r="V171" s="178">
        <f t="shared" si="73"/>
        <v>4</v>
      </c>
      <c r="W171" s="178">
        <f t="shared" si="74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70"/>
        <v>0</v>
      </c>
      <c r="AB171" s="178">
        <f t="shared" si="71"/>
        <v>0</v>
      </c>
      <c r="AC171" s="178">
        <f t="shared" si="75"/>
        <v>4</v>
      </c>
      <c r="AD171" s="178">
        <f t="shared" si="76"/>
        <v>0</v>
      </c>
      <c r="AE171" s="178">
        <f t="shared" si="77"/>
        <v>0</v>
      </c>
      <c r="AF171" s="178">
        <f t="shared" si="78"/>
        <v>0</v>
      </c>
      <c r="AG171" s="178">
        <f t="shared" si="79"/>
        <v>4</v>
      </c>
      <c r="AH171" s="178">
        <f t="shared" si="80"/>
        <v>0</v>
      </c>
      <c r="AI171" s="178">
        <f t="shared" si="81"/>
        <v>0</v>
      </c>
      <c r="AJ171" s="178">
        <f t="shared" si="82"/>
        <v>0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49</v>
      </c>
      <c r="S172" s="178">
        <f>'Alim -Surf'!R15</f>
        <v>2</v>
      </c>
      <c r="T172" s="178">
        <f>VLOOKUP(R172,[1]MEP!$A$4:$M$300,13)</f>
        <v>1</v>
      </c>
      <c r="U172" s="178">
        <f t="shared" si="72"/>
        <v>2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2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2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35511.295999999995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23674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2513.6557730028235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16997.640226997173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11332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301</v>
      </c>
      <c r="S186" s="178">
        <f>'Alim -Surf'!R29</f>
        <v>4.5</v>
      </c>
      <c r="T186" s="178">
        <f>VLOOKUP(R186,[1]MEP!$A$4:$M$300,13)</f>
        <v>1</v>
      </c>
      <c r="U186" s="178">
        <f t="shared" si="72"/>
        <v>4.5</v>
      </c>
      <c r="V186" s="178">
        <f t="shared" si="73"/>
        <v>0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4.5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4.5</v>
      </c>
      <c r="AJ186" s="17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303</v>
      </c>
      <c r="S187" s="178">
        <f>'Alim -Surf'!R30</f>
        <v>0</v>
      </c>
      <c r="T187" s="178">
        <f>VLOOKUP(R187,[1]MEP!$A$4:$M$300,13)</f>
        <v>0</v>
      </c>
      <c r="U187" s="178">
        <f t="shared" si="72"/>
        <v>0</v>
      </c>
      <c r="V187" s="178">
        <f t="shared" si="73"/>
        <v>0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0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0</v>
      </c>
      <c r="AI187" s="178">
        <f t="shared" si="81"/>
        <v>0</v>
      </c>
      <c r="AJ187" s="17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198</v>
      </c>
      <c r="S188" s="178">
        <f>'Alim -Surf'!R31</f>
        <v>1</v>
      </c>
      <c r="T188" s="178">
        <f>VLOOKUP(R188,[1]MEP!$A$4:$M$300,13)</f>
        <v>2</v>
      </c>
      <c r="U188" s="178">
        <f t="shared" si="72"/>
        <v>1</v>
      </c>
      <c r="V188" s="178">
        <f t="shared" si="73"/>
        <v>1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70"/>
        <v>0</v>
      </c>
      <c r="AB188" s="178">
        <f t="shared" si="71"/>
        <v>0</v>
      </c>
      <c r="AC188" s="178">
        <f t="shared" si="75"/>
        <v>1</v>
      </c>
      <c r="AD188" s="178">
        <f t="shared" si="76"/>
        <v>0</v>
      </c>
      <c r="AE188" s="178">
        <f t="shared" si="77"/>
        <v>0</v>
      </c>
      <c r="AF188" s="178">
        <f t="shared" si="78"/>
        <v>0</v>
      </c>
      <c r="AG188" s="178">
        <f t="shared" si="79"/>
        <v>1</v>
      </c>
      <c r="AH188" s="178">
        <f t="shared" si="80"/>
        <v>0</v>
      </c>
      <c r="AI188" s="178">
        <f t="shared" si="81"/>
        <v>0</v>
      </c>
      <c r="AJ188" s="17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307</v>
      </c>
      <c r="S189" s="178">
        <f>'Alim -Surf'!R32</f>
        <v>1</v>
      </c>
      <c r="T189" s="178">
        <f>VLOOKUP(R189,[1]MEP!$A$4:$M$300,13)</f>
        <v>2</v>
      </c>
      <c r="U189" s="178">
        <f t="shared" si="72"/>
        <v>1</v>
      </c>
      <c r="V189" s="178">
        <f t="shared" si="73"/>
        <v>1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1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1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45</v>
      </c>
      <c r="S190" s="178">
        <f>'Alim -Surf'!R33</f>
        <v>9</v>
      </c>
      <c r="T190" s="178">
        <f>VLOOKUP(R190,[1]MEP!$A$4:$M$300,13)</f>
        <v>2</v>
      </c>
      <c r="U190" s="178">
        <f t="shared" si="72"/>
        <v>9</v>
      </c>
      <c r="V190" s="178">
        <f t="shared" si="73"/>
        <v>9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9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9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36.200000000000003</v>
      </c>
      <c r="U228" s="62">
        <f>SUM(U164:U227)</f>
        <v>28</v>
      </c>
      <c r="V228" s="62">
        <f t="shared" ref="V228:W228" si="84">SUM(V164:V227)</f>
        <v>19</v>
      </c>
      <c r="W228" s="62">
        <f t="shared" si="84"/>
        <v>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5</v>
      </c>
      <c r="AD228" s="62">
        <f>SUM(AD164:AD227)</f>
        <v>30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7</v>
      </c>
      <c r="AI228" s="62">
        <f t="shared" si="86"/>
        <v>9</v>
      </c>
      <c r="AJ228" s="62">
        <f t="shared" si="86"/>
        <v>14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3398</v>
      </c>
      <c r="U234" t="s">
        <v>1175</v>
      </c>
      <c r="V234" s="178"/>
      <c r="W234" s="178">
        <f>[1]Protect!$B$4</f>
        <v>6</v>
      </c>
      <c r="X234" s="178">
        <f>T234*W234</f>
        <v>20388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20388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20388</v>
      </c>
      <c r="AB237" s="30">
        <f>(Scénario!K127/100)*AA237</f>
        <v>0</v>
      </c>
      <c r="AC237" s="30">
        <f>AA237-AB237</f>
        <v>20388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2513.6557730028235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4</v>
      </c>
      <c r="X245" s="178">
        <f>ROUND((([1]Protect!$B$5/[1]Protect!$B$11)+[1]Protect!$B$8)*T245,0)</f>
        <v>3617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3617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3617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2893.6000000000004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2893.6000000000004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50.97</v>
      </c>
      <c r="U272" s="178"/>
      <c r="V272" s="178"/>
      <c r="W272" s="178">
        <f>W234</f>
        <v>6</v>
      </c>
      <c r="X272" s="178">
        <f>T272*W272</f>
        <v>305.82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4" activePane="bottomLeft" state="frozen"/>
      <selection pane="bottomLeft" activeCell="J56" sqref="J56:K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3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1505</v>
      </c>
      <c r="B19" s="60">
        <v>78.625</v>
      </c>
      <c r="C19" s="60">
        <v>71.1875</v>
      </c>
      <c r="D19" s="60">
        <v>63.75</v>
      </c>
      <c r="E19" s="60">
        <v>57.375</v>
      </c>
      <c r="F19" s="60">
        <v>51</v>
      </c>
      <c r="G19" s="60">
        <v>44.625</v>
      </c>
      <c r="H19" s="60">
        <v>38.25</v>
      </c>
      <c r="I19" s="60">
        <v>31.875</v>
      </c>
      <c r="J19" s="60">
        <v>25.5</v>
      </c>
      <c r="K19" s="60">
        <v>18.0625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18.0625</v>
      </c>
      <c r="W19" s="60">
        <v>18.0625</v>
      </c>
      <c r="X19" s="60">
        <v>78.625</v>
      </c>
      <c r="Y19" s="60">
        <v>78.625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 + vides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1"/>
        <v>0</v>
      </c>
      <c r="C40" s="61">
        <f t="shared" ref="C40:Q40" si="14">C16*C28</f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 + vides</v>
      </c>
      <c r="B43" s="61">
        <f t="shared" si="11"/>
        <v>11.0075</v>
      </c>
      <c r="C43" s="61">
        <f t="shared" si="12"/>
        <v>9.9662500000000005</v>
      </c>
      <c r="D43" s="61">
        <f t="shared" si="12"/>
        <v>8.9250000000000007</v>
      </c>
      <c r="E43" s="61">
        <f t="shared" si="12"/>
        <v>8.0325000000000006</v>
      </c>
      <c r="F43" s="61">
        <f t="shared" si="12"/>
        <v>7.1400000000000006</v>
      </c>
      <c r="G43" s="61">
        <f t="shared" si="12"/>
        <v>6.2475000000000005</v>
      </c>
      <c r="H43" s="61">
        <f t="shared" si="12"/>
        <v>5.3550000000000004</v>
      </c>
      <c r="I43" s="61">
        <f t="shared" si="12"/>
        <v>4.4625000000000004</v>
      </c>
      <c r="J43" s="61">
        <f t="shared" si="12"/>
        <v>3.5700000000000003</v>
      </c>
      <c r="K43" s="61">
        <f t="shared" si="12"/>
        <v>2.5287500000000001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2.5287500000000001</v>
      </c>
      <c r="W43" s="61">
        <f t="shared" si="12"/>
        <v>2.5287500000000001</v>
      </c>
      <c r="X43" s="61">
        <f t="shared" si="12"/>
        <v>11.0075</v>
      </c>
      <c r="Y43" s="61">
        <f t="shared" si="12"/>
        <v>11.0075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53.431000000000004</v>
      </c>
      <c r="C49" s="62">
        <f t="shared" ref="C49:Y49" si="15">SUM(C39:C48)</f>
        <v>53.282250000000005</v>
      </c>
      <c r="D49" s="62">
        <f t="shared" si="15"/>
        <v>56.599374999999995</v>
      </c>
      <c r="E49" s="62">
        <f t="shared" si="15"/>
        <v>53.178125000000001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52.285624999999996</v>
      </c>
      <c r="I49" s="62">
        <f t="shared" si="15"/>
        <v>51.988124999999997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53.431000000000004</v>
      </c>
      <c r="Y49" s="62">
        <f t="shared" si="15"/>
        <v>53.431000000000004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 + vides</v>
      </c>
      <c r="B56" s="60">
        <v>0.5</v>
      </c>
      <c r="C56" s="60">
        <v>0.5</v>
      </c>
      <c r="D56" s="60">
        <v>0.5</v>
      </c>
      <c r="E56" s="60">
        <v>0.5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156">
        <v>0.5</v>
      </c>
      <c r="W56" s="156">
        <v>0.5</v>
      </c>
      <c r="X56" s="156">
        <v>0.5</v>
      </c>
      <c r="Y56" s="156">
        <v>0.5</v>
      </c>
      <c r="Z56" s="52"/>
      <c r="AB56" t="s">
        <v>182</v>
      </c>
      <c r="AC56" t="s">
        <v>183</v>
      </c>
      <c r="AD56" s="64">
        <f>AA73*AF5/1000</f>
        <v>47.835399999999993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302.03687500000001</v>
      </c>
      <c r="C63" s="61">
        <f t="shared" si="20"/>
        <v>308.95375000000001</v>
      </c>
      <c r="D63" s="61">
        <f t="shared" si="20"/>
        <v>284.26125000000002</v>
      </c>
      <c r="E63" s="61">
        <f t="shared" si="20"/>
        <v>266.56000000000006</v>
      </c>
      <c r="F63" s="61">
        <f t="shared" si="20"/>
        <v>299.73125000000005</v>
      </c>
      <c r="G63" s="61">
        <f t="shared" si="20"/>
        <v>304.34250000000003</v>
      </c>
      <c r="H63" s="61">
        <f t="shared" si="20"/>
        <v>298.98750000000001</v>
      </c>
      <c r="I63" s="61">
        <f t="shared" si="20"/>
        <v>303.45</v>
      </c>
      <c r="J63" s="61">
        <f t="shared" si="20"/>
        <v>318.17625000000004</v>
      </c>
      <c r="K63" s="61">
        <f t="shared" si="20"/>
        <v>325.09312500000004</v>
      </c>
      <c r="L63" s="61">
        <f t="shared" si="20"/>
        <v>316.83750000000003</v>
      </c>
      <c r="M63" s="61">
        <f t="shared" si="20"/>
        <v>316.83750000000003</v>
      </c>
      <c r="N63" s="61">
        <f t="shared" si="20"/>
        <v>327.39875000000006</v>
      </c>
      <c r="O63" s="61">
        <f t="shared" si="20"/>
        <v>327.39875000000006</v>
      </c>
      <c r="P63" s="61">
        <f t="shared" si="20"/>
        <v>327.39875000000006</v>
      </c>
      <c r="Q63" s="61">
        <f t="shared" si="20"/>
        <v>327.39875000000006</v>
      </c>
      <c r="R63" s="61">
        <f t="shared" si="20"/>
        <v>316.83750000000003</v>
      </c>
      <c r="S63" s="61">
        <f t="shared" si="20"/>
        <v>292.29375000000005</v>
      </c>
      <c r="T63" s="61">
        <f t="shared" si="20"/>
        <v>302.03687500000001</v>
      </c>
      <c r="U63" s="61">
        <f t="shared" si="20"/>
        <v>302.03687500000001</v>
      </c>
      <c r="V63" s="61">
        <f t="shared" si="20"/>
        <v>355.88437500000003</v>
      </c>
      <c r="W63" s="61">
        <f t="shared" si="20"/>
        <v>355.88437500000003</v>
      </c>
      <c r="X63" s="61">
        <f t="shared" si="20"/>
        <v>302.03687500000001</v>
      </c>
      <c r="Y63" s="61">
        <f t="shared" si="20"/>
        <v>302.03687500000001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ref="B64:Y64" si="21">B40*B53*B$3</f>
        <v>0</v>
      </c>
      <c r="C64" s="61">
        <f t="shared" si="21"/>
        <v>0</v>
      </c>
      <c r="D64" s="61">
        <f t="shared" si="21"/>
        <v>0</v>
      </c>
      <c r="E64" s="61">
        <f t="shared" si="21"/>
        <v>0</v>
      </c>
      <c r="F64" s="61">
        <f t="shared" si="21"/>
        <v>0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0</v>
      </c>
      <c r="W64" s="61">
        <f t="shared" si="21"/>
        <v>0</v>
      </c>
      <c r="X64" s="61">
        <f t="shared" si="21"/>
        <v>0</v>
      </c>
      <c r="Y64" s="61">
        <f t="shared" si="21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93.377812500000019</v>
      </c>
      <c r="Q65" s="61">
        <f t="shared" si="22"/>
        <v>93.377812500000019</v>
      </c>
      <c r="R65" s="61">
        <f t="shared" si="22"/>
        <v>90.365625000000009</v>
      </c>
      <c r="S65" s="61">
        <f t="shared" si="22"/>
        <v>90.365625000000009</v>
      </c>
      <c r="T65" s="61">
        <f t="shared" si="22"/>
        <v>93.377812500000019</v>
      </c>
      <c r="U65" s="61">
        <f t="shared" si="22"/>
        <v>93.377812500000019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16.139375000000001</v>
      </c>
      <c r="C66" s="61">
        <f t="shared" si="23"/>
        <v>16.139375000000001</v>
      </c>
      <c r="D66" s="61">
        <f t="shared" si="23"/>
        <v>14.577500000000001</v>
      </c>
      <c r="E66" s="61">
        <f t="shared" si="23"/>
        <v>14.577500000000001</v>
      </c>
      <c r="F66" s="61">
        <f t="shared" si="23"/>
        <v>16.139375000000001</v>
      </c>
      <c r="G66" s="61">
        <f t="shared" si="23"/>
        <v>16.139375000000001</v>
      </c>
      <c r="H66" s="61">
        <f t="shared" si="23"/>
        <v>15.61875</v>
      </c>
      <c r="I66" s="61">
        <f t="shared" si="23"/>
        <v>15.61875</v>
      </c>
      <c r="J66" s="61">
        <f t="shared" si="23"/>
        <v>16.139375000000001</v>
      </c>
      <c r="K66" s="61">
        <f t="shared" si="23"/>
        <v>16.139375000000001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15.61875</v>
      </c>
      <c r="W66" s="61">
        <f t="shared" si="23"/>
        <v>15.61875</v>
      </c>
      <c r="X66" s="61">
        <f t="shared" si="23"/>
        <v>16.139375000000001</v>
      </c>
      <c r="Y66" s="61">
        <f t="shared" si="23"/>
        <v>16.139375000000001</v>
      </c>
      <c r="Z66" s="52"/>
      <c r="AE66" s="86"/>
    </row>
    <row r="67" spans="1:33" s="5" customFormat="1" hidden="1" x14ac:dyDescent="0.25">
      <c r="A67" s="38" t="str">
        <f>A$19</f>
        <v>tardive + vides</v>
      </c>
      <c r="B67" s="61">
        <f t="shared" ref="B67:Y67" si="24">B43*B56*B$3</f>
        <v>85.308125000000004</v>
      </c>
      <c r="C67" s="61">
        <f t="shared" si="24"/>
        <v>77.238437500000003</v>
      </c>
      <c r="D67" s="61">
        <f t="shared" si="24"/>
        <v>62.475000000000009</v>
      </c>
      <c r="E67" s="61">
        <f t="shared" si="24"/>
        <v>56.227500000000006</v>
      </c>
      <c r="F67" s="61">
        <f t="shared" si="24"/>
        <v>55.335000000000008</v>
      </c>
      <c r="G67" s="61">
        <f t="shared" si="24"/>
        <v>48.418125000000003</v>
      </c>
      <c r="H67" s="61">
        <f t="shared" si="24"/>
        <v>40.162500000000001</v>
      </c>
      <c r="I67" s="61">
        <f t="shared" si="24"/>
        <v>33.46875</v>
      </c>
      <c r="J67" s="61">
        <f t="shared" si="24"/>
        <v>27.667500000000004</v>
      </c>
      <c r="K67" s="61">
        <f t="shared" si="24"/>
        <v>19.5978125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18.965624999999999</v>
      </c>
      <c r="W67" s="61">
        <f t="shared" si="24"/>
        <v>18.965624999999999</v>
      </c>
      <c r="X67" s="61">
        <f t="shared" si="24"/>
        <v>85.308125000000004</v>
      </c>
      <c r="Y67" s="61">
        <f t="shared" si="24"/>
        <v>85.308125000000004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441</v>
      </c>
      <c r="C73" s="64">
        <f t="shared" ref="C73:Y73" si="30">ROUND(SUM(C63:C72),0)</f>
        <v>440</v>
      </c>
      <c r="D73" s="64">
        <f t="shared" si="30"/>
        <v>446</v>
      </c>
      <c r="E73" s="64">
        <f t="shared" si="30"/>
        <v>422</v>
      </c>
      <c r="F73" s="64">
        <f t="shared" si="30"/>
        <v>465</v>
      </c>
      <c r="G73" s="64">
        <f t="shared" si="30"/>
        <v>462</v>
      </c>
      <c r="H73" s="64">
        <f t="shared" si="30"/>
        <v>445</v>
      </c>
      <c r="I73" s="64">
        <f t="shared" si="30"/>
        <v>443</v>
      </c>
      <c r="J73" s="64">
        <f t="shared" si="30"/>
        <v>455</v>
      </c>
      <c r="K73" s="64">
        <f t="shared" si="30"/>
        <v>454</v>
      </c>
      <c r="L73" s="64">
        <f t="shared" si="30"/>
        <v>407</v>
      </c>
      <c r="M73" s="64">
        <f t="shared" si="30"/>
        <v>407</v>
      </c>
      <c r="N73" s="64">
        <f t="shared" si="30"/>
        <v>514</v>
      </c>
      <c r="O73" s="64">
        <f t="shared" si="30"/>
        <v>514</v>
      </c>
      <c r="P73" s="64">
        <f t="shared" si="30"/>
        <v>421</v>
      </c>
      <c r="Q73" s="64">
        <f t="shared" si="30"/>
        <v>421</v>
      </c>
      <c r="R73" s="64">
        <f t="shared" si="30"/>
        <v>407</v>
      </c>
      <c r="S73" s="64">
        <f t="shared" si="30"/>
        <v>383</v>
      </c>
      <c r="T73" s="64">
        <f t="shared" si="30"/>
        <v>395</v>
      </c>
      <c r="U73" s="64">
        <f t="shared" si="30"/>
        <v>395</v>
      </c>
      <c r="V73" s="64">
        <f t="shared" si="30"/>
        <v>390</v>
      </c>
      <c r="W73" s="64">
        <f t="shared" si="30"/>
        <v>390</v>
      </c>
      <c r="X73" s="64">
        <f t="shared" si="30"/>
        <v>441</v>
      </c>
      <c r="Y73" s="64">
        <f t="shared" si="30"/>
        <v>441</v>
      </c>
      <c r="Z73" s="52"/>
      <c r="AA73" s="56">
        <f>ROUND(SUM(B73:Y73),0)</f>
        <v>10399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22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22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tardive + vides</v>
      </c>
      <c r="B80" s="60">
        <v>1</v>
      </c>
      <c r="C80" s="60">
        <v>1</v>
      </c>
      <c r="D80" s="60">
        <v>1</v>
      </c>
      <c r="E80" s="60">
        <v>1</v>
      </c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>
        <v>1</v>
      </c>
      <c r="W80" s="60">
        <v>1</v>
      </c>
      <c r="X80" s="60">
        <v>1</v>
      </c>
      <c r="Y80" s="60">
        <v>1</v>
      </c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 + vides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lot2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 + vides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lot2</v>
      </c>
      <c r="B111" s="61">
        <f t="shared" ref="B111:Y111" si="42">(B40*B$3*B100)/1000</f>
        <v>0</v>
      </c>
      <c r="C111" s="61">
        <f t="shared" si="42"/>
        <v>0</v>
      </c>
      <c r="D111" s="61">
        <f t="shared" si="42"/>
        <v>0</v>
      </c>
      <c r="E111" s="61">
        <f t="shared" si="42"/>
        <v>0</v>
      </c>
      <c r="F111" s="61">
        <f t="shared" si="42"/>
        <v>0</v>
      </c>
      <c r="G111" s="61">
        <f t="shared" si="42"/>
        <v>0</v>
      </c>
      <c r="H111" s="61">
        <f t="shared" si="42"/>
        <v>0</v>
      </c>
      <c r="I111" s="61">
        <f t="shared" si="42"/>
        <v>0</v>
      </c>
      <c r="J111" s="61">
        <f t="shared" si="42"/>
        <v>0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0</v>
      </c>
      <c r="Y111" s="61">
        <f t="shared" si="42"/>
        <v>0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 + vides</v>
      </c>
      <c r="B114" s="61">
        <f t="shared" ref="B114:Y114" si="45">(B43*B$3*B103)/1000</f>
        <v>2.21801125</v>
      </c>
      <c r="C114" s="61">
        <f t="shared" si="45"/>
        <v>2.0081993750000002</v>
      </c>
      <c r="D114" s="61">
        <f t="shared" si="45"/>
        <v>1.6243500000000002</v>
      </c>
      <c r="E114" s="61">
        <f t="shared" si="45"/>
        <v>1.4619150000000003</v>
      </c>
      <c r="F114" s="61">
        <f t="shared" si="45"/>
        <v>1.4387100000000002</v>
      </c>
      <c r="G114" s="61">
        <f t="shared" si="45"/>
        <v>1.2588712500000001</v>
      </c>
      <c r="H114" s="61">
        <f t="shared" si="45"/>
        <v>1.0442250000000002</v>
      </c>
      <c r="I114" s="61">
        <f t="shared" si="45"/>
        <v>0.8701875</v>
      </c>
      <c r="J114" s="61">
        <f t="shared" si="45"/>
        <v>0.71935500000000008</v>
      </c>
      <c r="K114" s="61">
        <f t="shared" si="45"/>
        <v>0.50954312499999999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0.49310624999999997</v>
      </c>
      <c r="W114" s="61">
        <f t="shared" si="45"/>
        <v>0.49310624999999997</v>
      </c>
      <c r="X114" s="61">
        <f t="shared" si="45"/>
        <v>2.21801125</v>
      </c>
      <c r="Y114" s="61">
        <f t="shared" si="45"/>
        <v>2.21801125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>
        <v>0.4</v>
      </c>
      <c r="C123" s="60">
        <v>0.3</v>
      </c>
      <c r="D123" s="60">
        <v>0.3</v>
      </c>
      <c r="E123" s="60">
        <v>0.3</v>
      </c>
      <c r="F123" s="60">
        <v>0.3</v>
      </c>
      <c r="G123" s="60">
        <v>0.3</v>
      </c>
      <c r="H123" s="60">
        <v>0.7</v>
      </c>
      <c r="I123" s="60">
        <v>0.7</v>
      </c>
      <c r="J123" s="60">
        <v>0.7</v>
      </c>
      <c r="K123" s="60">
        <v>0.7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0.4</v>
      </c>
      <c r="S123" s="60">
        <v>0.4</v>
      </c>
      <c r="T123" s="60">
        <v>0.4</v>
      </c>
      <c r="U123" s="60">
        <v>0.4</v>
      </c>
      <c r="V123" s="60">
        <v>0.4</v>
      </c>
      <c r="W123" s="60">
        <v>0.4</v>
      </c>
      <c r="X123" s="60">
        <v>0.4</v>
      </c>
      <c r="Y123" s="60">
        <v>0.4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0.3</v>
      </c>
      <c r="Q125" s="60">
        <v>0.3</v>
      </c>
      <c r="R125" s="60">
        <v>0.3</v>
      </c>
      <c r="S125" s="60">
        <v>0.3</v>
      </c>
      <c r="T125" s="60">
        <v>0.3</v>
      </c>
      <c r="U125" s="60">
        <v>0.3</v>
      </c>
      <c r="V125" s="60">
        <v>0.3</v>
      </c>
      <c r="W125" s="60">
        <v>0.3</v>
      </c>
      <c r="X125" s="60">
        <v>0</v>
      </c>
      <c r="Y125" s="60">
        <v>0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tardive + vides</v>
      </c>
      <c r="B127" s="60">
        <v>0.4</v>
      </c>
      <c r="C127" s="60">
        <v>0.3</v>
      </c>
      <c r="D127" s="60">
        <v>0.3</v>
      </c>
      <c r="E127" s="60">
        <v>0.3</v>
      </c>
      <c r="F127" s="60">
        <v>0.3</v>
      </c>
      <c r="G127" s="60">
        <v>0.3</v>
      </c>
      <c r="H127" s="60">
        <v>0.5</v>
      </c>
      <c r="I127" s="60">
        <v>0.5</v>
      </c>
      <c r="J127" s="60">
        <v>0.5</v>
      </c>
      <c r="K127" s="60">
        <v>0.5</v>
      </c>
      <c r="L127" s="60">
        <v>0.5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>
        <v>1</v>
      </c>
      <c r="W127" s="60">
        <v>1</v>
      </c>
      <c r="X127" s="60">
        <v>0.4</v>
      </c>
      <c r="Y127" s="60">
        <v>0.4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5.8679724075000008</v>
      </c>
      <c r="C136" s="61">
        <f t="shared" ref="C136:Y136" si="52">C110*(1-C123)</f>
        <v>7.0027456975</v>
      </c>
      <c r="D136" s="61">
        <f t="shared" si="52"/>
        <v>6.4430654925000006</v>
      </c>
      <c r="E136" s="61">
        <f t="shared" si="52"/>
        <v>6.041848960000002</v>
      </c>
      <c r="F136" s="61">
        <f t="shared" si="52"/>
        <v>6.7937085125000003</v>
      </c>
      <c r="G136" s="61">
        <f t="shared" si="52"/>
        <v>6.8982271050000019</v>
      </c>
      <c r="H136" s="61">
        <f t="shared" si="52"/>
        <v>2.9043645750000007</v>
      </c>
      <c r="I136" s="61">
        <f t="shared" si="52"/>
        <v>2.9477133000000011</v>
      </c>
      <c r="J136" s="61">
        <f t="shared" si="52"/>
        <v>3.0907640925000011</v>
      </c>
      <c r="K136" s="61">
        <f t="shared" si="52"/>
        <v>3.157954616250001</v>
      </c>
      <c r="L136" s="61">
        <f t="shared" si="52"/>
        <v>1.9143321750000006</v>
      </c>
      <c r="M136" s="61">
        <f t="shared" si="52"/>
        <v>1.9143321750000006</v>
      </c>
      <c r="N136" s="61">
        <f t="shared" si="52"/>
        <v>1.9781432475000007</v>
      </c>
      <c r="O136" s="61">
        <f t="shared" si="52"/>
        <v>1.9781432475000007</v>
      </c>
      <c r="P136" s="61">
        <f t="shared" si="52"/>
        <v>1.9781432475000007</v>
      </c>
      <c r="Q136" s="61">
        <f t="shared" si="52"/>
        <v>1.9781432475000007</v>
      </c>
      <c r="R136" s="61">
        <f t="shared" si="52"/>
        <v>3.8286643500000004</v>
      </c>
      <c r="S136" s="61">
        <f t="shared" si="52"/>
        <v>3.5320776750000005</v>
      </c>
      <c r="T136" s="61">
        <f t="shared" si="52"/>
        <v>3.6498135975000001</v>
      </c>
      <c r="U136" s="61">
        <f t="shared" si="52"/>
        <v>2.8669340174999998</v>
      </c>
      <c r="V136" s="61">
        <f t="shared" si="52"/>
        <v>6.1069758750000007</v>
      </c>
      <c r="W136" s="61">
        <f t="shared" si="52"/>
        <v>6.1069758750000007</v>
      </c>
      <c r="X136" s="61">
        <f t="shared" si="52"/>
        <v>5.8679724075000008</v>
      </c>
      <c r="Y136" s="61">
        <f t="shared" si="52"/>
        <v>5.8679724075000008</v>
      </c>
      <c r="AA136" s="61">
        <f>SUM(B136:Y136)</f>
        <v>100.71698830375003</v>
      </c>
    </row>
    <row r="137" spans="1:31" x14ac:dyDescent="0.25">
      <c r="A137" s="128" t="str">
        <f>A$16</f>
        <v>lot2</v>
      </c>
      <c r="B137" s="61">
        <f t="shared" ref="B137:Y144" si="53">B111*(1-B124)</f>
        <v>0</v>
      </c>
      <c r="C137" s="61">
        <f t="shared" si="53"/>
        <v>0</v>
      </c>
      <c r="D137" s="61">
        <f t="shared" si="53"/>
        <v>0</v>
      </c>
      <c r="E137" s="61">
        <f t="shared" si="53"/>
        <v>0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1.6994761875</v>
      </c>
      <c r="Q138" s="61">
        <f t="shared" si="53"/>
        <v>1.6994761875</v>
      </c>
      <c r="R138" s="61">
        <f t="shared" si="53"/>
        <v>1.6446543750000002</v>
      </c>
      <c r="S138" s="61">
        <f t="shared" si="53"/>
        <v>1.6446543750000002</v>
      </c>
      <c r="T138" s="61">
        <f t="shared" si="53"/>
        <v>1.6994761875</v>
      </c>
      <c r="U138" s="61">
        <f t="shared" si="53"/>
        <v>1.6994761875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28.632649500000003</v>
      </c>
    </row>
    <row r="139" spans="1:31" x14ac:dyDescent="0.25">
      <c r="A139" s="127" t="str">
        <f>A$18</f>
        <v>Béliers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tardive + vides</v>
      </c>
      <c r="B140" s="61">
        <f t="shared" si="53"/>
        <v>1.33080675</v>
      </c>
      <c r="C140" s="61">
        <f t="shared" si="53"/>
        <v>1.4057395625</v>
      </c>
      <c r="D140" s="61">
        <f t="shared" si="53"/>
        <v>1.1370450000000001</v>
      </c>
      <c r="E140" s="61">
        <f t="shared" si="53"/>
        <v>1.0233405000000002</v>
      </c>
      <c r="F140" s="61">
        <f t="shared" si="53"/>
        <v>1.0070970000000001</v>
      </c>
      <c r="G140" s="61">
        <f t="shared" si="53"/>
        <v>0.88120987500000003</v>
      </c>
      <c r="H140" s="61">
        <f t="shared" si="53"/>
        <v>0.52211250000000009</v>
      </c>
      <c r="I140" s="61">
        <f t="shared" si="53"/>
        <v>0.43509375</v>
      </c>
      <c r="J140" s="61">
        <f t="shared" si="53"/>
        <v>0.35967750000000004</v>
      </c>
      <c r="K140" s="61">
        <f t="shared" si="53"/>
        <v>0.25477156249999999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</v>
      </c>
      <c r="X140" s="61">
        <f t="shared" si="53"/>
        <v>1.33080675</v>
      </c>
      <c r="Y140" s="61">
        <f t="shared" si="53"/>
        <v>1.33080675</v>
      </c>
      <c r="AA140" s="61">
        <f t="shared" si="54"/>
        <v>11.018507500000002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140.36814530375003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161.42336709931251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3.9119816050000003</v>
      </c>
      <c r="C149" s="61">
        <f t="shared" si="56"/>
        <v>3.0011767275000008</v>
      </c>
      <c r="D149" s="61">
        <f t="shared" si="56"/>
        <v>2.7613137825000003</v>
      </c>
      <c r="E149" s="61">
        <f t="shared" si="56"/>
        <v>2.5893638400000016</v>
      </c>
      <c r="F149" s="61">
        <f t="shared" si="56"/>
        <v>2.9115893625000009</v>
      </c>
      <c r="G149" s="61">
        <f t="shared" si="56"/>
        <v>2.9563830450000008</v>
      </c>
      <c r="H149" s="61">
        <f t="shared" si="56"/>
        <v>6.7768506750000004</v>
      </c>
      <c r="I149" s="61">
        <f t="shared" si="56"/>
        <v>6.8779977000000008</v>
      </c>
      <c r="J149" s="61">
        <f t="shared" si="56"/>
        <v>7.2117828825000014</v>
      </c>
      <c r="K149" s="61">
        <f t="shared" si="56"/>
        <v>7.3685607712500012</v>
      </c>
      <c r="L149" s="61">
        <f t="shared" si="56"/>
        <v>4.466775075000001</v>
      </c>
      <c r="M149" s="61">
        <f t="shared" si="56"/>
        <v>4.466775075000001</v>
      </c>
      <c r="N149" s="61">
        <f t="shared" si="56"/>
        <v>4.6156675775</v>
      </c>
      <c r="O149" s="61">
        <f t="shared" si="56"/>
        <v>4.6156675775</v>
      </c>
      <c r="P149" s="61">
        <f t="shared" si="56"/>
        <v>4.6156675775</v>
      </c>
      <c r="Q149" s="61">
        <f t="shared" si="56"/>
        <v>4.6156675775</v>
      </c>
      <c r="R149" s="61">
        <f t="shared" si="56"/>
        <v>2.5524429000000008</v>
      </c>
      <c r="S149" s="61">
        <f t="shared" si="56"/>
        <v>2.3547184500000005</v>
      </c>
      <c r="T149" s="61">
        <f t="shared" si="56"/>
        <v>2.4332090650000002</v>
      </c>
      <c r="U149" s="61">
        <f t="shared" si="56"/>
        <v>1.9112893449999997</v>
      </c>
      <c r="V149" s="61">
        <f t="shared" si="56"/>
        <v>4.0713172500000008</v>
      </c>
      <c r="W149" s="61">
        <f t="shared" si="56"/>
        <v>4.0713172500000008</v>
      </c>
      <c r="X149" s="61">
        <f t="shared" si="56"/>
        <v>3.9119816050000003</v>
      </c>
      <c r="Y149" s="61">
        <f t="shared" si="56"/>
        <v>3.9119816050000003</v>
      </c>
    </row>
    <row r="150" spans="1:28" x14ac:dyDescent="0.25">
      <c r="A150" s="128" t="str">
        <f>A$16</f>
        <v>lot2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0</v>
      </c>
      <c r="J150" s="61">
        <f t="shared" si="57"/>
        <v>0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0.72834693750000024</v>
      </c>
      <c r="Q151" s="61">
        <f t="shared" si="58"/>
        <v>0.72834693750000024</v>
      </c>
      <c r="R151" s="61">
        <f t="shared" si="58"/>
        <v>0.70485187500000035</v>
      </c>
      <c r="S151" s="61">
        <f t="shared" si="58"/>
        <v>0.70485187500000035</v>
      </c>
      <c r="T151" s="61">
        <f t="shared" si="58"/>
        <v>0.72834693750000024</v>
      </c>
      <c r="U151" s="61">
        <f t="shared" si="58"/>
        <v>0.72834693750000024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0.20981187500000001</v>
      </c>
      <c r="C152" s="61">
        <f t="shared" si="59"/>
        <v>0.20981187500000001</v>
      </c>
      <c r="D152" s="61">
        <f t="shared" si="59"/>
        <v>0.1895075</v>
      </c>
      <c r="E152" s="61">
        <f t="shared" si="59"/>
        <v>0.1895075</v>
      </c>
      <c r="F152" s="61">
        <f t="shared" si="59"/>
        <v>0.20981187500000001</v>
      </c>
      <c r="G152" s="61">
        <f t="shared" si="59"/>
        <v>0.20981187500000001</v>
      </c>
      <c r="H152" s="61">
        <f t="shared" si="59"/>
        <v>0.20304375000000002</v>
      </c>
      <c r="I152" s="61">
        <f t="shared" si="59"/>
        <v>0.20304375000000002</v>
      </c>
      <c r="J152" s="61">
        <f t="shared" si="59"/>
        <v>0.20981187500000001</v>
      </c>
      <c r="K152" s="61">
        <f t="shared" si="59"/>
        <v>0.20981187500000001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0.20304375000000002</v>
      </c>
      <c r="W152" s="61">
        <f t="shared" si="59"/>
        <v>0.20304375000000002</v>
      </c>
      <c r="X152" s="61">
        <f t="shared" si="59"/>
        <v>0.20981187500000001</v>
      </c>
      <c r="Y152" s="61">
        <f t="shared" si="59"/>
        <v>0.20981187500000001</v>
      </c>
    </row>
    <row r="153" spans="1:28" x14ac:dyDescent="0.25">
      <c r="A153" s="128" t="str">
        <f>A$19</f>
        <v>tardive + vides</v>
      </c>
      <c r="B153" s="61">
        <f t="shared" ref="B153:Y153" si="60">B114-B140</f>
        <v>0.88720449999999995</v>
      </c>
      <c r="C153" s="61">
        <f t="shared" si="60"/>
        <v>0.60245981250000025</v>
      </c>
      <c r="D153" s="61">
        <f t="shared" si="60"/>
        <v>0.4873050000000001</v>
      </c>
      <c r="E153" s="61">
        <f t="shared" si="60"/>
        <v>0.43857450000000009</v>
      </c>
      <c r="F153" s="61">
        <f t="shared" si="60"/>
        <v>0.43161300000000002</v>
      </c>
      <c r="G153" s="61">
        <f t="shared" si="60"/>
        <v>0.37766137500000008</v>
      </c>
      <c r="H153" s="61">
        <f t="shared" si="60"/>
        <v>0.52211250000000009</v>
      </c>
      <c r="I153" s="61">
        <f t="shared" si="60"/>
        <v>0.43509375</v>
      </c>
      <c r="J153" s="61">
        <f t="shared" si="60"/>
        <v>0.35967750000000004</v>
      </c>
      <c r="K153" s="61">
        <f t="shared" si="60"/>
        <v>0.25477156249999999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0.49310624999999997</v>
      </c>
      <c r="W153" s="61">
        <f t="shared" si="60"/>
        <v>0.49310624999999997</v>
      </c>
      <c r="X153" s="61">
        <f t="shared" si="60"/>
        <v>0.88720449999999995</v>
      </c>
      <c r="Y153" s="61">
        <f t="shared" si="60"/>
        <v>0.88720449999999995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113.73134982125009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3.9119816050000003</v>
      </c>
      <c r="C162" s="61">
        <f t="shared" si="66"/>
        <v>3.0011767275000008</v>
      </c>
      <c r="D162" s="61">
        <f t="shared" si="66"/>
        <v>2.7613137825000003</v>
      </c>
      <c r="E162" s="61">
        <f t="shared" si="66"/>
        <v>2.5893638400000016</v>
      </c>
      <c r="F162" s="61">
        <f t="shared" si="66"/>
        <v>2.9115893625000009</v>
      </c>
      <c r="G162" s="61">
        <f t="shared" si="66"/>
        <v>2.9563830450000008</v>
      </c>
      <c r="H162" s="61">
        <f t="shared" si="66"/>
        <v>6.7768506750000004</v>
      </c>
      <c r="I162" s="61">
        <f t="shared" si="66"/>
        <v>6.8779977000000008</v>
      </c>
      <c r="J162" s="61">
        <f t="shared" si="66"/>
        <v>7.2117828825000014</v>
      </c>
      <c r="K162" s="61">
        <f t="shared" si="66"/>
        <v>7.3685607712500012</v>
      </c>
      <c r="L162" s="61">
        <f t="shared" si="66"/>
        <v>4.466775075000001</v>
      </c>
      <c r="M162" s="61">
        <f t="shared" si="66"/>
        <v>4.466775075000001</v>
      </c>
      <c r="N162" s="61">
        <f t="shared" si="66"/>
        <v>4.6156675775</v>
      </c>
      <c r="O162" s="61">
        <f t="shared" si="66"/>
        <v>4.6156675775</v>
      </c>
      <c r="P162" s="61">
        <f t="shared" si="66"/>
        <v>4.6156675775</v>
      </c>
      <c r="Q162" s="61">
        <f t="shared" si="66"/>
        <v>4.6156675775</v>
      </c>
      <c r="R162" s="61">
        <f t="shared" si="66"/>
        <v>2.5524429000000008</v>
      </c>
      <c r="S162" s="61">
        <f t="shared" si="66"/>
        <v>2.3547184500000005</v>
      </c>
      <c r="T162" s="61">
        <f t="shared" si="66"/>
        <v>2.4332090650000002</v>
      </c>
      <c r="U162" s="61">
        <f t="shared" si="66"/>
        <v>1.9112893449999997</v>
      </c>
      <c r="V162" s="61">
        <f t="shared" si="66"/>
        <v>4.0713172500000008</v>
      </c>
      <c r="W162" s="61">
        <f t="shared" si="66"/>
        <v>4.0713172500000008</v>
      </c>
      <c r="X162" s="61">
        <f t="shared" si="66"/>
        <v>3.9119816050000003</v>
      </c>
      <c r="Y162" s="61">
        <f t="shared" si="66"/>
        <v>3.9119816050000003</v>
      </c>
    </row>
    <row r="163" spans="1:28" x14ac:dyDescent="0.25">
      <c r="A163" s="128" t="str">
        <f>A$16</f>
        <v>lot2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0.72834693750000024</v>
      </c>
      <c r="Q164" s="61">
        <f t="shared" si="68"/>
        <v>0.72834693750000024</v>
      </c>
      <c r="R164" s="61">
        <f t="shared" si="68"/>
        <v>0.70485187500000035</v>
      </c>
      <c r="S164" s="61">
        <f t="shared" si="68"/>
        <v>0.70485187500000035</v>
      </c>
      <c r="T164" s="61">
        <f t="shared" si="68"/>
        <v>0.72834693750000024</v>
      </c>
      <c r="U164" s="61">
        <f t="shared" si="68"/>
        <v>0.72834693750000024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 + vides</v>
      </c>
      <c r="B166" s="61">
        <f t="shared" ref="B166:Y166" si="70">IF(B80=1,B153,0)</f>
        <v>0.88720449999999995</v>
      </c>
      <c r="C166" s="61">
        <f t="shared" si="70"/>
        <v>0.60245981250000025</v>
      </c>
      <c r="D166" s="61">
        <f t="shared" si="70"/>
        <v>0.4873050000000001</v>
      </c>
      <c r="E166" s="61">
        <f t="shared" si="70"/>
        <v>0.43857450000000009</v>
      </c>
      <c r="F166" s="61">
        <f t="shared" si="70"/>
        <v>0.43161300000000002</v>
      </c>
      <c r="G166" s="61">
        <f t="shared" si="70"/>
        <v>0.37766137500000008</v>
      </c>
      <c r="H166" s="61">
        <f t="shared" si="70"/>
        <v>0.52211250000000009</v>
      </c>
      <c r="I166" s="61">
        <f t="shared" si="70"/>
        <v>0.43509375</v>
      </c>
      <c r="J166" s="61">
        <f t="shared" si="70"/>
        <v>0.35967750000000004</v>
      </c>
      <c r="K166" s="61">
        <f t="shared" si="70"/>
        <v>0.25477156249999999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0.49310624999999997</v>
      </c>
      <c r="W166" s="61">
        <f t="shared" si="70"/>
        <v>0.49310624999999997</v>
      </c>
      <c r="X166" s="61">
        <f t="shared" si="70"/>
        <v>0.88720449999999995</v>
      </c>
      <c r="Y166" s="61">
        <f t="shared" si="70"/>
        <v>0.88720449999999995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4.7991861050000004</v>
      </c>
      <c r="C172" s="61">
        <f t="shared" ref="C172:Y172" si="76">SUM(C162:C171)</f>
        <v>3.603636540000001</v>
      </c>
      <c r="D172" s="61">
        <f t="shared" si="76"/>
        <v>3.2486187825000004</v>
      </c>
      <c r="E172" s="61">
        <f t="shared" si="76"/>
        <v>3.0279383400000017</v>
      </c>
      <c r="F172" s="61">
        <f t="shared" si="76"/>
        <v>3.3432023625000009</v>
      </c>
      <c r="G172" s="61">
        <f t="shared" si="76"/>
        <v>3.334044420000001</v>
      </c>
      <c r="H172" s="61">
        <f t="shared" si="76"/>
        <v>7.2989631750000008</v>
      </c>
      <c r="I172" s="61">
        <f t="shared" si="76"/>
        <v>7.3130914500000008</v>
      </c>
      <c r="J172" s="61">
        <f t="shared" si="76"/>
        <v>7.5714603825000015</v>
      </c>
      <c r="K172" s="61">
        <f t="shared" si="76"/>
        <v>7.6233323337500014</v>
      </c>
      <c r="L172" s="61">
        <f t="shared" si="76"/>
        <v>4.466775075000001</v>
      </c>
      <c r="M172" s="61">
        <f t="shared" si="76"/>
        <v>4.466775075000001</v>
      </c>
      <c r="N172" s="61">
        <f t="shared" si="76"/>
        <v>4.6156675775</v>
      </c>
      <c r="O172" s="61">
        <f t="shared" si="76"/>
        <v>4.6156675775</v>
      </c>
      <c r="P172" s="61">
        <f t="shared" si="76"/>
        <v>5.3440145150000005</v>
      </c>
      <c r="Q172" s="61">
        <f t="shared" si="76"/>
        <v>5.3440145150000005</v>
      </c>
      <c r="R172" s="61">
        <f t="shared" si="76"/>
        <v>3.257294775000001</v>
      </c>
      <c r="S172" s="61">
        <f t="shared" si="76"/>
        <v>3.059570325000001</v>
      </c>
      <c r="T172" s="61">
        <f t="shared" si="76"/>
        <v>3.1615560025000002</v>
      </c>
      <c r="U172" s="61">
        <f t="shared" si="76"/>
        <v>2.6396362824999997</v>
      </c>
      <c r="V172" s="61">
        <f t="shared" si="76"/>
        <v>4.5644235000000011</v>
      </c>
      <c r="W172" s="61">
        <f t="shared" si="76"/>
        <v>4.5644235000000011</v>
      </c>
      <c r="X172" s="61">
        <f t="shared" si="76"/>
        <v>4.7991861050000004</v>
      </c>
      <c r="Y172" s="61">
        <f t="shared" si="76"/>
        <v>4.7991861050000004</v>
      </c>
      <c r="AA172" s="64">
        <f>SUM(B172:Y172)</f>
        <v>110.86166482125003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lot2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tardive + vides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lot2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 + vides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lot2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 + vides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4.7991861050000004</v>
      </c>
      <c r="C215" s="61">
        <f t="shared" ref="C215:Y215" si="109">C172</f>
        <v>3.603636540000001</v>
      </c>
      <c r="D215" s="61">
        <f t="shared" si="109"/>
        <v>3.2486187825000004</v>
      </c>
      <c r="E215" s="61">
        <f t="shared" si="109"/>
        <v>3.0279383400000017</v>
      </c>
      <c r="F215" s="61">
        <f t="shared" si="109"/>
        <v>3.3432023625000009</v>
      </c>
      <c r="G215" s="61">
        <f t="shared" si="109"/>
        <v>3.334044420000001</v>
      </c>
      <c r="H215" s="61">
        <f t="shared" si="109"/>
        <v>7.2989631750000008</v>
      </c>
      <c r="I215" s="61">
        <f t="shared" si="109"/>
        <v>7.3130914500000008</v>
      </c>
      <c r="J215" s="61">
        <f t="shared" si="109"/>
        <v>7.5714603825000015</v>
      </c>
      <c r="K215" s="61">
        <f t="shared" si="109"/>
        <v>7.6233323337500014</v>
      </c>
      <c r="L215" s="61">
        <f t="shared" si="109"/>
        <v>4.466775075000001</v>
      </c>
      <c r="M215" s="61">
        <f t="shared" si="109"/>
        <v>4.466775075000001</v>
      </c>
      <c r="N215" s="61">
        <f t="shared" si="109"/>
        <v>4.6156675775</v>
      </c>
      <c r="O215" s="61">
        <f t="shared" si="109"/>
        <v>4.6156675775</v>
      </c>
      <c r="P215" s="61">
        <f t="shared" si="109"/>
        <v>5.3440145150000005</v>
      </c>
      <c r="Q215" s="61">
        <f t="shared" si="109"/>
        <v>5.3440145150000005</v>
      </c>
      <c r="R215" s="61">
        <f t="shared" si="109"/>
        <v>3.257294775000001</v>
      </c>
      <c r="S215" s="61">
        <f t="shared" si="109"/>
        <v>3.059570325000001</v>
      </c>
      <c r="T215" s="61">
        <f t="shared" si="109"/>
        <v>3.1615560025000002</v>
      </c>
      <c r="U215" s="61">
        <f t="shared" si="109"/>
        <v>2.6396362824999997</v>
      </c>
      <c r="V215" s="61">
        <f t="shared" si="109"/>
        <v>4.5644235000000011</v>
      </c>
      <c r="W215" s="61">
        <f t="shared" si="109"/>
        <v>4.5644235000000011</v>
      </c>
      <c r="X215" s="61">
        <f t="shared" si="109"/>
        <v>4.7991861050000004</v>
      </c>
      <c r="Y215" s="61">
        <f t="shared" si="109"/>
        <v>4.7991861050000004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110.86166482125003</v>
      </c>
      <c r="AB219" t="s">
        <v>221</v>
      </c>
    </row>
    <row r="220" spans="1:28" x14ac:dyDescent="0.25">
      <c r="AA220" s="30">
        <f>SUM(B215:Y217)</f>
        <v>110.86166482125003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Q125" sqref="Q12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3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v>5.0909090909090917</v>
      </c>
      <c r="C17" s="60">
        <v>5.0909090909090917</v>
      </c>
      <c r="D17" s="60">
        <v>5.0909090909090917</v>
      </c>
      <c r="E17" s="60">
        <v>5.7272727272727284</v>
      </c>
      <c r="F17" s="60">
        <v>5.7272727272727284</v>
      </c>
      <c r="G17" s="60">
        <v>5.7272727272727284</v>
      </c>
      <c r="H17" s="60">
        <v>5.0909090909090917</v>
      </c>
      <c r="I17" s="60">
        <v>5.0909090909090917</v>
      </c>
      <c r="J17" s="60">
        <v>5.0909090909090917</v>
      </c>
      <c r="K17" s="60">
        <v>5.0909090909090917</v>
      </c>
      <c r="L17" s="60">
        <v>4.454545454545455</v>
      </c>
      <c r="M17" s="60">
        <v>4.454545454545455</v>
      </c>
      <c r="N17" s="60">
        <v>4.454545454545455</v>
      </c>
      <c r="O17" s="60">
        <v>4.454545454545455</v>
      </c>
      <c r="P17" s="60">
        <v>3.8181818181818183</v>
      </c>
      <c r="Q17" s="60">
        <v>3.8181818181818183</v>
      </c>
      <c r="R17" s="60">
        <v>3.1818181818181817</v>
      </c>
      <c r="S17" s="60">
        <v>3.8181818181818183</v>
      </c>
      <c r="T17" s="60">
        <v>3.8181818181818183</v>
      </c>
      <c r="U17" s="60">
        <v>3.8181818181818183</v>
      </c>
      <c r="V17" s="60">
        <v>4.454545454545455</v>
      </c>
      <c r="W17" s="60">
        <v>4.454545454545455</v>
      </c>
      <c r="X17" s="60">
        <v>4.454545454545455</v>
      </c>
      <c r="Y17" s="60">
        <v>4.454545454545455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1506</v>
      </c>
      <c r="B18" s="60">
        <f>B16</f>
        <v>9.545454545454545</v>
      </c>
      <c r="C18" s="60">
        <f t="shared" ref="C18:Y18" si="0">C16</f>
        <v>9.545454545454545</v>
      </c>
      <c r="D18" s="60">
        <f t="shared" si="0"/>
        <v>9.545454545454545</v>
      </c>
      <c r="E18" s="60">
        <f t="shared" si="0"/>
        <v>9.545454545454545</v>
      </c>
      <c r="F18" s="60">
        <f t="shared" si="0"/>
        <v>9.545454545454545</v>
      </c>
      <c r="G18" s="60">
        <f t="shared" si="0"/>
        <v>9.545454545454545</v>
      </c>
      <c r="H18" s="60">
        <f t="shared" si="0"/>
        <v>9.545454545454545</v>
      </c>
      <c r="I18" s="60">
        <f t="shared" si="0"/>
        <v>9.545454545454545</v>
      </c>
      <c r="J18" s="60">
        <f t="shared" si="0"/>
        <v>9.545454545454545</v>
      </c>
      <c r="K18" s="60">
        <f t="shared" si="0"/>
        <v>9.545454545454545</v>
      </c>
      <c r="L18" s="60">
        <f t="shared" si="0"/>
        <v>9.545454545454545</v>
      </c>
      <c r="M18" s="60">
        <f t="shared" si="0"/>
        <v>9.545454545454545</v>
      </c>
      <c r="N18" s="60">
        <f t="shared" si="0"/>
        <v>9.545454545454545</v>
      </c>
      <c r="O18" s="60">
        <f t="shared" si="0"/>
        <v>9.545454545454545</v>
      </c>
      <c r="P18" s="60">
        <f t="shared" si="0"/>
        <v>9.545454545454545</v>
      </c>
      <c r="Q18" s="60">
        <f t="shared" si="0"/>
        <v>9.545454545454545</v>
      </c>
      <c r="R18" s="60">
        <f t="shared" si="0"/>
        <v>9.545454545454545</v>
      </c>
      <c r="S18" s="60">
        <f t="shared" si="0"/>
        <v>9.545454545454545</v>
      </c>
      <c r="T18" s="60">
        <f t="shared" si="0"/>
        <v>9.545454545454545</v>
      </c>
      <c r="U18" s="60">
        <f t="shared" si="0"/>
        <v>9.545454545454545</v>
      </c>
      <c r="V18" s="60">
        <f t="shared" si="0"/>
        <v>9.545454545454545</v>
      </c>
      <c r="W18" s="60">
        <f t="shared" si="0"/>
        <v>9.545454545454545</v>
      </c>
      <c r="X18" s="60">
        <f t="shared" si="0"/>
        <v>9.545454545454545</v>
      </c>
      <c r="Y18" s="60">
        <f t="shared" si="0"/>
        <v>9.545454545454545</v>
      </c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0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6.7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D18:CE27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1507</v>
      </c>
      <c r="B19" s="60">
        <v>2.5454545454545454</v>
      </c>
      <c r="C19" s="60">
        <v>2.5454545454545454</v>
      </c>
      <c r="D19" s="60">
        <v>2.5454545454545454</v>
      </c>
      <c r="E19" s="60">
        <v>2.8636363636363638</v>
      </c>
      <c r="F19" s="60">
        <v>2.8636363636363638</v>
      </c>
      <c r="G19" s="60">
        <v>2.8636363636363638</v>
      </c>
      <c r="H19" s="60">
        <v>2.5454545454545454</v>
      </c>
      <c r="I19" s="60">
        <v>2.5454545454545454</v>
      </c>
      <c r="J19" s="60">
        <v>2.5454545454545454</v>
      </c>
      <c r="K19" s="60">
        <v>2.5454545454545454</v>
      </c>
      <c r="L19" s="60">
        <v>2.2272727272727271</v>
      </c>
      <c r="M19" s="60">
        <v>2.2272727272727271</v>
      </c>
      <c r="N19" s="60">
        <v>2.2272727272727271</v>
      </c>
      <c r="O19" s="60">
        <v>2.2272727272727271</v>
      </c>
      <c r="P19" s="60">
        <v>1.9090909090909092</v>
      </c>
      <c r="Q19" s="60">
        <v>1.9090909090909092</v>
      </c>
      <c r="R19" s="60">
        <v>1.5909090909090908</v>
      </c>
      <c r="S19" s="60">
        <v>1.9090909090909092</v>
      </c>
      <c r="T19" s="60">
        <v>1.9090909090909092</v>
      </c>
      <c r="U19" s="60">
        <v>1.9090909090909092</v>
      </c>
      <c r="V19" s="60">
        <v>2.2272727272727271</v>
      </c>
      <c r="W19" s="60">
        <v>2.2272727272727271</v>
      </c>
      <c r="X19" s="60">
        <v>2.2272727272727271</v>
      </c>
      <c r="Y19" s="60">
        <v>2.2272727272727271</v>
      </c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3">VALUE(LEFT(AG19,2))</f>
        <v>16</v>
      </c>
      <c r="AI19" s="129">
        <f>Troupeau!C73</f>
        <v>2856</v>
      </c>
      <c r="AK19" s="54">
        <f t="shared" ref="AK19:AK52" si="4">IF($AH19=AK$17,ROUND($AI19/1000,1),0)</f>
        <v>0</v>
      </c>
      <c r="AL19" s="54">
        <f t="shared" ref="AL19:AM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2.9</v>
      </c>
      <c r="BA19" s="54">
        <f t="shared" si="1"/>
        <v>0</v>
      </c>
      <c r="BB19" s="54">
        <f t="shared" si="1"/>
        <v>0</v>
      </c>
      <c r="BC19" s="54">
        <f t="shared" si="1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3"/>
        <v>0</v>
      </c>
      <c r="AI20" s="129">
        <f>Troupeau!C74</f>
        <v>0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0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1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Troupeau!C75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1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Troupeau!C76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1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3"/>
        <v>0</v>
      </c>
      <c r="AI23" s="129">
        <f>Troupeau!C77</f>
        <v>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0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1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Troupeau!C78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1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Troupeau!C79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1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Troupeau!C80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1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si="2"/>
        <v>0</v>
      </c>
      <c r="CB26" s="54">
        <f t="shared" si="2"/>
        <v>0</v>
      </c>
      <c r="CC26" s="54">
        <f t="shared" si="2"/>
        <v>0</v>
      </c>
      <c r="CD26" s="54">
        <f t="shared" si="2"/>
        <v>0</v>
      </c>
      <c r="CE26" s="54">
        <f t="shared" si="2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Troupeau!C81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1"/>
        <v>0</v>
      </c>
      <c r="BD27" s="54">
        <f t="shared" si="2"/>
        <v>0</v>
      </c>
      <c r="BE27" s="54">
        <f t="shared" si="2"/>
        <v>0</v>
      </c>
      <c r="BF27" s="54">
        <f t="shared" si="2"/>
        <v>0</v>
      </c>
      <c r="BG27" s="54">
        <f t="shared" ref="BG27:CE27" si="6">IF($AH27=BG$17,ROUND($AI27/1000,1),0)</f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Allaitantes</v>
      </c>
      <c r="B28" s="60">
        <v>0.85</v>
      </c>
      <c r="C28" s="60">
        <v>0.85</v>
      </c>
      <c r="D28" s="60">
        <v>0.85</v>
      </c>
      <c r="E28" s="60">
        <v>0.85</v>
      </c>
      <c r="F28" s="60">
        <v>0.85</v>
      </c>
      <c r="G28" s="60">
        <v>0.85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0.85</v>
      </c>
      <c r="X28" s="60">
        <v>0.85</v>
      </c>
      <c r="Y28" s="60">
        <v>0.85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Troupeau!C82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1"/>
        <v>0</v>
      </c>
      <c r="BD28" s="54">
        <f t="shared" ref="BD28:CE37" si="7">IF($AH28=BD$17,ROUND($AI28/1000,1),0)</f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génisses</v>
      </c>
      <c r="B29" s="60">
        <v>0.66</v>
      </c>
      <c r="C29" s="60">
        <v>0.66</v>
      </c>
      <c r="D29" s="60">
        <v>0.66</v>
      </c>
      <c r="E29" s="60">
        <v>0.66</v>
      </c>
      <c r="F29" s="60">
        <v>0.66</v>
      </c>
      <c r="G29" s="60">
        <v>0.66</v>
      </c>
      <c r="H29" s="60">
        <v>0.66</v>
      </c>
      <c r="I29" s="60">
        <v>0.66</v>
      </c>
      <c r="J29" s="60">
        <v>0.66</v>
      </c>
      <c r="K29" s="60">
        <v>0.66</v>
      </c>
      <c r="L29" s="60">
        <v>0.66</v>
      </c>
      <c r="M29" s="60">
        <v>0.66</v>
      </c>
      <c r="N29" s="60">
        <v>0.66</v>
      </c>
      <c r="O29" s="60">
        <v>0.66</v>
      </c>
      <c r="P29" s="60">
        <v>0.66</v>
      </c>
      <c r="Q29" s="60">
        <v>0.66</v>
      </c>
      <c r="R29" s="60">
        <v>0.66</v>
      </c>
      <c r="S29" s="60">
        <v>0.66</v>
      </c>
      <c r="T29" s="60">
        <v>0.66</v>
      </c>
      <c r="U29" s="60">
        <v>0.66</v>
      </c>
      <c r="V29" s="60">
        <v>0.66</v>
      </c>
      <c r="W29" s="60">
        <v>0.66</v>
      </c>
      <c r="X29" s="60">
        <v>0.66</v>
      </c>
      <c r="Y29" s="60">
        <v>0.66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Troupeau!C83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1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7" t="str">
        <f>A$18</f>
        <v>Broutards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Troupeau!C84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1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tr">
        <f>A$19</f>
        <v>génisses &lt; 1 an</v>
      </c>
      <c r="B31" s="60">
        <v>0.4</v>
      </c>
      <c r="C31" s="60">
        <v>0.4</v>
      </c>
      <c r="D31" s="60">
        <v>0.4</v>
      </c>
      <c r="E31" s="60">
        <v>0.4</v>
      </c>
      <c r="F31" s="60">
        <v>0.4</v>
      </c>
      <c r="G31" s="60">
        <v>0.4</v>
      </c>
      <c r="H31" s="60">
        <v>0.4</v>
      </c>
      <c r="I31" s="60">
        <v>0.4</v>
      </c>
      <c r="J31" s="60">
        <v>0.4</v>
      </c>
      <c r="K31" s="60">
        <v>0.4</v>
      </c>
      <c r="L31" s="60">
        <v>0.4</v>
      </c>
      <c r="M31" s="60">
        <v>0.4</v>
      </c>
      <c r="N31" s="60">
        <v>0.4</v>
      </c>
      <c r="O31" s="60">
        <v>0.4</v>
      </c>
      <c r="P31" s="60">
        <v>0.4</v>
      </c>
      <c r="Q31" s="60">
        <v>0.4</v>
      </c>
      <c r="R31" s="60">
        <v>0.4</v>
      </c>
      <c r="S31" s="60">
        <v>0.4</v>
      </c>
      <c r="T31" s="60">
        <v>0.4</v>
      </c>
      <c r="U31" s="60">
        <v>0.4</v>
      </c>
      <c r="V31" s="60">
        <v>0.4</v>
      </c>
      <c r="W31" s="60">
        <v>0.4</v>
      </c>
      <c r="X31" s="60">
        <v>0.4</v>
      </c>
      <c r="Y31" s="60">
        <v>0.4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Troupeau!C85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1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Troupeau!C86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1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Troupeau!C87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ref="AN33:BC49" si="8">IF($AH33=BC$17,ROUND($AI33/1000,1),0)</f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Troupeau!C88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Troupeau!C89</f>
        <v>0</v>
      </c>
      <c r="AK35" s="54">
        <f t="shared" si="4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si="7"/>
        <v>0</v>
      </c>
      <c r="BV35" s="54">
        <f t="shared" si="7"/>
        <v>0</v>
      </c>
      <c r="BW35" s="54">
        <f t="shared" si="7"/>
        <v>0</v>
      </c>
      <c r="BX35" s="54">
        <f t="shared" si="7"/>
        <v>0</v>
      </c>
      <c r="BY35" s="54">
        <f t="shared" si="7"/>
        <v>0</v>
      </c>
      <c r="BZ35" s="54">
        <f t="shared" si="7"/>
        <v>0</v>
      </c>
      <c r="CA35" s="54">
        <f t="shared" si="7"/>
        <v>0</v>
      </c>
      <c r="CB35" s="54">
        <f t="shared" si="7"/>
        <v>0</v>
      </c>
      <c r="CC35" s="54">
        <f t="shared" si="7"/>
        <v>0</v>
      </c>
      <c r="CD35" s="54">
        <f t="shared" si="7"/>
        <v>0</v>
      </c>
      <c r="CE35" s="54">
        <f t="shared" si="7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Troupeau!C90</f>
        <v>0</v>
      </c>
      <c r="AK36" s="54">
        <f t="shared" si="4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7"/>
        <v>0</v>
      </c>
      <c r="BE36" s="54">
        <f t="shared" si="7"/>
        <v>0</v>
      </c>
      <c r="BF36" s="54">
        <f t="shared" si="7"/>
        <v>0</v>
      </c>
      <c r="BG36" s="54">
        <f t="shared" si="7"/>
        <v>0</v>
      </c>
      <c r="BH36" s="54">
        <f t="shared" si="7"/>
        <v>0</v>
      </c>
      <c r="BI36" s="54">
        <f t="shared" si="7"/>
        <v>0</v>
      </c>
      <c r="BJ36" s="54">
        <f t="shared" si="7"/>
        <v>0</v>
      </c>
      <c r="BK36" s="54">
        <f t="shared" si="7"/>
        <v>0</v>
      </c>
      <c r="BL36" s="54">
        <f t="shared" si="7"/>
        <v>0</v>
      </c>
      <c r="BM36" s="54">
        <f t="shared" si="7"/>
        <v>0</v>
      </c>
      <c r="BN36" s="54">
        <f t="shared" si="7"/>
        <v>0</v>
      </c>
      <c r="BO36" s="54">
        <f t="shared" si="7"/>
        <v>0</v>
      </c>
      <c r="BP36" s="54">
        <f t="shared" si="7"/>
        <v>0</v>
      </c>
      <c r="BQ36" s="54">
        <f t="shared" si="7"/>
        <v>0</v>
      </c>
      <c r="BR36" s="54">
        <f t="shared" si="7"/>
        <v>0</v>
      </c>
      <c r="BS36" s="54">
        <f t="shared" si="7"/>
        <v>0</v>
      </c>
      <c r="BT36" s="54">
        <f t="shared" si="7"/>
        <v>0</v>
      </c>
      <c r="BU36" s="54">
        <f t="shared" si="7"/>
        <v>0</v>
      </c>
      <c r="BV36" s="54">
        <f t="shared" si="7"/>
        <v>0</v>
      </c>
      <c r="BW36" s="54">
        <f t="shared" si="7"/>
        <v>0</v>
      </c>
      <c r="BX36" s="54">
        <f t="shared" si="7"/>
        <v>0</v>
      </c>
      <c r="BY36" s="54">
        <f t="shared" si="7"/>
        <v>0</v>
      </c>
      <c r="BZ36" s="54">
        <f t="shared" si="7"/>
        <v>0</v>
      </c>
      <c r="CA36" s="54">
        <f t="shared" si="7"/>
        <v>0</v>
      </c>
      <c r="CB36" s="54">
        <f t="shared" si="7"/>
        <v>0</v>
      </c>
      <c r="CC36" s="54">
        <f t="shared" si="7"/>
        <v>0</v>
      </c>
      <c r="CD36" s="54">
        <f t="shared" si="7"/>
        <v>0</v>
      </c>
      <c r="CE36" s="54">
        <f t="shared" si="7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Troupeau!C91</f>
        <v>0</v>
      </c>
      <c r="AK37" s="54">
        <f t="shared" si="4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7"/>
        <v>0</v>
      </c>
      <c r="BE37" s="54">
        <f t="shared" si="7"/>
        <v>0</v>
      </c>
      <c r="BF37" s="54">
        <f t="shared" si="7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Troupeau!C92</f>
        <v>0</v>
      </c>
      <c r="AK38" s="54">
        <f t="shared" si="4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Gestantes</v>
      </c>
      <c r="B39" s="61">
        <f t="shared" ref="B39:B48" si="14">B15*B27</f>
        <v>11.931818181818182</v>
      </c>
      <c r="C39" s="61">
        <f t="shared" ref="C39:Y48" si="15">C15*C27</f>
        <v>11.931818181818182</v>
      </c>
      <c r="D39" s="61">
        <f t="shared" si="15"/>
        <v>9.497727272727273</v>
      </c>
      <c r="E39" s="61">
        <f t="shared" si="15"/>
        <v>9.687045454545455</v>
      </c>
      <c r="F39" s="61">
        <f t="shared" si="15"/>
        <v>9.687045454545455</v>
      </c>
      <c r="G39" s="61">
        <f t="shared" si="15"/>
        <v>9.687045454545455</v>
      </c>
      <c r="H39" s="61">
        <f t="shared" si="15"/>
        <v>10.450681818181819</v>
      </c>
      <c r="I39" s="61">
        <f t="shared" si="15"/>
        <v>10.450681818181819</v>
      </c>
      <c r="J39" s="61">
        <f t="shared" si="15"/>
        <v>11.214318181818182</v>
      </c>
      <c r="K39" s="61">
        <f t="shared" si="15"/>
        <v>11.214318181818182</v>
      </c>
      <c r="L39" s="61">
        <f t="shared" si="15"/>
        <v>11.680454545454547</v>
      </c>
      <c r="M39" s="61">
        <f t="shared" si="15"/>
        <v>11.680454545454547</v>
      </c>
      <c r="N39" s="61">
        <f t="shared" si="15"/>
        <v>11.680454545454547</v>
      </c>
      <c r="O39" s="61">
        <f t="shared" si="15"/>
        <v>11.680454545454547</v>
      </c>
      <c r="P39" s="61">
        <f t="shared" si="15"/>
        <v>12.44409090909091</v>
      </c>
      <c r="Q39" s="61">
        <f t="shared" si="15"/>
        <v>12.552272727272728</v>
      </c>
      <c r="R39" s="61">
        <f t="shared" si="15"/>
        <v>13.039090909090909</v>
      </c>
      <c r="S39" s="61">
        <f t="shared" si="15"/>
        <v>13.411363636363637</v>
      </c>
      <c r="T39" s="61">
        <f t="shared" si="15"/>
        <v>11.788636363636366</v>
      </c>
      <c r="U39" s="61">
        <f t="shared" si="15"/>
        <v>11.836363636363636</v>
      </c>
      <c r="V39" s="61">
        <f t="shared" si="15"/>
        <v>11.884090909090908</v>
      </c>
      <c r="W39" s="61">
        <f t="shared" si="15"/>
        <v>12.067045454545456</v>
      </c>
      <c r="X39" s="61">
        <f t="shared" si="15"/>
        <v>11.769545454545455</v>
      </c>
      <c r="Y39" s="61">
        <f t="shared" si="15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Troupeau!C93</f>
        <v>0</v>
      </c>
      <c r="AK39" s="54">
        <f t="shared" si="4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Allaitantes</v>
      </c>
      <c r="B40" s="61">
        <f t="shared" si="14"/>
        <v>8.1136363636363633</v>
      </c>
      <c r="C40" s="61">
        <f t="shared" ref="C40:Q40" si="16">C16*C28</f>
        <v>8.1136363636363633</v>
      </c>
      <c r="D40" s="61">
        <f t="shared" si="16"/>
        <v>8.1136363636363633</v>
      </c>
      <c r="E40" s="61">
        <f t="shared" si="16"/>
        <v>8.1136363636363633</v>
      </c>
      <c r="F40" s="61">
        <f t="shared" si="16"/>
        <v>8.1136363636363633</v>
      </c>
      <c r="G40" s="61">
        <f t="shared" si="16"/>
        <v>8.1136363636363633</v>
      </c>
      <c r="H40" s="61">
        <f t="shared" si="16"/>
        <v>8.1136363636363633</v>
      </c>
      <c r="I40" s="61">
        <f t="shared" si="16"/>
        <v>8.1136363636363633</v>
      </c>
      <c r="J40" s="61">
        <f t="shared" si="16"/>
        <v>8.1136363636363633</v>
      </c>
      <c r="K40" s="61">
        <f t="shared" si="16"/>
        <v>8.1136363636363633</v>
      </c>
      <c r="L40" s="61">
        <f t="shared" si="16"/>
        <v>8.1136363636363633</v>
      </c>
      <c r="M40" s="61">
        <f t="shared" si="16"/>
        <v>8.1136363636363633</v>
      </c>
      <c r="N40" s="61">
        <f t="shared" si="16"/>
        <v>8.1136363636363633</v>
      </c>
      <c r="O40" s="61">
        <f t="shared" si="16"/>
        <v>8.1136363636363633</v>
      </c>
      <c r="P40" s="61">
        <f t="shared" si="16"/>
        <v>8.1136363636363633</v>
      </c>
      <c r="Q40" s="61">
        <f t="shared" si="16"/>
        <v>8.1136363636363633</v>
      </c>
      <c r="R40" s="61">
        <f t="shared" si="15"/>
        <v>8.1136363636363633</v>
      </c>
      <c r="S40" s="61">
        <f t="shared" si="15"/>
        <v>8.1136363636363633</v>
      </c>
      <c r="T40" s="61">
        <f t="shared" si="15"/>
        <v>8.1136363636363633</v>
      </c>
      <c r="U40" s="61">
        <f t="shared" si="15"/>
        <v>8.1136363636363633</v>
      </c>
      <c r="V40" s="61">
        <f t="shared" si="15"/>
        <v>8.1136363636363633</v>
      </c>
      <c r="W40" s="61">
        <f t="shared" si="15"/>
        <v>8.1136363636363633</v>
      </c>
      <c r="X40" s="61">
        <f t="shared" si="15"/>
        <v>8.1136363636363633</v>
      </c>
      <c r="Y40" s="61">
        <f t="shared" si="15"/>
        <v>8.1136363636363633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Troupeau!C94</f>
        <v>0</v>
      </c>
      <c r="AK40" s="54">
        <f t="shared" si="4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génisses</v>
      </c>
      <c r="B41" s="61">
        <f t="shared" si="14"/>
        <v>3.3600000000000008</v>
      </c>
      <c r="C41" s="61">
        <f t="shared" si="15"/>
        <v>3.3600000000000008</v>
      </c>
      <c r="D41" s="61">
        <f t="shared" si="15"/>
        <v>3.3600000000000008</v>
      </c>
      <c r="E41" s="61">
        <f t="shared" si="15"/>
        <v>3.7800000000000011</v>
      </c>
      <c r="F41" s="61">
        <f t="shared" si="15"/>
        <v>3.7800000000000011</v>
      </c>
      <c r="G41" s="61">
        <f t="shared" si="15"/>
        <v>3.7800000000000011</v>
      </c>
      <c r="H41" s="61">
        <f t="shared" si="15"/>
        <v>3.3600000000000008</v>
      </c>
      <c r="I41" s="61">
        <f t="shared" si="15"/>
        <v>3.3600000000000008</v>
      </c>
      <c r="J41" s="61">
        <f t="shared" si="15"/>
        <v>3.3600000000000008</v>
      </c>
      <c r="K41" s="61">
        <f t="shared" si="15"/>
        <v>3.3600000000000008</v>
      </c>
      <c r="L41" s="61">
        <f t="shared" si="15"/>
        <v>2.9400000000000004</v>
      </c>
      <c r="M41" s="61">
        <f t="shared" si="15"/>
        <v>2.9400000000000004</v>
      </c>
      <c r="N41" s="61">
        <f t="shared" si="15"/>
        <v>2.9400000000000004</v>
      </c>
      <c r="O41" s="61">
        <f t="shared" si="15"/>
        <v>2.9400000000000004</v>
      </c>
      <c r="P41" s="61">
        <f t="shared" si="15"/>
        <v>2.52</v>
      </c>
      <c r="Q41" s="61">
        <f t="shared" si="15"/>
        <v>2.52</v>
      </c>
      <c r="R41" s="61">
        <f t="shared" si="15"/>
        <v>2.1</v>
      </c>
      <c r="S41" s="61">
        <f t="shared" si="15"/>
        <v>2.52</v>
      </c>
      <c r="T41" s="61">
        <f t="shared" si="15"/>
        <v>2.52</v>
      </c>
      <c r="U41" s="61">
        <f t="shared" si="15"/>
        <v>2.52</v>
      </c>
      <c r="V41" s="61">
        <f t="shared" si="15"/>
        <v>2.9400000000000004</v>
      </c>
      <c r="W41" s="61">
        <f t="shared" si="15"/>
        <v>2.9400000000000004</v>
      </c>
      <c r="X41" s="61">
        <f t="shared" si="15"/>
        <v>2.9400000000000004</v>
      </c>
      <c r="Y41" s="61">
        <f t="shared" si="15"/>
        <v>2.9400000000000004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Troupeau!C95</f>
        <v>0</v>
      </c>
      <c r="AK41" s="54">
        <f t="shared" si="4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Broutards</v>
      </c>
      <c r="B42" s="61">
        <f t="shared" si="14"/>
        <v>1.4318181818181817</v>
      </c>
      <c r="C42" s="61">
        <f t="shared" si="15"/>
        <v>1.4318181818181817</v>
      </c>
      <c r="D42" s="61">
        <f t="shared" si="15"/>
        <v>1.4318181818181817</v>
      </c>
      <c r="E42" s="61">
        <f t="shared" si="15"/>
        <v>1.4318181818181817</v>
      </c>
      <c r="F42" s="61">
        <f t="shared" si="15"/>
        <v>1.4318181818181817</v>
      </c>
      <c r="G42" s="61">
        <f t="shared" si="15"/>
        <v>1.4318181818181817</v>
      </c>
      <c r="H42" s="61">
        <f t="shared" si="15"/>
        <v>1.4318181818181817</v>
      </c>
      <c r="I42" s="61">
        <f t="shared" si="15"/>
        <v>1.4318181818181817</v>
      </c>
      <c r="J42" s="61">
        <f t="shared" si="15"/>
        <v>1.4318181818181817</v>
      </c>
      <c r="K42" s="61">
        <f t="shared" si="15"/>
        <v>1.4318181818181817</v>
      </c>
      <c r="L42" s="61">
        <f t="shared" si="15"/>
        <v>1.4318181818181817</v>
      </c>
      <c r="M42" s="61">
        <f t="shared" si="15"/>
        <v>1.4318181818181817</v>
      </c>
      <c r="N42" s="61">
        <f t="shared" si="15"/>
        <v>1.4318181818181817</v>
      </c>
      <c r="O42" s="61">
        <f t="shared" si="15"/>
        <v>1.4318181818181817</v>
      </c>
      <c r="P42" s="61">
        <f t="shared" si="15"/>
        <v>1.4318181818181817</v>
      </c>
      <c r="Q42" s="61">
        <f t="shared" si="15"/>
        <v>1.4318181818181817</v>
      </c>
      <c r="R42" s="61">
        <f t="shared" si="15"/>
        <v>1.4318181818181817</v>
      </c>
      <c r="S42" s="61">
        <f t="shared" si="15"/>
        <v>1.4318181818181817</v>
      </c>
      <c r="T42" s="61">
        <f t="shared" si="15"/>
        <v>1.4318181818181817</v>
      </c>
      <c r="U42" s="61">
        <f t="shared" si="15"/>
        <v>1.4318181818181817</v>
      </c>
      <c r="V42" s="61">
        <f t="shared" si="15"/>
        <v>1.4318181818181817</v>
      </c>
      <c r="W42" s="61">
        <f t="shared" si="15"/>
        <v>1.4318181818181817</v>
      </c>
      <c r="X42" s="61">
        <f t="shared" si="15"/>
        <v>1.4318181818181817</v>
      </c>
      <c r="Y42" s="61">
        <f t="shared" si="15"/>
        <v>1.4318181818181817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Troupeau!C96</f>
        <v>0</v>
      </c>
      <c r="AK42" s="54">
        <f t="shared" si="4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génisses &lt; 1 an</v>
      </c>
      <c r="B43" s="61">
        <f t="shared" si="14"/>
        <v>1.0181818181818183</v>
      </c>
      <c r="C43" s="61">
        <f t="shared" si="15"/>
        <v>1.0181818181818183</v>
      </c>
      <c r="D43" s="61">
        <f t="shared" si="15"/>
        <v>1.0181818181818183</v>
      </c>
      <c r="E43" s="61">
        <f t="shared" si="15"/>
        <v>1.1454545454545455</v>
      </c>
      <c r="F43" s="61">
        <f t="shared" si="15"/>
        <v>1.1454545454545455</v>
      </c>
      <c r="G43" s="61">
        <f t="shared" si="15"/>
        <v>1.1454545454545455</v>
      </c>
      <c r="H43" s="61">
        <f t="shared" si="15"/>
        <v>1.0181818181818183</v>
      </c>
      <c r="I43" s="61">
        <f t="shared" si="15"/>
        <v>1.0181818181818183</v>
      </c>
      <c r="J43" s="61">
        <f t="shared" si="15"/>
        <v>1.0181818181818183</v>
      </c>
      <c r="K43" s="61">
        <f t="shared" si="15"/>
        <v>1.0181818181818183</v>
      </c>
      <c r="L43" s="61">
        <f t="shared" si="15"/>
        <v>0.89090909090909087</v>
      </c>
      <c r="M43" s="61">
        <f t="shared" si="15"/>
        <v>0.89090909090909087</v>
      </c>
      <c r="N43" s="61">
        <f t="shared" si="15"/>
        <v>0.89090909090909087</v>
      </c>
      <c r="O43" s="61">
        <f t="shared" si="15"/>
        <v>0.89090909090909087</v>
      </c>
      <c r="P43" s="61">
        <f t="shared" si="15"/>
        <v>0.76363636363636367</v>
      </c>
      <c r="Q43" s="61">
        <f t="shared" si="15"/>
        <v>0.76363636363636367</v>
      </c>
      <c r="R43" s="61">
        <f t="shared" si="15"/>
        <v>0.63636363636363635</v>
      </c>
      <c r="S43" s="61">
        <f t="shared" si="15"/>
        <v>0.76363636363636367</v>
      </c>
      <c r="T43" s="61">
        <f t="shared" si="15"/>
        <v>0.76363636363636367</v>
      </c>
      <c r="U43" s="61">
        <f t="shared" si="15"/>
        <v>0.76363636363636367</v>
      </c>
      <c r="V43" s="61">
        <f t="shared" si="15"/>
        <v>0.89090909090909087</v>
      </c>
      <c r="W43" s="61">
        <f t="shared" si="15"/>
        <v>0.89090909090909087</v>
      </c>
      <c r="X43" s="61">
        <f t="shared" si="15"/>
        <v>0.89090909090909087</v>
      </c>
      <c r="Y43" s="61">
        <f t="shared" si="15"/>
        <v>0.89090909090909087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Troupeau!C97</f>
        <v>0</v>
      </c>
      <c r="AK43" s="54">
        <f t="shared" si="4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Troupeau!C98</f>
        <v>0</v>
      </c>
      <c r="AK44" s="54">
        <f t="shared" si="4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Troupeau!C99</f>
        <v>0</v>
      </c>
      <c r="AK45" s="54">
        <f t="shared" si="4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Troupeau!C100</f>
        <v>0</v>
      </c>
      <c r="AK46" s="54">
        <f t="shared" si="4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Troupeau!C101</f>
        <v>0</v>
      </c>
      <c r="AK47" s="54">
        <f t="shared" si="4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Troupeau!C102</f>
        <v>0</v>
      </c>
      <c r="AK48" s="54">
        <f t="shared" si="4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25.855454545454545</v>
      </c>
      <c r="C49" s="62">
        <f t="shared" ref="C49:Y49" si="17">SUM(C39:C48)</f>
        <v>25.855454545454545</v>
      </c>
      <c r="D49" s="62">
        <f t="shared" si="17"/>
        <v>23.421363636363633</v>
      </c>
      <c r="E49" s="62">
        <f t="shared" si="17"/>
        <v>24.157954545454547</v>
      </c>
      <c r="F49" s="62">
        <f t="shared" si="17"/>
        <v>24.157954545454547</v>
      </c>
      <c r="G49" s="62">
        <f t="shared" si="17"/>
        <v>24.157954545454547</v>
      </c>
      <c r="H49" s="62">
        <f t="shared" si="17"/>
        <v>24.374318181818179</v>
      </c>
      <c r="I49" s="62">
        <f t="shared" si="17"/>
        <v>24.374318181818179</v>
      </c>
      <c r="J49" s="62">
        <f t="shared" si="17"/>
        <v>25.137954545454544</v>
      </c>
      <c r="K49" s="62">
        <f t="shared" si="17"/>
        <v>25.137954545454544</v>
      </c>
      <c r="L49" s="62">
        <f t="shared" si="17"/>
        <v>25.056818181818187</v>
      </c>
      <c r="M49" s="62">
        <f t="shared" si="17"/>
        <v>25.056818181818187</v>
      </c>
      <c r="N49" s="62">
        <f t="shared" si="17"/>
        <v>25.056818181818187</v>
      </c>
      <c r="O49" s="62">
        <f t="shared" si="17"/>
        <v>25.056818181818187</v>
      </c>
      <c r="P49" s="62">
        <f t="shared" si="17"/>
        <v>25.273181818181818</v>
      </c>
      <c r="Q49" s="62">
        <f t="shared" si="17"/>
        <v>25.381363636363638</v>
      </c>
      <c r="R49" s="62">
        <f t="shared" si="17"/>
        <v>25.320909090909094</v>
      </c>
      <c r="S49" s="62">
        <f t="shared" si="17"/>
        <v>26.240454545454547</v>
      </c>
      <c r="T49" s="62">
        <f t="shared" si="17"/>
        <v>24.617727272727279</v>
      </c>
      <c r="U49" s="62">
        <f t="shared" si="17"/>
        <v>24.665454545454544</v>
      </c>
      <c r="V49" s="62">
        <f t="shared" si="17"/>
        <v>25.260454545454543</v>
      </c>
      <c r="W49" s="62">
        <f t="shared" si="17"/>
        <v>25.443409090909093</v>
      </c>
      <c r="X49" s="62">
        <f t="shared" si="17"/>
        <v>25.145909090909093</v>
      </c>
      <c r="Y49" s="62">
        <f t="shared" si="17"/>
        <v>25.308181818181822</v>
      </c>
      <c r="Z49" s="23"/>
      <c r="AA49" s="46">
        <f>AVERAGE(B49:Y49)</f>
        <v>24.979791666666671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Troupeau!C103</f>
        <v>0</v>
      </c>
      <c r="AK49" s="54">
        <f t="shared" si="4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Troupeau!C104</f>
        <v>0</v>
      </c>
      <c r="AK50" s="54">
        <f t="shared" si="4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Troupeau!C105</f>
        <v>0</v>
      </c>
      <c r="AK51" s="54">
        <f t="shared" si="4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Troupeau!C106</f>
        <v>0</v>
      </c>
      <c r="AK52" s="54">
        <f t="shared" si="4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6.7</v>
      </c>
      <c r="AZ54" s="84">
        <f t="shared" si="19"/>
        <v>2.9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Broutards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génisses &lt; 1 an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182</v>
      </c>
      <c r="AC56" t="s">
        <v>183</v>
      </c>
      <c r="AD56" s="61">
        <f>AA73*AF5/1000</f>
        <v>29.664999999999999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20">B39*B52*B$3</f>
        <v>184.94318181818181</v>
      </c>
      <c r="C63" s="61">
        <f t="shared" si="20"/>
        <v>184.94318181818181</v>
      </c>
      <c r="D63" s="61">
        <f t="shared" si="20"/>
        <v>132.96818181818182</v>
      </c>
      <c r="E63" s="61">
        <f t="shared" si="20"/>
        <v>135.61863636363637</v>
      </c>
      <c r="F63" s="61">
        <f t="shared" si="20"/>
        <v>150.14920454545455</v>
      </c>
      <c r="G63" s="61">
        <f t="shared" si="20"/>
        <v>150.14920454545455</v>
      </c>
      <c r="H63" s="61">
        <f t="shared" si="20"/>
        <v>156.76022727272729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183.46363636363637</v>
      </c>
      <c r="V63" s="61">
        <f t="shared" si="20"/>
        <v>178.26136363636363</v>
      </c>
      <c r="W63" s="61">
        <f t="shared" si="20"/>
        <v>181.00568181818184</v>
      </c>
      <c r="X63" s="61">
        <f t="shared" si="20"/>
        <v>182.42795454545455</v>
      </c>
      <c r="Y63" s="61">
        <f t="shared" si="20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20"/>
        <v>125.76136363636363</v>
      </c>
      <c r="C64" s="61">
        <f t="shared" si="20"/>
        <v>125.76136363636363</v>
      </c>
      <c r="D64" s="61">
        <f t="shared" si="20"/>
        <v>113.59090909090909</v>
      </c>
      <c r="E64" s="61">
        <f t="shared" si="20"/>
        <v>113.59090909090909</v>
      </c>
      <c r="F64" s="61">
        <f t="shared" si="20"/>
        <v>125.76136363636363</v>
      </c>
      <c r="G64" s="61">
        <f t="shared" si="20"/>
        <v>125.76136363636363</v>
      </c>
      <c r="H64" s="61">
        <f t="shared" si="20"/>
        <v>121.70454545454545</v>
      </c>
      <c r="I64" s="61">
        <f t="shared" si="20"/>
        <v>60.852272727272727</v>
      </c>
      <c r="J64" s="61">
        <f t="shared" si="20"/>
        <v>62.880681818181813</v>
      </c>
      <c r="K64" s="61">
        <f t="shared" si="20"/>
        <v>62.880681818181813</v>
      </c>
      <c r="L64" s="61">
        <f t="shared" si="20"/>
        <v>60.852272727272727</v>
      </c>
      <c r="M64" s="61">
        <f t="shared" si="20"/>
        <v>60.852272727272727</v>
      </c>
      <c r="N64" s="61">
        <f t="shared" si="20"/>
        <v>62.880681818181813</v>
      </c>
      <c r="O64" s="61">
        <f t="shared" si="20"/>
        <v>62.880681818181813</v>
      </c>
      <c r="P64" s="61">
        <f t="shared" si="20"/>
        <v>62.880681818181813</v>
      </c>
      <c r="Q64" s="61">
        <f t="shared" si="20"/>
        <v>62.880681818181813</v>
      </c>
      <c r="R64" s="61">
        <f t="shared" si="20"/>
        <v>60.852272727272727</v>
      </c>
      <c r="S64" s="61">
        <f t="shared" si="20"/>
        <v>60.852272727272727</v>
      </c>
      <c r="T64" s="61">
        <f t="shared" si="20"/>
        <v>62.880681818181813</v>
      </c>
      <c r="U64" s="61">
        <f t="shared" si="20"/>
        <v>125.76136363636363</v>
      </c>
      <c r="V64" s="61">
        <f t="shared" si="20"/>
        <v>121.70454545454545</v>
      </c>
      <c r="W64" s="61">
        <f t="shared" si="20"/>
        <v>121.70454545454545</v>
      </c>
      <c r="X64" s="61">
        <f t="shared" si="20"/>
        <v>125.76136363636363</v>
      </c>
      <c r="Y64" s="61">
        <f t="shared" si="20"/>
        <v>125.76136363636363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20"/>
        <v>52.080000000000013</v>
      </c>
      <c r="C65" s="61">
        <f t="shared" si="20"/>
        <v>52.080000000000013</v>
      </c>
      <c r="D65" s="61">
        <f t="shared" si="20"/>
        <v>47.040000000000013</v>
      </c>
      <c r="E65" s="61">
        <f t="shared" si="20"/>
        <v>52.920000000000016</v>
      </c>
      <c r="F65" s="61">
        <f t="shared" si="20"/>
        <v>58.590000000000018</v>
      </c>
      <c r="G65" s="61">
        <f t="shared" si="20"/>
        <v>58.590000000000018</v>
      </c>
      <c r="H65" s="61">
        <f t="shared" si="20"/>
        <v>50.400000000000013</v>
      </c>
      <c r="I65" s="61">
        <f t="shared" si="20"/>
        <v>25.200000000000006</v>
      </c>
      <c r="J65" s="61">
        <f t="shared" si="20"/>
        <v>26.040000000000006</v>
      </c>
      <c r="K65" s="61">
        <f t="shared" si="20"/>
        <v>26.040000000000006</v>
      </c>
      <c r="L65" s="61">
        <f t="shared" si="20"/>
        <v>22.050000000000004</v>
      </c>
      <c r="M65" s="61">
        <f t="shared" si="20"/>
        <v>22.050000000000004</v>
      </c>
      <c r="N65" s="61">
        <f t="shared" si="20"/>
        <v>22.785000000000004</v>
      </c>
      <c r="O65" s="61">
        <f t="shared" si="20"/>
        <v>22.785000000000004</v>
      </c>
      <c r="P65" s="61">
        <f t="shared" si="20"/>
        <v>19.53</v>
      </c>
      <c r="Q65" s="61">
        <f t="shared" si="20"/>
        <v>19.53</v>
      </c>
      <c r="R65" s="61">
        <f t="shared" si="20"/>
        <v>15.75</v>
      </c>
      <c r="S65" s="61">
        <f t="shared" si="20"/>
        <v>18.899999999999999</v>
      </c>
      <c r="T65" s="61">
        <f t="shared" si="20"/>
        <v>19.53</v>
      </c>
      <c r="U65" s="61">
        <f t="shared" si="20"/>
        <v>39.06</v>
      </c>
      <c r="V65" s="61">
        <f t="shared" si="20"/>
        <v>44.100000000000009</v>
      </c>
      <c r="W65" s="61">
        <f t="shared" si="20"/>
        <v>44.100000000000009</v>
      </c>
      <c r="X65" s="61">
        <f t="shared" si="20"/>
        <v>45.570000000000007</v>
      </c>
      <c r="Y65" s="61">
        <f t="shared" si="20"/>
        <v>45.570000000000007</v>
      </c>
      <c r="Z65" s="52"/>
      <c r="AE65" s="86"/>
    </row>
    <row r="66" spans="1:33" s="5" customFormat="1" hidden="1" x14ac:dyDescent="0.25">
      <c r="A66" s="38" t="str">
        <f>A$18</f>
        <v>Broutards</v>
      </c>
      <c r="B66" s="61">
        <f>B42*B55*B$3</f>
        <v>22.193181818181817</v>
      </c>
      <c r="C66" s="61">
        <f t="shared" si="20"/>
        <v>22.193181818181817</v>
      </c>
      <c r="D66" s="61">
        <f t="shared" si="20"/>
        <v>20.045454545454543</v>
      </c>
      <c r="E66" s="61">
        <f t="shared" si="20"/>
        <v>20.045454545454543</v>
      </c>
      <c r="F66" s="61">
        <f t="shared" si="20"/>
        <v>22.193181818181817</v>
      </c>
      <c r="G66" s="61">
        <f t="shared" si="20"/>
        <v>22.193181818181817</v>
      </c>
      <c r="H66" s="61">
        <f t="shared" si="20"/>
        <v>21.477272727272727</v>
      </c>
      <c r="I66" s="61">
        <f t="shared" si="20"/>
        <v>21.477272727272727</v>
      </c>
      <c r="J66" s="61">
        <f t="shared" si="20"/>
        <v>22.193181818181817</v>
      </c>
      <c r="K66" s="61">
        <f t="shared" si="20"/>
        <v>22.193181818181817</v>
      </c>
      <c r="L66" s="61">
        <f t="shared" si="20"/>
        <v>21.477272727272727</v>
      </c>
      <c r="M66" s="61">
        <f t="shared" si="20"/>
        <v>21.477272727272727</v>
      </c>
      <c r="N66" s="61">
        <f t="shared" si="20"/>
        <v>22.193181818181817</v>
      </c>
      <c r="O66" s="61">
        <f t="shared" si="20"/>
        <v>22.193181818181817</v>
      </c>
      <c r="P66" s="61">
        <f t="shared" si="20"/>
        <v>22.193181818181817</v>
      </c>
      <c r="Q66" s="61">
        <f t="shared" si="20"/>
        <v>22.193181818181817</v>
      </c>
      <c r="R66" s="61">
        <f t="shared" si="20"/>
        <v>21.477272727272727</v>
      </c>
      <c r="S66" s="61">
        <f t="shared" si="20"/>
        <v>21.477272727272727</v>
      </c>
      <c r="T66" s="61">
        <f t="shared" si="20"/>
        <v>22.193181818181817</v>
      </c>
      <c r="U66" s="61">
        <f t="shared" si="20"/>
        <v>22.193181818181817</v>
      </c>
      <c r="V66" s="61">
        <f t="shared" si="20"/>
        <v>21.477272727272727</v>
      </c>
      <c r="W66" s="61">
        <f t="shared" si="20"/>
        <v>21.477272727272727</v>
      </c>
      <c r="X66" s="61">
        <f t="shared" si="20"/>
        <v>22.193181818181817</v>
      </c>
      <c r="Y66" s="61">
        <f t="shared" si="20"/>
        <v>22.193181818181817</v>
      </c>
      <c r="Z66" s="52"/>
      <c r="AE66" s="86"/>
    </row>
    <row r="67" spans="1:33" s="5" customFormat="1" hidden="1" x14ac:dyDescent="0.25">
      <c r="A67" s="38" t="str">
        <f>A$19</f>
        <v>génisses &lt; 1 an</v>
      </c>
      <c r="B67" s="61">
        <f>B43*B56*B$3</f>
        <v>15.781818181818183</v>
      </c>
      <c r="C67" s="61">
        <f t="shared" si="20"/>
        <v>15.781818181818183</v>
      </c>
      <c r="D67" s="61">
        <f t="shared" si="20"/>
        <v>14.254545454545456</v>
      </c>
      <c r="E67" s="61">
        <f t="shared" si="20"/>
        <v>16.036363636363639</v>
      </c>
      <c r="F67" s="61">
        <f t="shared" si="20"/>
        <v>17.754545454545454</v>
      </c>
      <c r="G67" s="61">
        <f t="shared" si="20"/>
        <v>17.754545454545454</v>
      </c>
      <c r="H67" s="61">
        <f t="shared" si="20"/>
        <v>15.272727272727275</v>
      </c>
      <c r="I67" s="61">
        <f t="shared" si="20"/>
        <v>15.272727272727275</v>
      </c>
      <c r="J67" s="61">
        <f t="shared" si="20"/>
        <v>15.781818181818183</v>
      </c>
      <c r="K67" s="61">
        <f t="shared" si="20"/>
        <v>15.781818181818183</v>
      </c>
      <c r="L67" s="61">
        <f t="shared" si="20"/>
        <v>13.363636363636363</v>
      </c>
      <c r="M67" s="61">
        <f t="shared" si="20"/>
        <v>13.363636363636363</v>
      </c>
      <c r="N67" s="61">
        <f t="shared" si="20"/>
        <v>13.809090909090909</v>
      </c>
      <c r="O67" s="61">
        <f t="shared" si="20"/>
        <v>13.809090909090909</v>
      </c>
      <c r="P67" s="61">
        <f t="shared" si="20"/>
        <v>11.836363636363636</v>
      </c>
      <c r="Q67" s="61">
        <f t="shared" si="20"/>
        <v>11.836363636363636</v>
      </c>
      <c r="R67" s="61">
        <f t="shared" si="20"/>
        <v>9.545454545454545</v>
      </c>
      <c r="S67" s="61">
        <f t="shared" si="20"/>
        <v>11.454545454545455</v>
      </c>
      <c r="T67" s="61">
        <f t="shared" si="20"/>
        <v>11.836363636363636</v>
      </c>
      <c r="U67" s="61">
        <f t="shared" si="20"/>
        <v>11.836363636363636</v>
      </c>
      <c r="V67" s="61">
        <f t="shared" si="20"/>
        <v>13.363636363636363</v>
      </c>
      <c r="W67" s="61">
        <f t="shared" si="20"/>
        <v>13.363636363636363</v>
      </c>
      <c r="X67" s="61">
        <f t="shared" si="20"/>
        <v>13.809090909090909</v>
      </c>
      <c r="Y67" s="61">
        <f t="shared" si="20"/>
        <v>13.809090909090909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401</v>
      </c>
      <c r="C73" s="64">
        <f t="shared" ref="C73:Y73" si="21">ROUND(SUM(C63:C72),0)</f>
        <v>401</v>
      </c>
      <c r="D73" s="64">
        <f t="shared" si="21"/>
        <v>328</v>
      </c>
      <c r="E73" s="64">
        <f t="shared" si="21"/>
        <v>338</v>
      </c>
      <c r="F73" s="64">
        <f t="shared" si="21"/>
        <v>374</v>
      </c>
      <c r="G73" s="64">
        <f t="shared" si="21"/>
        <v>374</v>
      </c>
      <c r="H73" s="64">
        <f t="shared" si="21"/>
        <v>366</v>
      </c>
      <c r="I73" s="64">
        <f t="shared" si="21"/>
        <v>123</v>
      </c>
      <c r="J73" s="64">
        <f t="shared" si="21"/>
        <v>127</v>
      </c>
      <c r="K73" s="64">
        <f t="shared" si="21"/>
        <v>127</v>
      </c>
      <c r="L73" s="64">
        <f t="shared" si="21"/>
        <v>118</v>
      </c>
      <c r="M73" s="64">
        <f t="shared" si="21"/>
        <v>118</v>
      </c>
      <c r="N73" s="64">
        <f t="shared" si="21"/>
        <v>122</v>
      </c>
      <c r="O73" s="64">
        <f t="shared" si="21"/>
        <v>122</v>
      </c>
      <c r="P73" s="64">
        <f t="shared" si="21"/>
        <v>116</v>
      </c>
      <c r="Q73" s="64">
        <f t="shared" si="21"/>
        <v>116</v>
      </c>
      <c r="R73" s="64">
        <f t="shared" si="21"/>
        <v>108</v>
      </c>
      <c r="S73" s="64">
        <f t="shared" si="21"/>
        <v>113</v>
      </c>
      <c r="T73" s="64">
        <f t="shared" si="21"/>
        <v>116</v>
      </c>
      <c r="U73" s="64">
        <f t="shared" si="21"/>
        <v>382</v>
      </c>
      <c r="V73" s="64">
        <f t="shared" si="21"/>
        <v>379</v>
      </c>
      <c r="W73" s="64">
        <f t="shared" si="21"/>
        <v>382</v>
      </c>
      <c r="X73" s="64">
        <f t="shared" si="21"/>
        <v>390</v>
      </c>
      <c r="Y73" s="64">
        <f t="shared" si="21"/>
        <v>392</v>
      </c>
      <c r="Z73" s="52"/>
      <c r="AA73" s="56">
        <f>ROUND(SUM(B73:Y73),0)</f>
        <v>5933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>
        <v>2</v>
      </c>
      <c r="J76" s="60">
        <v>2</v>
      </c>
      <c r="K76" s="60">
        <v>3</v>
      </c>
      <c r="L76" s="60">
        <v>2</v>
      </c>
      <c r="M76" s="60">
        <v>2</v>
      </c>
      <c r="N76" s="60">
        <v>2</v>
      </c>
      <c r="O76" s="60">
        <v>2</v>
      </c>
      <c r="P76" s="60">
        <v>3</v>
      </c>
      <c r="Q76" s="60">
        <v>2</v>
      </c>
      <c r="R76" s="60">
        <v>2</v>
      </c>
      <c r="S76" s="60">
        <v>3</v>
      </c>
      <c r="T76" s="60">
        <v>2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440</v>
      </c>
      <c r="AC77">
        <f>COUNTIF($B$76:$Y$85,"&gt;0")/2</f>
        <v>18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Broutards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4.5</v>
      </c>
      <c r="AG79" s="5"/>
    </row>
    <row r="80" spans="1:33" x14ac:dyDescent="0.25">
      <c r="A80" s="128" t="str">
        <f>A$19</f>
        <v>génisses &lt; 1 an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Broutards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génisses &lt; 1 an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2">VLOOKUP(C88,$AD$6:$AF$10,3)</f>
        <v>10.58</v>
      </c>
      <c r="D99" s="61">
        <f t="shared" si="22"/>
        <v>10.58</v>
      </c>
      <c r="E99" s="61">
        <f t="shared" si="22"/>
        <v>10.58</v>
      </c>
      <c r="F99" s="61">
        <f t="shared" si="22"/>
        <v>10.58</v>
      </c>
      <c r="G99" s="61">
        <f t="shared" si="22"/>
        <v>10.58</v>
      </c>
      <c r="H99" s="61">
        <f t="shared" si="22"/>
        <v>10.58</v>
      </c>
      <c r="I99" s="61">
        <f t="shared" si="22"/>
        <v>12.25</v>
      </c>
      <c r="J99" s="61">
        <f t="shared" si="22"/>
        <v>12.25</v>
      </c>
      <c r="K99" s="61">
        <f t="shared" si="22"/>
        <v>12.25</v>
      </c>
      <c r="L99" s="61">
        <f t="shared" si="22"/>
        <v>12.25</v>
      </c>
      <c r="M99" s="61">
        <f t="shared" si="22"/>
        <v>12.25</v>
      </c>
      <c r="N99" s="61">
        <f t="shared" si="22"/>
        <v>12.25</v>
      </c>
      <c r="O99" s="61">
        <f t="shared" si="22"/>
        <v>12.25</v>
      </c>
      <c r="P99" s="61">
        <f t="shared" si="22"/>
        <v>12.25</v>
      </c>
      <c r="Q99" s="61">
        <f t="shared" si="22"/>
        <v>12.25</v>
      </c>
      <c r="R99" s="61">
        <f t="shared" si="22"/>
        <v>12.25</v>
      </c>
      <c r="S99" s="61">
        <f t="shared" si="22"/>
        <v>12.25</v>
      </c>
      <c r="T99" s="61">
        <f t="shared" si="22"/>
        <v>12.25</v>
      </c>
      <c r="U99" s="61">
        <f t="shared" si="22"/>
        <v>10.58</v>
      </c>
      <c r="V99" s="61">
        <f t="shared" si="22"/>
        <v>10.58</v>
      </c>
      <c r="W99" s="61">
        <f t="shared" si="22"/>
        <v>10.58</v>
      </c>
      <c r="X99" s="61">
        <f t="shared" si="22"/>
        <v>10.58</v>
      </c>
      <c r="Y99" s="61">
        <f t="shared" si="22"/>
        <v>10.58</v>
      </c>
    </row>
    <row r="100" spans="1:33" x14ac:dyDescent="0.25">
      <c r="A100" s="128" t="str">
        <f>A$16</f>
        <v>Allaitantes</v>
      </c>
      <c r="B100" s="61">
        <f t="shared" ref="B100:Y100" si="23">VLOOKUP(B89,$AD$6:$AF$10,3)</f>
        <v>10.58</v>
      </c>
      <c r="C100" s="61">
        <f t="shared" si="23"/>
        <v>10.58</v>
      </c>
      <c r="D100" s="61">
        <f t="shared" si="23"/>
        <v>10.58</v>
      </c>
      <c r="E100" s="61">
        <f t="shared" si="23"/>
        <v>10.58</v>
      </c>
      <c r="F100" s="61">
        <f t="shared" si="23"/>
        <v>10.58</v>
      </c>
      <c r="G100" s="61">
        <f t="shared" si="23"/>
        <v>10.58</v>
      </c>
      <c r="H100" s="61">
        <f t="shared" si="23"/>
        <v>10.58</v>
      </c>
      <c r="I100" s="61">
        <f t="shared" si="23"/>
        <v>14</v>
      </c>
      <c r="J100" s="61">
        <f t="shared" si="23"/>
        <v>14</v>
      </c>
      <c r="K100" s="61">
        <f t="shared" si="23"/>
        <v>14</v>
      </c>
      <c r="L100" s="61">
        <f t="shared" si="23"/>
        <v>14</v>
      </c>
      <c r="M100" s="61">
        <f t="shared" si="23"/>
        <v>14</v>
      </c>
      <c r="N100" s="61">
        <f t="shared" si="23"/>
        <v>14</v>
      </c>
      <c r="O100" s="61">
        <f t="shared" si="23"/>
        <v>14</v>
      </c>
      <c r="P100" s="61">
        <f t="shared" si="23"/>
        <v>14</v>
      </c>
      <c r="Q100" s="61">
        <f t="shared" si="23"/>
        <v>14</v>
      </c>
      <c r="R100" s="61">
        <f t="shared" si="23"/>
        <v>14</v>
      </c>
      <c r="S100" s="61">
        <f t="shared" si="23"/>
        <v>14</v>
      </c>
      <c r="T100" s="61">
        <f t="shared" si="23"/>
        <v>14</v>
      </c>
      <c r="U100" s="61">
        <f t="shared" si="23"/>
        <v>10.58</v>
      </c>
      <c r="V100" s="61">
        <f t="shared" si="23"/>
        <v>10.58</v>
      </c>
      <c r="W100" s="61">
        <f t="shared" si="23"/>
        <v>10.58</v>
      </c>
      <c r="X100" s="61">
        <f t="shared" si="23"/>
        <v>10.58</v>
      </c>
      <c r="Y100" s="61">
        <f t="shared" si="23"/>
        <v>10.58</v>
      </c>
    </row>
    <row r="101" spans="1:33" x14ac:dyDescent="0.25">
      <c r="A101" s="128" t="str">
        <f>A$17</f>
        <v>génisses</v>
      </c>
      <c r="B101" s="61">
        <f t="shared" ref="B101:Y101" si="24">VLOOKUP(B90,$AD$6:$AF$10,3)</f>
        <v>10.58</v>
      </c>
      <c r="C101" s="61">
        <f t="shared" si="24"/>
        <v>10.58</v>
      </c>
      <c r="D101" s="61">
        <f t="shared" si="24"/>
        <v>10.58</v>
      </c>
      <c r="E101" s="61">
        <f t="shared" si="24"/>
        <v>10.58</v>
      </c>
      <c r="F101" s="61">
        <f t="shared" si="24"/>
        <v>10.58</v>
      </c>
      <c r="G101" s="61">
        <f t="shared" si="24"/>
        <v>10.58</v>
      </c>
      <c r="H101" s="61">
        <f t="shared" si="24"/>
        <v>10.58</v>
      </c>
      <c r="I101" s="61">
        <f t="shared" si="24"/>
        <v>12.25</v>
      </c>
      <c r="J101" s="61">
        <f t="shared" si="24"/>
        <v>12.25</v>
      </c>
      <c r="K101" s="61">
        <f t="shared" si="24"/>
        <v>12.25</v>
      </c>
      <c r="L101" s="61">
        <f t="shared" si="24"/>
        <v>12.25</v>
      </c>
      <c r="M101" s="61">
        <f t="shared" si="24"/>
        <v>12.25</v>
      </c>
      <c r="N101" s="61">
        <f t="shared" si="24"/>
        <v>12.25</v>
      </c>
      <c r="O101" s="61">
        <f t="shared" si="24"/>
        <v>12.25</v>
      </c>
      <c r="P101" s="61">
        <f t="shared" si="24"/>
        <v>12.25</v>
      </c>
      <c r="Q101" s="61">
        <f t="shared" si="24"/>
        <v>12.25</v>
      </c>
      <c r="R101" s="61">
        <f t="shared" si="24"/>
        <v>12.25</v>
      </c>
      <c r="S101" s="61">
        <f t="shared" si="24"/>
        <v>12.25</v>
      </c>
      <c r="T101" s="61">
        <f t="shared" si="24"/>
        <v>12.25</v>
      </c>
      <c r="U101" s="61">
        <f t="shared" si="24"/>
        <v>10.58</v>
      </c>
      <c r="V101" s="61">
        <f t="shared" si="24"/>
        <v>10.58</v>
      </c>
      <c r="W101" s="61">
        <f t="shared" si="24"/>
        <v>10.58</v>
      </c>
      <c r="X101" s="61">
        <f t="shared" si="24"/>
        <v>10.58</v>
      </c>
      <c r="Y101" s="61">
        <f t="shared" si="24"/>
        <v>10.58</v>
      </c>
    </row>
    <row r="102" spans="1:33" x14ac:dyDescent="0.25">
      <c r="A102" s="127" t="str">
        <f>A$18</f>
        <v>Broutards</v>
      </c>
      <c r="B102" s="61">
        <f t="shared" ref="B102:Y102" si="25">VLOOKUP(B91,$AD$6:$AF$10,3)</f>
        <v>12.25</v>
      </c>
      <c r="C102" s="61">
        <f t="shared" si="25"/>
        <v>12.25</v>
      </c>
      <c r="D102" s="61">
        <f t="shared" si="25"/>
        <v>12.25</v>
      </c>
      <c r="E102" s="61">
        <f t="shared" si="25"/>
        <v>12.25</v>
      </c>
      <c r="F102" s="61">
        <f t="shared" si="25"/>
        <v>12.25</v>
      </c>
      <c r="G102" s="61">
        <f t="shared" si="25"/>
        <v>12.25</v>
      </c>
      <c r="H102" s="61">
        <f t="shared" si="25"/>
        <v>12.25</v>
      </c>
      <c r="I102" s="61">
        <f t="shared" si="25"/>
        <v>12.25</v>
      </c>
      <c r="J102" s="61">
        <f t="shared" si="25"/>
        <v>12.25</v>
      </c>
      <c r="K102" s="61">
        <f t="shared" si="25"/>
        <v>12.25</v>
      </c>
      <c r="L102" s="61">
        <f t="shared" si="25"/>
        <v>12.25</v>
      </c>
      <c r="M102" s="61">
        <f t="shared" si="25"/>
        <v>12.25</v>
      </c>
      <c r="N102" s="61">
        <f t="shared" si="25"/>
        <v>12.25</v>
      </c>
      <c r="O102" s="61">
        <f t="shared" si="25"/>
        <v>12.25</v>
      </c>
      <c r="P102" s="61">
        <f t="shared" si="25"/>
        <v>12.25</v>
      </c>
      <c r="Q102" s="61">
        <f t="shared" si="25"/>
        <v>12.25</v>
      </c>
      <c r="R102" s="61">
        <f t="shared" si="25"/>
        <v>12.25</v>
      </c>
      <c r="S102" s="61">
        <f t="shared" si="25"/>
        <v>12.25</v>
      </c>
      <c r="T102" s="61">
        <f t="shared" si="25"/>
        <v>12.25</v>
      </c>
      <c r="U102" s="61">
        <f t="shared" si="25"/>
        <v>12.25</v>
      </c>
      <c r="V102" s="61">
        <f t="shared" si="25"/>
        <v>12.25</v>
      </c>
      <c r="W102" s="61">
        <f t="shared" si="25"/>
        <v>12.25</v>
      </c>
      <c r="X102" s="61">
        <f t="shared" si="25"/>
        <v>12.25</v>
      </c>
      <c r="Y102" s="61">
        <f t="shared" si="25"/>
        <v>12.25</v>
      </c>
    </row>
    <row r="103" spans="1:33" x14ac:dyDescent="0.25">
      <c r="A103" s="128" t="str">
        <f>A$19</f>
        <v>génisses &lt; 1 an</v>
      </c>
      <c r="B103" s="61">
        <f t="shared" ref="B103:Y103" si="26">VLOOKUP(B92,$AD$6:$AF$10,3)</f>
        <v>12.25</v>
      </c>
      <c r="C103" s="61">
        <f t="shared" si="26"/>
        <v>12.25</v>
      </c>
      <c r="D103" s="61">
        <f t="shared" si="26"/>
        <v>12.25</v>
      </c>
      <c r="E103" s="61">
        <f t="shared" si="26"/>
        <v>12.25</v>
      </c>
      <c r="F103" s="61">
        <f t="shared" si="26"/>
        <v>12.25</v>
      </c>
      <c r="G103" s="61">
        <f t="shared" si="26"/>
        <v>12.25</v>
      </c>
      <c r="H103" s="61">
        <f t="shared" si="26"/>
        <v>12.25</v>
      </c>
      <c r="I103" s="61">
        <f t="shared" si="26"/>
        <v>12.25</v>
      </c>
      <c r="J103" s="61">
        <f t="shared" si="26"/>
        <v>12.25</v>
      </c>
      <c r="K103" s="61">
        <f t="shared" si="26"/>
        <v>12.25</v>
      </c>
      <c r="L103" s="61">
        <f t="shared" si="26"/>
        <v>12.25</v>
      </c>
      <c r="M103" s="61">
        <f t="shared" si="26"/>
        <v>12.25</v>
      </c>
      <c r="N103" s="61">
        <f t="shared" si="26"/>
        <v>12.25</v>
      </c>
      <c r="O103" s="61">
        <f t="shared" si="26"/>
        <v>12.25</v>
      </c>
      <c r="P103" s="61">
        <f t="shared" si="26"/>
        <v>12.25</v>
      </c>
      <c r="Q103" s="61">
        <f t="shared" si="26"/>
        <v>12.25</v>
      </c>
      <c r="R103" s="61">
        <f t="shared" si="26"/>
        <v>12.25</v>
      </c>
      <c r="S103" s="61">
        <f t="shared" si="26"/>
        <v>12.25</v>
      </c>
      <c r="T103" s="61">
        <f t="shared" si="26"/>
        <v>12.25</v>
      </c>
      <c r="U103" s="61">
        <f t="shared" si="26"/>
        <v>12.25</v>
      </c>
      <c r="V103" s="61">
        <f t="shared" si="26"/>
        <v>12.25</v>
      </c>
      <c r="W103" s="61">
        <f t="shared" si="26"/>
        <v>12.25</v>
      </c>
      <c r="X103" s="61">
        <f t="shared" si="26"/>
        <v>12.25</v>
      </c>
      <c r="Y103" s="61">
        <f t="shared" si="26"/>
        <v>12.25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12.25</v>
      </c>
      <c r="C104" s="61">
        <f t="shared" si="27"/>
        <v>12.25</v>
      </c>
      <c r="D104" s="61">
        <f t="shared" si="27"/>
        <v>12.25</v>
      </c>
      <c r="E104" s="61">
        <f t="shared" si="27"/>
        <v>12.25</v>
      </c>
      <c r="F104" s="61">
        <f t="shared" si="27"/>
        <v>12.25</v>
      </c>
      <c r="G104" s="61">
        <f t="shared" si="27"/>
        <v>12.25</v>
      </c>
      <c r="H104" s="61">
        <f t="shared" si="27"/>
        <v>12.25</v>
      </c>
      <c r="I104" s="61">
        <f t="shared" si="27"/>
        <v>12.25</v>
      </c>
      <c r="J104" s="61">
        <f t="shared" si="27"/>
        <v>12.25</v>
      </c>
      <c r="K104" s="61">
        <f t="shared" si="27"/>
        <v>12.25</v>
      </c>
      <c r="L104" s="61">
        <f t="shared" si="27"/>
        <v>12.25</v>
      </c>
      <c r="M104" s="61">
        <f t="shared" si="27"/>
        <v>12.25</v>
      </c>
      <c r="N104" s="61">
        <f t="shared" si="27"/>
        <v>12.25</v>
      </c>
      <c r="O104" s="61">
        <f t="shared" si="27"/>
        <v>12.25</v>
      </c>
      <c r="P104" s="61">
        <f t="shared" si="27"/>
        <v>12.25</v>
      </c>
      <c r="Q104" s="61">
        <f t="shared" si="27"/>
        <v>12.25</v>
      </c>
      <c r="R104" s="61">
        <f t="shared" si="27"/>
        <v>12.25</v>
      </c>
      <c r="S104" s="61">
        <f t="shared" si="27"/>
        <v>12.25</v>
      </c>
      <c r="T104" s="61">
        <f t="shared" si="27"/>
        <v>12.25</v>
      </c>
      <c r="U104" s="61">
        <f t="shared" si="27"/>
        <v>12.25</v>
      </c>
      <c r="V104" s="61">
        <f t="shared" si="27"/>
        <v>12.25</v>
      </c>
      <c r="W104" s="61">
        <f t="shared" si="27"/>
        <v>12.25</v>
      </c>
      <c r="X104" s="61">
        <f t="shared" si="27"/>
        <v>12.25</v>
      </c>
      <c r="Y104" s="61">
        <f t="shared" si="27"/>
        <v>12.25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12.25</v>
      </c>
      <c r="C105" s="61">
        <f t="shared" si="28"/>
        <v>12.25</v>
      </c>
      <c r="D105" s="61">
        <f t="shared" si="28"/>
        <v>12.25</v>
      </c>
      <c r="E105" s="61">
        <f t="shared" si="28"/>
        <v>12.25</v>
      </c>
      <c r="F105" s="61">
        <f t="shared" si="28"/>
        <v>12.25</v>
      </c>
      <c r="G105" s="61">
        <f t="shared" si="28"/>
        <v>12.25</v>
      </c>
      <c r="H105" s="61">
        <f t="shared" si="28"/>
        <v>12.25</v>
      </c>
      <c r="I105" s="61">
        <f t="shared" si="28"/>
        <v>12.25</v>
      </c>
      <c r="J105" s="61">
        <f t="shared" si="28"/>
        <v>12.25</v>
      </c>
      <c r="K105" s="61">
        <f t="shared" si="28"/>
        <v>12.25</v>
      </c>
      <c r="L105" s="61">
        <f t="shared" si="28"/>
        <v>12.25</v>
      </c>
      <c r="M105" s="61">
        <f t="shared" si="28"/>
        <v>12.25</v>
      </c>
      <c r="N105" s="61">
        <f t="shared" si="28"/>
        <v>12.25</v>
      </c>
      <c r="O105" s="61">
        <f t="shared" si="28"/>
        <v>12.25</v>
      </c>
      <c r="P105" s="61">
        <f t="shared" si="28"/>
        <v>12.25</v>
      </c>
      <c r="Q105" s="61">
        <f t="shared" si="28"/>
        <v>12.25</v>
      </c>
      <c r="R105" s="61">
        <f t="shared" si="28"/>
        <v>12.25</v>
      </c>
      <c r="S105" s="61">
        <f t="shared" si="28"/>
        <v>12.25</v>
      </c>
      <c r="T105" s="61">
        <f t="shared" si="28"/>
        <v>12.25</v>
      </c>
      <c r="U105" s="61">
        <f t="shared" si="28"/>
        <v>12.25</v>
      </c>
      <c r="V105" s="61">
        <f t="shared" si="28"/>
        <v>12.25</v>
      </c>
      <c r="W105" s="61">
        <f t="shared" si="28"/>
        <v>12.25</v>
      </c>
      <c r="X105" s="61">
        <f t="shared" si="28"/>
        <v>12.25</v>
      </c>
      <c r="Y105" s="61">
        <f t="shared" si="28"/>
        <v>12.25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12.25</v>
      </c>
      <c r="C106" s="61">
        <f t="shared" si="29"/>
        <v>12.25</v>
      </c>
      <c r="D106" s="61">
        <f t="shared" si="29"/>
        <v>12.25</v>
      </c>
      <c r="E106" s="61">
        <f t="shared" si="29"/>
        <v>12.25</v>
      </c>
      <c r="F106" s="61">
        <f t="shared" si="29"/>
        <v>12.25</v>
      </c>
      <c r="G106" s="61">
        <f t="shared" si="29"/>
        <v>12.25</v>
      </c>
      <c r="H106" s="61">
        <f t="shared" si="29"/>
        <v>12.25</v>
      </c>
      <c r="I106" s="61">
        <f t="shared" si="29"/>
        <v>12.25</v>
      </c>
      <c r="J106" s="61">
        <f t="shared" si="29"/>
        <v>12.25</v>
      </c>
      <c r="K106" s="61">
        <f t="shared" si="29"/>
        <v>12.25</v>
      </c>
      <c r="L106" s="61">
        <f t="shared" si="29"/>
        <v>12.25</v>
      </c>
      <c r="M106" s="61">
        <f t="shared" si="29"/>
        <v>12.25</v>
      </c>
      <c r="N106" s="61">
        <f t="shared" si="29"/>
        <v>12.25</v>
      </c>
      <c r="O106" s="61">
        <f t="shared" si="29"/>
        <v>12.25</v>
      </c>
      <c r="P106" s="61">
        <f t="shared" si="29"/>
        <v>12.25</v>
      </c>
      <c r="Q106" s="61">
        <f t="shared" si="29"/>
        <v>12.25</v>
      </c>
      <c r="R106" s="61">
        <f t="shared" si="29"/>
        <v>12.25</v>
      </c>
      <c r="S106" s="61">
        <f t="shared" si="29"/>
        <v>12.25</v>
      </c>
      <c r="T106" s="61">
        <f t="shared" si="29"/>
        <v>12.25</v>
      </c>
      <c r="U106" s="61">
        <f t="shared" si="29"/>
        <v>12.25</v>
      </c>
      <c r="V106" s="61">
        <f t="shared" si="29"/>
        <v>12.25</v>
      </c>
      <c r="W106" s="61">
        <f t="shared" si="29"/>
        <v>12.25</v>
      </c>
      <c r="X106" s="61">
        <f t="shared" si="29"/>
        <v>12.25</v>
      </c>
      <c r="Y106" s="61">
        <f t="shared" si="29"/>
        <v>12.25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12.25</v>
      </c>
      <c r="C107" s="61">
        <f t="shared" si="30"/>
        <v>12.25</v>
      </c>
      <c r="D107" s="61">
        <f t="shared" si="30"/>
        <v>12.25</v>
      </c>
      <c r="E107" s="61">
        <f t="shared" si="30"/>
        <v>12.25</v>
      </c>
      <c r="F107" s="61">
        <f t="shared" si="30"/>
        <v>12.25</v>
      </c>
      <c r="G107" s="61">
        <f t="shared" si="30"/>
        <v>12.25</v>
      </c>
      <c r="H107" s="61">
        <f t="shared" si="30"/>
        <v>12.25</v>
      </c>
      <c r="I107" s="61">
        <f t="shared" si="30"/>
        <v>12.25</v>
      </c>
      <c r="J107" s="61">
        <f t="shared" si="30"/>
        <v>12.25</v>
      </c>
      <c r="K107" s="61">
        <f t="shared" si="30"/>
        <v>12.25</v>
      </c>
      <c r="L107" s="61">
        <f t="shared" si="30"/>
        <v>12.25</v>
      </c>
      <c r="M107" s="61">
        <f t="shared" si="30"/>
        <v>12.25</v>
      </c>
      <c r="N107" s="61">
        <f t="shared" si="30"/>
        <v>12.25</v>
      </c>
      <c r="O107" s="61">
        <f t="shared" si="30"/>
        <v>12.25</v>
      </c>
      <c r="P107" s="61">
        <f t="shared" si="30"/>
        <v>12.25</v>
      </c>
      <c r="Q107" s="61">
        <f t="shared" si="30"/>
        <v>12.25</v>
      </c>
      <c r="R107" s="61">
        <f t="shared" si="30"/>
        <v>12.25</v>
      </c>
      <c r="S107" s="61">
        <f t="shared" si="30"/>
        <v>12.25</v>
      </c>
      <c r="T107" s="61">
        <f t="shared" si="30"/>
        <v>12.25</v>
      </c>
      <c r="U107" s="61">
        <f t="shared" si="30"/>
        <v>12.25</v>
      </c>
      <c r="V107" s="61">
        <f t="shared" si="30"/>
        <v>12.25</v>
      </c>
      <c r="W107" s="61">
        <f t="shared" si="30"/>
        <v>12.25</v>
      </c>
      <c r="X107" s="61">
        <f t="shared" si="30"/>
        <v>12.25</v>
      </c>
      <c r="Y107" s="61">
        <f t="shared" si="30"/>
        <v>12.25</v>
      </c>
    </row>
    <row r="108" spans="1:33" x14ac:dyDescent="0.25">
      <c r="A108" s="128" t="str">
        <f>A$24</f>
        <v>lot10</v>
      </c>
      <c r="B108" s="61">
        <f t="shared" ref="B108:X108" si="31">VLOOKUP(B97,$AD$6:$AF$10,3)</f>
        <v>12.25</v>
      </c>
      <c r="C108" s="61">
        <f t="shared" si="31"/>
        <v>12.25</v>
      </c>
      <c r="D108" s="61">
        <f t="shared" si="31"/>
        <v>12.25</v>
      </c>
      <c r="E108" s="61">
        <f t="shared" si="31"/>
        <v>12.25</v>
      </c>
      <c r="F108" s="61">
        <f t="shared" si="31"/>
        <v>12.25</v>
      </c>
      <c r="G108" s="61">
        <f t="shared" si="31"/>
        <v>12.25</v>
      </c>
      <c r="H108" s="61">
        <f t="shared" si="31"/>
        <v>12.25</v>
      </c>
      <c r="I108" s="61">
        <f t="shared" si="31"/>
        <v>12.25</v>
      </c>
      <c r="J108" s="61">
        <f t="shared" si="31"/>
        <v>12.25</v>
      </c>
      <c r="K108" s="61">
        <f t="shared" si="31"/>
        <v>12.25</v>
      </c>
      <c r="L108" s="61">
        <f t="shared" si="31"/>
        <v>12.25</v>
      </c>
      <c r="M108" s="61">
        <f t="shared" si="31"/>
        <v>12.25</v>
      </c>
      <c r="N108" s="61">
        <f t="shared" si="31"/>
        <v>12.25</v>
      </c>
      <c r="O108" s="61">
        <f t="shared" si="31"/>
        <v>12.25</v>
      </c>
      <c r="P108" s="61">
        <f t="shared" si="31"/>
        <v>12.25</v>
      </c>
      <c r="Q108" s="61">
        <f t="shared" si="31"/>
        <v>12.25</v>
      </c>
      <c r="R108" s="61">
        <f t="shared" si="31"/>
        <v>12.25</v>
      </c>
      <c r="S108" s="61">
        <f t="shared" si="31"/>
        <v>12.25</v>
      </c>
      <c r="T108" s="61">
        <f t="shared" si="31"/>
        <v>12.25</v>
      </c>
      <c r="U108" s="61">
        <f t="shared" si="31"/>
        <v>12.25</v>
      </c>
      <c r="V108" s="61">
        <f t="shared" si="31"/>
        <v>12.25</v>
      </c>
      <c r="W108" s="61">
        <f t="shared" si="31"/>
        <v>12.25</v>
      </c>
      <c r="X108" s="61">
        <f t="shared" si="31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2">(B39*B$3*B99)/1000</f>
        <v>1.9566988636363636</v>
      </c>
      <c r="C110" s="61">
        <f t="shared" si="32"/>
        <v>1.9566988636363636</v>
      </c>
      <c r="D110" s="61">
        <f t="shared" si="32"/>
        <v>1.4068033636363637</v>
      </c>
      <c r="E110" s="61">
        <f t="shared" si="32"/>
        <v>1.4348451727272726</v>
      </c>
      <c r="F110" s="61">
        <f t="shared" si="32"/>
        <v>1.588578584090909</v>
      </c>
      <c r="G110" s="61">
        <f t="shared" si="32"/>
        <v>1.588578584090909</v>
      </c>
      <c r="H110" s="61">
        <f t="shared" si="32"/>
        <v>1.6585232045454548</v>
      </c>
      <c r="I110" s="61">
        <f t="shared" si="32"/>
        <v>1.9203127840909093</v>
      </c>
      <c r="J110" s="61">
        <f t="shared" si="32"/>
        <v>2.1293186647727276</v>
      </c>
      <c r="K110" s="61">
        <f t="shared" si="32"/>
        <v>2.1293186647727276</v>
      </c>
      <c r="L110" s="61">
        <f t="shared" si="32"/>
        <v>2.146283522727273</v>
      </c>
      <c r="M110" s="61">
        <f t="shared" si="32"/>
        <v>2.146283522727273</v>
      </c>
      <c r="N110" s="61">
        <f t="shared" si="32"/>
        <v>2.2178263068181816</v>
      </c>
      <c r="O110" s="61">
        <f t="shared" si="32"/>
        <v>2.2178263068181816</v>
      </c>
      <c r="P110" s="61">
        <f t="shared" si="32"/>
        <v>2.3628217613636364</v>
      </c>
      <c r="Q110" s="61">
        <f t="shared" si="32"/>
        <v>2.3833627840909091</v>
      </c>
      <c r="R110" s="61">
        <f t="shared" si="32"/>
        <v>2.3959329545454549</v>
      </c>
      <c r="S110" s="61">
        <f t="shared" si="32"/>
        <v>2.4643380681818186</v>
      </c>
      <c r="T110" s="61">
        <f t="shared" si="32"/>
        <v>2.2383673295454551</v>
      </c>
      <c r="U110" s="61">
        <f t="shared" si="32"/>
        <v>1.9410452727272727</v>
      </c>
      <c r="V110" s="61">
        <f t="shared" si="32"/>
        <v>1.886005227272727</v>
      </c>
      <c r="W110" s="61">
        <f t="shared" si="32"/>
        <v>1.9150401136363639</v>
      </c>
      <c r="X110" s="61">
        <f t="shared" si="32"/>
        <v>1.9300877590909091</v>
      </c>
      <c r="Y110" s="61">
        <f t="shared" si="32"/>
        <v>1.9566988636363636</v>
      </c>
    </row>
    <row r="111" spans="1:33" x14ac:dyDescent="0.25">
      <c r="A111" s="128" t="str">
        <f>A$16</f>
        <v>Allaitantes</v>
      </c>
      <c r="B111" s="61">
        <f t="shared" si="32"/>
        <v>1.3305552272727272</v>
      </c>
      <c r="C111" s="61">
        <f t="shared" si="32"/>
        <v>1.3305552272727272</v>
      </c>
      <c r="D111" s="61">
        <f t="shared" si="32"/>
        <v>1.2017918181818181</v>
      </c>
      <c r="E111" s="61">
        <f t="shared" si="32"/>
        <v>1.2017918181818181</v>
      </c>
      <c r="F111" s="61">
        <f t="shared" si="32"/>
        <v>1.3305552272727272</v>
      </c>
      <c r="G111" s="61">
        <f t="shared" si="32"/>
        <v>1.3305552272727272</v>
      </c>
      <c r="H111" s="61">
        <f t="shared" si="32"/>
        <v>1.2876340909090909</v>
      </c>
      <c r="I111" s="61">
        <f t="shared" si="32"/>
        <v>1.7038636363636364</v>
      </c>
      <c r="J111" s="61">
        <f t="shared" si="32"/>
        <v>1.7606590909090907</v>
      </c>
      <c r="K111" s="61">
        <f t="shared" si="32"/>
        <v>1.7606590909090907</v>
      </c>
      <c r="L111" s="61">
        <f t="shared" si="32"/>
        <v>1.7038636363636364</v>
      </c>
      <c r="M111" s="61">
        <f t="shared" si="32"/>
        <v>1.7038636363636364</v>
      </c>
      <c r="N111" s="61">
        <f t="shared" si="32"/>
        <v>1.7606590909090907</v>
      </c>
      <c r="O111" s="61">
        <f t="shared" si="32"/>
        <v>1.7606590909090907</v>
      </c>
      <c r="P111" s="61">
        <f t="shared" si="32"/>
        <v>1.7606590909090907</v>
      </c>
      <c r="Q111" s="61">
        <f t="shared" si="32"/>
        <v>1.7606590909090907</v>
      </c>
      <c r="R111" s="61">
        <f t="shared" si="32"/>
        <v>1.7038636363636364</v>
      </c>
      <c r="S111" s="61">
        <f t="shared" si="32"/>
        <v>1.7038636363636364</v>
      </c>
      <c r="T111" s="61">
        <f t="shared" si="32"/>
        <v>1.7606590909090907</v>
      </c>
      <c r="U111" s="61">
        <f t="shared" si="32"/>
        <v>1.3305552272727272</v>
      </c>
      <c r="V111" s="61">
        <f t="shared" si="32"/>
        <v>1.2876340909090909</v>
      </c>
      <c r="W111" s="61">
        <f t="shared" si="32"/>
        <v>1.2876340909090909</v>
      </c>
      <c r="X111" s="61">
        <f t="shared" si="32"/>
        <v>1.3305552272727272</v>
      </c>
      <c r="Y111" s="61">
        <f t="shared" si="32"/>
        <v>1.3305552272727272</v>
      </c>
    </row>
    <row r="112" spans="1:33" x14ac:dyDescent="0.25">
      <c r="A112" s="128" t="str">
        <f>A$17</f>
        <v>génisses</v>
      </c>
      <c r="B112" s="61">
        <f t="shared" si="32"/>
        <v>0.55100640000000012</v>
      </c>
      <c r="C112" s="61">
        <f t="shared" si="32"/>
        <v>0.55100640000000012</v>
      </c>
      <c r="D112" s="61">
        <f t="shared" si="32"/>
        <v>0.49768320000000016</v>
      </c>
      <c r="E112" s="61">
        <f t="shared" si="32"/>
        <v>0.55989360000000021</v>
      </c>
      <c r="F112" s="61">
        <f t="shared" si="32"/>
        <v>0.61988220000000027</v>
      </c>
      <c r="G112" s="61">
        <f t="shared" si="32"/>
        <v>0.61988220000000027</v>
      </c>
      <c r="H112" s="61">
        <f t="shared" si="32"/>
        <v>0.53323200000000004</v>
      </c>
      <c r="I112" s="61">
        <f t="shared" si="32"/>
        <v>0.61740000000000017</v>
      </c>
      <c r="J112" s="61">
        <f t="shared" si="32"/>
        <v>0.6379800000000001</v>
      </c>
      <c r="K112" s="61">
        <f t="shared" si="32"/>
        <v>0.6379800000000001</v>
      </c>
      <c r="L112" s="61">
        <f t="shared" si="32"/>
        <v>0.54022500000000018</v>
      </c>
      <c r="M112" s="61">
        <f t="shared" si="32"/>
        <v>0.54022500000000018</v>
      </c>
      <c r="N112" s="61">
        <f t="shared" si="32"/>
        <v>0.55823250000000002</v>
      </c>
      <c r="O112" s="61">
        <f t="shared" si="32"/>
        <v>0.55823250000000002</v>
      </c>
      <c r="P112" s="61">
        <f t="shared" si="32"/>
        <v>0.47848499999999999</v>
      </c>
      <c r="Q112" s="61">
        <f t="shared" si="32"/>
        <v>0.47848499999999999</v>
      </c>
      <c r="R112" s="61">
        <f t="shared" si="32"/>
        <v>0.38587500000000002</v>
      </c>
      <c r="S112" s="61">
        <f t="shared" si="32"/>
        <v>0.46304999999999996</v>
      </c>
      <c r="T112" s="61">
        <f t="shared" si="32"/>
        <v>0.47848499999999999</v>
      </c>
      <c r="U112" s="61">
        <f t="shared" si="32"/>
        <v>0.41325480000000003</v>
      </c>
      <c r="V112" s="61">
        <f t="shared" si="32"/>
        <v>0.4665780000000001</v>
      </c>
      <c r="W112" s="61">
        <f t="shared" si="32"/>
        <v>0.4665780000000001</v>
      </c>
      <c r="X112" s="61">
        <f t="shared" si="32"/>
        <v>0.48213060000000008</v>
      </c>
      <c r="Y112" s="61">
        <f t="shared" si="32"/>
        <v>0.48213060000000008</v>
      </c>
    </row>
    <row r="113" spans="1:29" x14ac:dyDescent="0.25">
      <c r="A113" s="127" t="str">
        <f>A$18</f>
        <v>Broutards</v>
      </c>
      <c r="B113" s="61">
        <f t="shared" si="32"/>
        <v>0.27186647727272722</v>
      </c>
      <c r="C113" s="61">
        <f t="shared" si="32"/>
        <v>0.27186647727272722</v>
      </c>
      <c r="D113" s="61">
        <f t="shared" si="32"/>
        <v>0.24555681818181815</v>
      </c>
      <c r="E113" s="61">
        <f t="shared" si="32"/>
        <v>0.24555681818181815</v>
      </c>
      <c r="F113" s="61">
        <f t="shared" si="32"/>
        <v>0.27186647727272722</v>
      </c>
      <c r="G113" s="61">
        <f t="shared" si="32"/>
        <v>0.27186647727272722</v>
      </c>
      <c r="H113" s="61">
        <f t="shared" si="32"/>
        <v>0.26309659090909088</v>
      </c>
      <c r="I113" s="61">
        <f t="shared" si="32"/>
        <v>0.26309659090909088</v>
      </c>
      <c r="J113" s="61">
        <f t="shared" si="32"/>
        <v>0.27186647727272722</v>
      </c>
      <c r="K113" s="61">
        <f t="shared" si="32"/>
        <v>0.27186647727272722</v>
      </c>
      <c r="L113" s="61">
        <f t="shared" si="32"/>
        <v>0.26309659090909088</v>
      </c>
      <c r="M113" s="61">
        <f t="shared" si="32"/>
        <v>0.26309659090909088</v>
      </c>
      <c r="N113" s="61">
        <f t="shared" si="32"/>
        <v>0.27186647727272722</v>
      </c>
      <c r="O113" s="61">
        <f t="shared" si="32"/>
        <v>0.27186647727272722</v>
      </c>
      <c r="P113" s="61">
        <f t="shared" si="32"/>
        <v>0.27186647727272722</v>
      </c>
      <c r="Q113" s="61">
        <f t="shared" si="32"/>
        <v>0.27186647727272722</v>
      </c>
      <c r="R113" s="61">
        <f t="shared" si="32"/>
        <v>0.26309659090909088</v>
      </c>
      <c r="S113" s="61">
        <f t="shared" si="32"/>
        <v>0.26309659090909088</v>
      </c>
      <c r="T113" s="61">
        <f t="shared" si="32"/>
        <v>0.27186647727272722</v>
      </c>
      <c r="U113" s="61">
        <f t="shared" si="32"/>
        <v>0.27186647727272722</v>
      </c>
      <c r="V113" s="61">
        <f t="shared" si="32"/>
        <v>0.26309659090909088</v>
      </c>
      <c r="W113" s="61">
        <f t="shared" si="32"/>
        <v>0.26309659090909088</v>
      </c>
      <c r="X113" s="61">
        <f t="shared" si="32"/>
        <v>0.27186647727272722</v>
      </c>
      <c r="Y113" s="61">
        <f t="shared" si="32"/>
        <v>0.27186647727272722</v>
      </c>
    </row>
    <row r="114" spans="1:29" x14ac:dyDescent="0.25">
      <c r="A114" s="128" t="str">
        <f>A$19</f>
        <v>génisses &lt; 1 an</v>
      </c>
      <c r="B114" s="61">
        <f t="shared" si="32"/>
        <v>0.19332727272727274</v>
      </c>
      <c r="C114" s="61">
        <f t="shared" si="32"/>
        <v>0.19332727272727274</v>
      </c>
      <c r="D114" s="61">
        <f t="shared" si="32"/>
        <v>0.17461818181818181</v>
      </c>
      <c r="E114" s="61">
        <f t="shared" si="32"/>
        <v>0.19644545454545456</v>
      </c>
      <c r="F114" s="61">
        <f t="shared" si="32"/>
        <v>0.21749318181818184</v>
      </c>
      <c r="G114" s="61">
        <f t="shared" si="32"/>
        <v>0.21749318181818184</v>
      </c>
      <c r="H114" s="61">
        <f t="shared" si="32"/>
        <v>0.18709090909090911</v>
      </c>
      <c r="I114" s="61">
        <f t="shared" si="32"/>
        <v>0.18709090909090911</v>
      </c>
      <c r="J114" s="61">
        <f t="shared" si="32"/>
        <v>0.19332727272727274</v>
      </c>
      <c r="K114" s="61">
        <f t="shared" si="32"/>
        <v>0.19332727272727274</v>
      </c>
      <c r="L114" s="61">
        <f t="shared" si="32"/>
        <v>0.16370454545454544</v>
      </c>
      <c r="M114" s="61">
        <f t="shared" si="32"/>
        <v>0.16370454545454544</v>
      </c>
      <c r="N114" s="61">
        <f t="shared" si="32"/>
        <v>0.16916136363636364</v>
      </c>
      <c r="O114" s="61">
        <f t="shared" si="32"/>
        <v>0.16916136363636364</v>
      </c>
      <c r="P114" s="61">
        <f t="shared" si="32"/>
        <v>0.14499545454545454</v>
      </c>
      <c r="Q114" s="61">
        <f t="shared" si="32"/>
        <v>0.14499545454545454</v>
      </c>
      <c r="R114" s="61">
        <f t="shared" si="32"/>
        <v>0.11693181818181818</v>
      </c>
      <c r="S114" s="61">
        <f t="shared" si="32"/>
        <v>0.14031818181818181</v>
      </c>
      <c r="T114" s="61">
        <f t="shared" si="32"/>
        <v>0.14499545454545454</v>
      </c>
      <c r="U114" s="61">
        <f t="shared" si="32"/>
        <v>0.14499545454545454</v>
      </c>
      <c r="V114" s="61">
        <f t="shared" si="32"/>
        <v>0.16370454545454544</v>
      </c>
      <c r="W114" s="61">
        <f t="shared" si="32"/>
        <v>0.16370454545454544</v>
      </c>
      <c r="X114" s="61">
        <f t="shared" si="32"/>
        <v>0.16916136363636364</v>
      </c>
      <c r="Y114" s="61">
        <f t="shared" si="32"/>
        <v>0.16916136363636364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4.3999999999999995</v>
      </c>
      <c r="C120" s="61">
        <f t="shared" ref="C120:Y120" si="33">SUM(C110:C119)</f>
        <v>4.3034542409090912</v>
      </c>
      <c r="D120" s="61">
        <f t="shared" si="33"/>
        <v>3.526453381818182</v>
      </c>
      <c r="E120" s="61">
        <f t="shared" si="33"/>
        <v>3.6385328636363634</v>
      </c>
      <c r="F120" s="61">
        <f t="shared" si="33"/>
        <v>4.0283756704545457</v>
      </c>
      <c r="G120" s="61">
        <f t="shared" si="33"/>
        <v>4.0283756704545457</v>
      </c>
      <c r="H120" s="61">
        <f t="shared" si="33"/>
        <v>3.9295767954545457</v>
      </c>
      <c r="I120" s="61">
        <f t="shared" si="33"/>
        <v>4.6917639204545454</v>
      </c>
      <c r="J120" s="61">
        <f t="shared" si="33"/>
        <v>4.9931515056818183</v>
      </c>
      <c r="K120" s="61">
        <f t="shared" si="33"/>
        <v>4.9931515056818183</v>
      </c>
      <c r="L120" s="61">
        <f t="shared" si="33"/>
        <v>4.8171732954545456</v>
      </c>
      <c r="M120" s="61">
        <f t="shared" si="33"/>
        <v>4.8171732954545456</v>
      </c>
      <c r="N120" s="61">
        <f t="shared" si="33"/>
        <v>4.9777457386363633</v>
      </c>
      <c r="O120" s="61">
        <f t="shared" si="33"/>
        <v>4.9777457386363633</v>
      </c>
      <c r="P120" s="61">
        <f t="shared" si="33"/>
        <v>5.0188277840909086</v>
      </c>
      <c r="Q120" s="61">
        <f t="shared" si="33"/>
        <v>5.0393688068181817</v>
      </c>
      <c r="R120" s="61">
        <f t="shared" si="33"/>
        <v>4.8657000000000004</v>
      </c>
      <c r="S120" s="61">
        <f t="shared" si="33"/>
        <v>5.0346664772727268</v>
      </c>
      <c r="T120" s="61">
        <f t="shared" si="33"/>
        <v>4.8943733522727273</v>
      </c>
      <c r="U120" s="61">
        <f t="shared" si="33"/>
        <v>4.1017172318181814</v>
      </c>
      <c r="V120" s="61">
        <f t="shared" si="33"/>
        <v>4.0670184545454546</v>
      </c>
      <c r="W120" s="61">
        <f t="shared" si="33"/>
        <v>4.0960533409090916</v>
      </c>
      <c r="X120" s="61">
        <f t="shared" si="33"/>
        <v>4.1838014272727273</v>
      </c>
      <c r="Y120" s="61">
        <f t="shared" si="33"/>
        <v>4.2104125318181813</v>
      </c>
      <c r="AA120" s="57">
        <f>SUM(B120:Y120)</f>
        <v>107.63461302954545</v>
      </c>
      <c r="AB120" t="s">
        <v>38</v>
      </c>
      <c r="AC120" t="s">
        <v>205</v>
      </c>
    </row>
    <row r="121" spans="1:29" x14ac:dyDescent="0.25">
      <c r="AA121">
        <f>AA49*4.75</f>
        <v>118.65401041666669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Allaitantes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0.9</v>
      </c>
      <c r="J124" s="60">
        <v>0.9</v>
      </c>
      <c r="K124" s="60">
        <v>0.9</v>
      </c>
      <c r="L124" s="60">
        <v>0.9</v>
      </c>
      <c r="M124" s="60">
        <v>0.9</v>
      </c>
      <c r="N124" s="60">
        <v>0.9</v>
      </c>
      <c r="O124" s="60">
        <v>0.9</v>
      </c>
      <c r="P124" s="60">
        <v>0.8</v>
      </c>
      <c r="Q124" s="60">
        <v>0.8</v>
      </c>
      <c r="R124" s="60">
        <v>0.5</v>
      </c>
      <c r="S124" s="60">
        <v>0.5</v>
      </c>
      <c r="T124" s="60">
        <v>0.5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0.7</v>
      </c>
      <c r="J125" s="60">
        <v>0.7</v>
      </c>
      <c r="K125" s="60">
        <v>0.7</v>
      </c>
      <c r="L125" s="60">
        <v>0.7</v>
      </c>
      <c r="M125" s="60">
        <v>0.7</v>
      </c>
      <c r="N125" s="60">
        <v>0.7</v>
      </c>
      <c r="O125" s="60">
        <v>0.7</v>
      </c>
      <c r="P125" s="60">
        <v>0.7</v>
      </c>
      <c r="Q125" s="60">
        <v>0.7</v>
      </c>
      <c r="R125" s="60">
        <v>0.5</v>
      </c>
      <c r="S125" s="60">
        <v>0.5</v>
      </c>
      <c r="T125" s="60">
        <v>0.5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Broutards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génisses &lt; 1 an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4">C110*(1-C123)</f>
        <v>1.9566988636363636</v>
      </c>
      <c r="D136" s="61">
        <f t="shared" si="34"/>
        <v>1.4068033636363637</v>
      </c>
      <c r="E136" s="61">
        <f t="shared" si="34"/>
        <v>1.4348451727272726</v>
      </c>
      <c r="F136" s="61">
        <f t="shared" si="34"/>
        <v>1.588578584090909</v>
      </c>
      <c r="G136" s="61">
        <f t="shared" si="34"/>
        <v>1.588578584090909</v>
      </c>
      <c r="H136" s="61">
        <f t="shared" si="34"/>
        <v>1.6585232045454548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0.70884652840909101</v>
      </c>
      <c r="Q136" s="61">
        <f t="shared" si="34"/>
        <v>0.71500883522727288</v>
      </c>
      <c r="R136" s="61">
        <f t="shared" si="34"/>
        <v>0.71877988636363654</v>
      </c>
      <c r="S136" s="61">
        <f t="shared" si="34"/>
        <v>0.73930142045454572</v>
      </c>
      <c r="T136" s="61">
        <f t="shared" si="34"/>
        <v>0.67151019886363661</v>
      </c>
      <c r="U136" s="61">
        <f t="shared" si="34"/>
        <v>1.9410452727272727</v>
      </c>
      <c r="V136" s="61">
        <f t="shared" si="34"/>
        <v>1.886005227272727</v>
      </c>
      <c r="W136" s="61">
        <f t="shared" si="34"/>
        <v>1.9150401136363639</v>
      </c>
      <c r="X136" s="61">
        <f t="shared" si="34"/>
        <v>1.9300877590909091</v>
      </c>
      <c r="Y136" s="61">
        <f t="shared" si="34"/>
        <v>1.9566988636363636</v>
      </c>
      <c r="AA136" s="61">
        <f>SUM(B136:Y136)</f>
        <v>24.773050742045456</v>
      </c>
    </row>
    <row r="137" spans="1:31" x14ac:dyDescent="0.25">
      <c r="A137" s="128" t="str">
        <f>A$16</f>
        <v>Allaitantes</v>
      </c>
      <c r="B137" s="61">
        <f t="shared" ref="B137:Y144" si="35">B111*(1-B124)</f>
        <v>1.3305552272727272</v>
      </c>
      <c r="C137" s="61">
        <f t="shared" si="35"/>
        <v>1.3305552272727272</v>
      </c>
      <c r="D137" s="61">
        <f t="shared" si="35"/>
        <v>1.2017918181818181</v>
      </c>
      <c r="E137" s="61">
        <f t="shared" si="35"/>
        <v>1.2017918181818181</v>
      </c>
      <c r="F137" s="61">
        <f t="shared" si="35"/>
        <v>1.3305552272727272</v>
      </c>
      <c r="G137" s="61">
        <f t="shared" si="35"/>
        <v>1.3305552272727272</v>
      </c>
      <c r="H137" s="61">
        <f t="shared" si="35"/>
        <v>1.2876340909090909</v>
      </c>
      <c r="I137" s="61">
        <f t="shared" si="35"/>
        <v>0.17038636363636359</v>
      </c>
      <c r="J137" s="61">
        <f t="shared" si="35"/>
        <v>0.17606590909090902</v>
      </c>
      <c r="K137" s="61">
        <f t="shared" si="35"/>
        <v>0.17606590909090902</v>
      </c>
      <c r="L137" s="61">
        <f t="shared" si="35"/>
        <v>0.17038636363636359</v>
      </c>
      <c r="M137" s="61">
        <f t="shared" si="35"/>
        <v>0.17038636363636359</v>
      </c>
      <c r="N137" s="61">
        <f t="shared" si="35"/>
        <v>0.17606590909090902</v>
      </c>
      <c r="O137" s="61">
        <f t="shared" si="35"/>
        <v>0.17606590909090902</v>
      </c>
      <c r="P137" s="61">
        <f t="shared" si="35"/>
        <v>0.35213181818181805</v>
      </c>
      <c r="Q137" s="61">
        <f t="shared" si="35"/>
        <v>0.35213181818181805</v>
      </c>
      <c r="R137" s="61">
        <f t="shared" si="35"/>
        <v>0.85193181818181818</v>
      </c>
      <c r="S137" s="61">
        <f t="shared" si="35"/>
        <v>0.85193181818181818</v>
      </c>
      <c r="T137" s="61">
        <f t="shared" si="35"/>
        <v>0.88032954545454534</v>
      </c>
      <c r="U137" s="61">
        <f t="shared" si="35"/>
        <v>1.3305552272727272</v>
      </c>
      <c r="V137" s="61">
        <f t="shared" si="35"/>
        <v>1.2876340909090909</v>
      </c>
      <c r="W137" s="61">
        <f t="shared" si="35"/>
        <v>1.2876340909090909</v>
      </c>
      <c r="X137" s="61">
        <f t="shared" si="35"/>
        <v>1.3305552272727272</v>
      </c>
      <c r="Y137" s="61">
        <f t="shared" si="35"/>
        <v>1.3305552272727272</v>
      </c>
      <c r="AA137" s="61">
        <f>SUM(B137:Y137)</f>
        <v>20.084252045454541</v>
      </c>
    </row>
    <row r="138" spans="1:31" x14ac:dyDescent="0.25">
      <c r="A138" s="128" t="str">
        <f>A$17</f>
        <v>génisses</v>
      </c>
      <c r="B138" s="61">
        <f t="shared" si="35"/>
        <v>0.55100640000000012</v>
      </c>
      <c r="C138" s="61">
        <f t="shared" si="35"/>
        <v>0.55100640000000012</v>
      </c>
      <c r="D138" s="61">
        <f t="shared" si="35"/>
        <v>0.49768320000000016</v>
      </c>
      <c r="E138" s="61">
        <f t="shared" si="35"/>
        <v>0.55989360000000021</v>
      </c>
      <c r="F138" s="61">
        <f t="shared" si="35"/>
        <v>0.61988220000000027</v>
      </c>
      <c r="G138" s="61">
        <f t="shared" si="35"/>
        <v>0.61988220000000027</v>
      </c>
      <c r="H138" s="61">
        <f t="shared" si="35"/>
        <v>0.53323200000000004</v>
      </c>
      <c r="I138" s="61">
        <f t="shared" si="35"/>
        <v>0.18522000000000008</v>
      </c>
      <c r="J138" s="61">
        <f t="shared" si="35"/>
        <v>0.19139400000000006</v>
      </c>
      <c r="K138" s="61">
        <f t="shared" si="35"/>
        <v>0.19139400000000006</v>
      </c>
      <c r="L138" s="61">
        <f t="shared" si="35"/>
        <v>0.16206750000000009</v>
      </c>
      <c r="M138" s="61">
        <f t="shared" si="35"/>
        <v>0.16206750000000009</v>
      </c>
      <c r="N138" s="61">
        <f t="shared" si="35"/>
        <v>0.16746975000000003</v>
      </c>
      <c r="O138" s="61">
        <f t="shared" si="35"/>
        <v>0.16746975000000003</v>
      </c>
      <c r="P138" s="61">
        <f t="shared" si="35"/>
        <v>0.14354550000000002</v>
      </c>
      <c r="Q138" s="61">
        <f t="shared" si="35"/>
        <v>0.14354550000000002</v>
      </c>
      <c r="R138" s="61">
        <f t="shared" si="35"/>
        <v>0.19293750000000001</v>
      </c>
      <c r="S138" s="61">
        <f t="shared" si="35"/>
        <v>0.23152499999999998</v>
      </c>
      <c r="T138" s="61">
        <f t="shared" si="35"/>
        <v>0.2392425</v>
      </c>
      <c r="U138" s="61">
        <f t="shared" si="35"/>
        <v>0.41325480000000003</v>
      </c>
      <c r="V138" s="61">
        <f t="shared" si="35"/>
        <v>0.4665780000000001</v>
      </c>
      <c r="W138" s="61">
        <f t="shared" si="35"/>
        <v>0.4665780000000001</v>
      </c>
      <c r="X138" s="61">
        <f t="shared" si="35"/>
        <v>0.48213060000000008</v>
      </c>
      <c r="Y138" s="61">
        <f t="shared" si="35"/>
        <v>0.48213060000000008</v>
      </c>
      <c r="AA138" s="61">
        <f t="shared" ref="AA138:AA144" si="36">SUM(B138:Y138)</f>
        <v>8.4211365000000011</v>
      </c>
    </row>
    <row r="139" spans="1:31" x14ac:dyDescent="0.25">
      <c r="A139" s="127" t="str">
        <f>A$18</f>
        <v>Broutards</v>
      </c>
      <c r="B139" s="61">
        <f t="shared" si="35"/>
        <v>0.27186647727272722</v>
      </c>
      <c r="C139" s="61">
        <f t="shared" si="35"/>
        <v>0.27186647727272722</v>
      </c>
      <c r="D139" s="61">
        <f t="shared" si="35"/>
        <v>0.24555681818181815</v>
      </c>
      <c r="E139" s="61">
        <f t="shared" si="35"/>
        <v>0.24555681818181815</v>
      </c>
      <c r="F139" s="61">
        <f t="shared" si="35"/>
        <v>0.27186647727272722</v>
      </c>
      <c r="G139" s="61">
        <f t="shared" si="35"/>
        <v>0.27186647727272722</v>
      </c>
      <c r="H139" s="61">
        <f t="shared" si="35"/>
        <v>0.26309659090909088</v>
      </c>
      <c r="I139" s="61">
        <f t="shared" si="35"/>
        <v>0.26309659090909088</v>
      </c>
      <c r="J139" s="61">
        <f t="shared" si="35"/>
        <v>0.27186647727272722</v>
      </c>
      <c r="K139" s="61">
        <f t="shared" si="35"/>
        <v>0.27186647727272722</v>
      </c>
      <c r="L139" s="61">
        <f t="shared" si="35"/>
        <v>0.26309659090909088</v>
      </c>
      <c r="M139" s="61">
        <f t="shared" si="35"/>
        <v>0.26309659090909088</v>
      </c>
      <c r="N139" s="61">
        <f t="shared" si="35"/>
        <v>0.27186647727272722</v>
      </c>
      <c r="O139" s="61">
        <f t="shared" si="35"/>
        <v>0.27186647727272722</v>
      </c>
      <c r="P139" s="61">
        <f t="shared" si="35"/>
        <v>0.27186647727272722</v>
      </c>
      <c r="Q139" s="61">
        <f t="shared" si="35"/>
        <v>0.27186647727272722</v>
      </c>
      <c r="R139" s="61">
        <f t="shared" si="35"/>
        <v>0.26309659090909088</v>
      </c>
      <c r="S139" s="61">
        <f t="shared" si="35"/>
        <v>0.26309659090909088</v>
      </c>
      <c r="T139" s="61">
        <f t="shared" si="35"/>
        <v>0.27186647727272722</v>
      </c>
      <c r="U139" s="61">
        <f t="shared" si="35"/>
        <v>0.27186647727272722</v>
      </c>
      <c r="V139" s="61">
        <f t="shared" si="35"/>
        <v>0.26309659090909088</v>
      </c>
      <c r="W139" s="61">
        <f t="shared" si="35"/>
        <v>0.26309659090909088</v>
      </c>
      <c r="X139" s="61">
        <f t="shared" si="35"/>
        <v>0.27186647727272722</v>
      </c>
      <c r="Y139" s="61">
        <f t="shared" si="35"/>
        <v>0.27186647727272722</v>
      </c>
      <c r="AA139" s="61">
        <f t="shared" si="36"/>
        <v>6.402017045454544</v>
      </c>
    </row>
    <row r="140" spans="1:31" x14ac:dyDescent="0.25">
      <c r="A140" s="128" t="str">
        <f>A$19</f>
        <v>génisses &lt; 1 an</v>
      </c>
      <c r="B140" s="61">
        <f t="shared" si="35"/>
        <v>0.19332727272727274</v>
      </c>
      <c r="C140" s="61">
        <f t="shared" si="35"/>
        <v>0.19332727272727274</v>
      </c>
      <c r="D140" s="61">
        <f t="shared" si="35"/>
        <v>0.17461818181818181</v>
      </c>
      <c r="E140" s="61">
        <f t="shared" si="35"/>
        <v>0.19644545454545456</v>
      </c>
      <c r="F140" s="61">
        <f t="shared" si="35"/>
        <v>0.21749318181818184</v>
      </c>
      <c r="G140" s="61">
        <f t="shared" si="35"/>
        <v>0.21749318181818184</v>
      </c>
      <c r="H140" s="61">
        <f t="shared" si="35"/>
        <v>0.18709090909090911</v>
      </c>
      <c r="I140" s="61">
        <f t="shared" si="35"/>
        <v>0.18709090909090911</v>
      </c>
      <c r="J140" s="61">
        <f t="shared" si="35"/>
        <v>0.19332727272727274</v>
      </c>
      <c r="K140" s="61">
        <f t="shared" si="35"/>
        <v>0.19332727272727274</v>
      </c>
      <c r="L140" s="61">
        <f t="shared" si="35"/>
        <v>0.16370454545454544</v>
      </c>
      <c r="M140" s="61">
        <f t="shared" si="35"/>
        <v>0.16370454545454544</v>
      </c>
      <c r="N140" s="61">
        <f t="shared" si="35"/>
        <v>0.16916136363636364</v>
      </c>
      <c r="O140" s="61">
        <f t="shared" si="35"/>
        <v>0.16916136363636364</v>
      </c>
      <c r="P140" s="61">
        <f t="shared" si="35"/>
        <v>0.14499545454545454</v>
      </c>
      <c r="Q140" s="61">
        <f t="shared" si="35"/>
        <v>0.14499545454545454</v>
      </c>
      <c r="R140" s="61">
        <f t="shared" si="35"/>
        <v>0.11693181818181818</v>
      </c>
      <c r="S140" s="61">
        <f t="shared" si="35"/>
        <v>0.14031818181818181</v>
      </c>
      <c r="T140" s="61">
        <f t="shared" si="35"/>
        <v>0.14499545454545454</v>
      </c>
      <c r="U140" s="61">
        <f t="shared" si="35"/>
        <v>0.14499545454545454</v>
      </c>
      <c r="V140" s="61">
        <f t="shared" si="35"/>
        <v>0.16370454545454544</v>
      </c>
      <c r="W140" s="61">
        <f t="shared" si="35"/>
        <v>0.16370454545454544</v>
      </c>
      <c r="X140" s="61">
        <f t="shared" si="35"/>
        <v>0.16916136363636364</v>
      </c>
      <c r="Y140" s="61">
        <f t="shared" si="35"/>
        <v>0.16916136363636364</v>
      </c>
      <c r="AA140" s="61">
        <f t="shared" si="36"/>
        <v>4.1222363636363637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63.802692696590903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66.992827331420457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1.9203127840909093</v>
      </c>
      <c r="J149" s="61">
        <f t="shared" si="38"/>
        <v>2.1293186647727276</v>
      </c>
      <c r="K149" s="61">
        <f t="shared" si="38"/>
        <v>2.1293186647727276</v>
      </c>
      <c r="L149" s="61">
        <f t="shared" si="38"/>
        <v>2.146283522727273</v>
      </c>
      <c r="M149" s="61">
        <f t="shared" si="38"/>
        <v>2.146283522727273</v>
      </c>
      <c r="N149" s="61">
        <f t="shared" si="38"/>
        <v>2.2178263068181816</v>
      </c>
      <c r="O149" s="61">
        <f t="shared" si="38"/>
        <v>2.2178263068181816</v>
      </c>
      <c r="P149" s="61">
        <f t="shared" si="38"/>
        <v>1.6539752329545454</v>
      </c>
      <c r="Q149" s="61">
        <f t="shared" si="38"/>
        <v>1.6683539488636363</v>
      </c>
      <c r="R149" s="61">
        <f t="shared" si="38"/>
        <v>1.6771530681818183</v>
      </c>
      <c r="S149" s="61">
        <f t="shared" si="38"/>
        <v>1.7250366477272729</v>
      </c>
      <c r="T149" s="61">
        <f t="shared" si="38"/>
        <v>1.5668571306818184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Allaitantes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1.5334772727272727</v>
      </c>
      <c r="J150" s="61">
        <f t="shared" si="39"/>
        <v>1.5845931818181818</v>
      </c>
      <c r="K150" s="61">
        <f t="shared" si="39"/>
        <v>1.5845931818181818</v>
      </c>
      <c r="L150" s="61">
        <f t="shared" si="39"/>
        <v>1.5334772727272727</v>
      </c>
      <c r="M150" s="61">
        <f t="shared" si="39"/>
        <v>1.5334772727272727</v>
      </c>
      <c r="N150" s="61">
        <f t="shared" si="39"/>
        <v>1.5845931818181818</v>
      </c>
      <c r="O150" s="61">
        <f t="shared" si="39"/>
        <v>1.5845931818181818</v>
      </c>
      <c r="P150" s="61">
        <f t="shared" si="39"/>
        <v>1.4085272727272726</v>
      </c>
      <c r="Q150" s="61">
        <f t="shared" si="39"/>
        <v>1.4085272727272726</v>
      </c>
      <c r="R150" s="61">
        <f t="shared" si="39"/>
        <v>0.85193181818181818</v>
      </c>
      <c r="S150" s="61">
        <f t="shared" si="39"/>
        <v>0.85193181818181818</v>
      </c>
      <c r="T150" s="61">
        <f t="shared" si="39"/>
        <v>0.88032954545454534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génisses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0.43218000000000012</v>
      </c>
      <c r="J151" s="61">
        <f t="shared" si="40"/>
        <v>0.44658600000000004</v>
      </c>
      <c r="K151" s="61">
        <f t="shared" si="40"/>
        <v>0.44658600000000004</v>
      </c>
      <c r="L151" s="61">
        <f t="shared" si="40"/>
        <v>0.37815750000000009</v>
      </c>
      <c r="M151" s="61">
        <f t="shared" si="40"/>
        <v>0.37815750000000009</v>
      </c>
      <c r="N151" s="61">
        <f t="shared" si="40"/>
        <v>0.39076274999999999</v>
      </c>
      <c r="O151" s="61">
        <f t="shared" si="40"/>
        <v>0.39076274999999999</v>
      </c>
      <c r="P151" s="61">
        <f t="shared" si="40"/>
        <v>0.33493949999999995</v>
      </c>
      <c r="Q151" s="61">
        <f t="shared" si="40"/>
        <v>0.33493949999999995</v>
      </c>
      <c r="R151" s="61">
        <f t="shared" si="40"/>
        <v>0.19293750000000001</v>
      </c>
      <c r="S151" s="61">
        <f t="shared" si="40"/>
        <v>0.23152499999999998</v>
      </c>
      <c r="T151" s="61">
        <f t="shared" si="40"/>
        <v>0.2392425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Broutards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génisses &lt; 1 an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43.735374573863631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Allaitantes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1.5334772727272727</v>
      </c>
      <c r="J163" s="61">
        <f t="shared" si="49"/>
        <v>1.5845931818181818</v>
      </c>
      <c r="K163" s="61">
        <f t="shared" si="49"/>
        <v>1.5845931818181818</v>
      </c>
      <c r="L163" s="61">
        <f t="shared" si="49"/>
        <v>1.5334772727272727</v>
      </c>
      <c r="M163" s="61">
        <f t="shared" si="49"/>
        <v>1.5334772727272727</v>
      </c>
      <c r="N163" s="61">
        <f t="shared" si="49"/>
        <v>1.5845931818181818</v>
      </c>
      <c r="O163" s="61">
        <f t="shared" si="49"/>
        <v>1.5845931818181818</v>
      </c>
      <c r="P163" s="61">
        <f t="shared" si="49"/>
        <v>1.4085272727272726</v>
      </c>
      <c r="Q163" s="61">
        <f t="shared" si="49"/>
        <v>1.4085272727272726</v>
      </c>
      <c r="R163" s="61">
        <f t="shared" si="49"/>
        <v>0.85193181818181818</v>
      </c>
      <c r="S163" s="61">
        <f t="shared" si="49"/>
        <v>0.85193181818181818</v>
      </c>
      <c r="T163" s="61">
        <f t="shared" si="49"/>
        <v>0.88032954545454534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génisses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0.43218000000000012</v>
      </c>
      <c r="J164" s="61">
        <f t="shared" si="50"/>
        <v>0.44658600000000004</v>
      </c>
      <c r="K164" s="61">
        <f t="shared" si="50"/>
        <v>0.44658600000000004</v>
      </c>
      <c r="L164" s="61">
        <f t="shared" si="50"/>
        <v>0.37815750000000009</v>
      </c>
      <c r="M164" s="61">
        <f t="shared" si="50"/>
        <v>0.37815750000000009</v>
      </c>
      <c r="N164" s="61">
        <f t="shared" si="50"/>
        <v>0.39076274999999999</v>
      </c>
      <c r="O164" s="61">
        <f t="shared" si="50"/>
        <v>0.39076274999999999</v>
      </c>
      <c r="P164" s="61">
        <f t="shared" si="50"/>
        <v>0.33493949999999995</v>
      </c>
      <c r="Q164" s="61">
        <f t="shared" si="50"/>
        <v>0.33493949999999995</v>
      </c>
      <c r="R164" s="61">
        <f t="shared" si="50"/>
        <v>0.19293750000000001</v>
      </c>
      <c r="S164" s="61">
        <f t="shared" si="50"/>
        <v>0.23152499999999998</v>
      </c>
      <c r="T164" s="61">
        <f t="shared" si="50"/>
        <v>0.2392425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Broutards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génisses &lt; 1 an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1.965657272727273</v>
      </c>
      <c r="J172" s="61">
        <f t="shared" si="58"/>
        <v>2.0311791818181817</v>
      </c>
      <c r="K172" s="61">
        <f t="shared" si="58"/>
        <v>2.0311791818181817</v>
      </c>
      <c r="L172" s="61">
        <f t="shared" si="58"/>
        <v>1.9116347727272729</v>
      </c>
      <c r="M172" s="61">
        <f t="shared" si="58"/>
        <v>1.9116347727272729</v>
      </c>
      <c r="N172" s="61">
        <f t="shared" si="58"/>
        <v>1.9753559318181817</v>
      </c>
      <c r="O172" s="61">
        <f t="shared" si="58"/>
        <v>1.9753559318181817</v>
      </c>
      <c r="P172" s="61">
        <f t="shared" si="58"/>
        <v>1.7434667727272726</v>
      </c>
      <c r="Q172" s="61">
        <f t="shared" si="58"/>
        <v>1.7434667727272726</v>
      </c>
      <c r="R172" s="61">
        <f t="shared" si="58"/>
        <v>1.0448693181818183</v>
      </c>
      <c r="S172" s="61">
        <f t="shared" si="58"/>
        <v>1.0834568181818183</v>
      </c>
      <c r="T172" s="61">
        <f t="shared" si="58"/>
        <v>1.1195720454545453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20.536828772727276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1.9203127840909093</v>
      </c>
      <c r="J175" s="61">
        <f t="shared" si="59"/>
        <v>2.1293186647727276</v>
      </c>
      <c r="K175" s="61">
        <f t="shared" si="59"/>
        <v>0</v>
      </c>
      <c r="L175" s="61">
        <f t="shared" si="59"/>
        <v>2.146283522727273</v>
      </c>
      <c r="M175" s="61">
        <f t="shared" si="59"/>
        <v>2.146283522727273</v>
      </c>
      <c r="N175" s="61">
        <f t="shared" si="59"/>
        <v>2.2178263068181816</v>
      </c>
      <c r="O175" s="61">
        <f t="shared" si="59"/>
        <v>2.2178263068181816</v>
      </c>
      <c r="P175" s="61">
        <f t="shared" si="59"/>
        <v>0</v>
      </c>
      <c r="Q175" s="61">
        <f t="shared" si="59"/>
        <v>1.6683539488636363</v>
      </c>
      <c r="R175" s="61">
        <f t="shared" si="59"/>
        <v>1.6771530681818183</v>
      </c>
      <c r="S175" s="61">
        <f t="shared" si="59"/>
        <v>0</v>
      </c>
      <c r="T175" s="61">
        <f t="shared" si="59"/>
        <v>1.5668571306818184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Allaitantes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génisses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Broutards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génisses &lt; 1 an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1.9203127840909093</v>
      </c>
      <c r="J185" s="61">
        <f>SUM(CdTrp2!J175:J184)</f>
        <v>2.1293186647727276</v>
      </c>
      <c r="K185" s="61">
        <f>SUM(CdTrp2!K175:K184)</f>
        <v>0</v>
      </c>
      <c r="L185" s="61">
        <f>SUM(CdTrp2!L175:L184)</f>
        <v>2.146283522727273</v>
      </c>
      <c r="M185" s="61">
        <f>SUM(CdTrp2!M175:M184)</f>
        <v>2.146283522727273</v>
      </c>
      <c r="N185" s="61">
        <f>SUM(CdTrp2!N175:N184)</f>
        <v>2.2178263068181816</v>
      </c>
      <c r="O185" s="61">
        <f>SUM(CdTrp2!O175:O184)</f>
        <v>2.2178263068181816</v>
      </c>
      <c r="P185" s="61">
        <f>SUM(CdTrp2!P175:P184)</f>
        <v>0</v>
      </c>
      <c r="Q185" s="61">
        <f>SUM(CdTrp2!Q175:Q184)</f>
        <v>1.6683539488636363</v>
      </c>
      <c r="R185" s="61">
        <f>SUM(CdTrp2!R175:R184)</f>
        <v>1.6771530681818183</v>
      </c>
      <c r="S185" s="61">
        <f>SUM(CdTrp2!S175:S184)</f>
        <v>0</v>
      </c>
      <c r="T185" s="61">
        <f>SUM(CdTrp2!T175:T184)</f>
        <v>1.5668571306818184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17.690215255681821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2.1293186647727276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1.6539752329545454</v>
      </c>
      <c r="Q188" s="61">
        <f t="shared" si="69"/>
        <v>0</v>
      </c>
      <c r="R188" s="61">
        <f t="shared" si="69"/>
        <v>0</v>
      </c>
      <c r="S188" s="61">
        <f t="shared" si="69"/>
        <v>1.7250366477272729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Allaitantes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génisses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Broutards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génisses &lt; 1 an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2.1293186647727276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1.6539752329545454</v>
      </c>
      <c r="Q198" s="61">
        <f t="shared" si="79"/>
        <v>0</v>
      </c>
      <c r="R198" s="61">
        <f t="shared" si="79"/>
        <v>0</v>
      </c>
      <c r="S198" s="61">
        <f t="shared" si="79"/>
        <v>1.7250366477272729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5.5083305454545464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Allaitantes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génisses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Broutards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génisses &lt; 1 an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1.965657272727273</v>
      </c>
      <c r="J215" s="61">
        <f t="shared" si="91"/>
        <v>2.0311791818181817</v>
      </c>
      <c r="K215" s="61">
        <f t="shared" si="91"/>
        <v>2.0311791818181817</v>
      </c>
      <c r="L215" s="61">
        <f t="shared" si="91"/>
        <v>1.9116347727272729</v>
      </c>
      <c r="M215" s="61">
        <f t="shared" si="91"/>
        <v>1.9116347727272729</v>
      </c>
      <c r="N215" s="61">
        <f t="shared" si="91"/>
        <v>1.9753559318181817</v>
      </c>
      <c r="O215" s="61">
        <f t="shared" si="91"/>
        <v>1.9753559318181817</v>
      </c>
      <c r="P215" s="61">
        <f t="shared" si="91"/>
        <v>1.7434667727272726</v>
      </c>
      <c r="Q215" s="61">
        <f t="shared" si="91"/>
        <v>1.7434667727272726</v>
      </c>
      <c r="R215" s="61">
        <f t="shared" si="91"/>
        <v>1.0448693181818183</v>
      </c>
      <c r="S215" s="61">
        <f t="shared" si="91"/>
        <v>1.0834568181818183</v>
      </c>
      <c r="T215" s="61">
        <f t="shared" si="91"/>
        <v>1.1195720454545453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1.9203127840909093</v>
      </c>
      <c r="J216" s="61">
        <f t="shared" si="92"/>
        <v>2.1293186647727276</v>
      </c>
      <c r="K216" s="61">
        <f t="shared" si="92"/>
        <v>0</v>
      </c>
      <c r="L216" s="61">
        <f t="shared" si="92"/>
        <v>2.146283522727273</v>
      </c>
      <c r="M216" s="61">
        <f t="shared" si="92"/>
        <v>2.146283522727273</v>
      </c>
      <c r="N216" s="61">
        <f t="shared" si="92"/>
        <v>2.2178263068181816</v>
      </c>
      <c r="O216" s="61">
        <f t="shared" si="92"/>
        <v>2.2178263068181816</v>
      </c>
      <c r="P216" s="61">
        <f t="shared" si="92"/>
        <v>0</v>
      </c>
      <c r="Q216" s="61">
        <f t="shared" si="92"/>
        <v>1.6683539488636363</v>
      </c>
      <c r="R216" s="61">
        <f t="shared" si="92"/>
        <v>1.6771530681818183</v>
      </c>
      <c r="S216" s="61">
        <f t="shared" si="92"/>
        <v>0</v>
      </c>
      <c r="T216" s="61">
        <f t="shared" si="92"/>
        <v>1.5668571306818184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2.1293186647727276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1.6539752329545454</v>
      </c>
      <c r="Q217" s="61">
        <f t="shared" si="93"/>
        <v>0</v>
      </c>
      <c r="R217" s="61">
        <f t="shared" si="93"/>
        <v>0</v>
      </c>
      <c r="S217" s="61">
        <f t="shared" si="93"/>
        <v>1.7250366477272729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43.735374573863638</v>
      </c>
      <c r="AB219" t="s">
        <v>221</v>
      </c>
    </row>
    <row r="220" spans="1:28" x14ac:dyDescent="0.25">
      <c r="AA220" s="30">
        <f>SUM(B215:Y217)</f>
        <v>43.735374573863638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2023-01-09T10:26:09Z</dcterms:modified>
</cp:coreProperties>
</file>