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35" r:id="rId19"/>
  </pivotCaches>
</workbook>
</file>

<file path=xl/calcChain.xml><?xml version="1.0" encoding="utf-8"?>
<calcChain xmlns="http://schemas.openxmlformats.org/spreadsheetml/2006/main"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/>
  <c r="BF30" i="29" s="1"/>
  <c r="BG12" i="29" l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I9" i="29" l="1"/>
  <c r="BJ25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D54" i="33" s="1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S91" i="30" s="1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R91" i="30"/>
  <c r="BQ91" i="30"/>
  <c r="BP91" i="30"/>
  <c r="BO91" i="30"/>
  <c r="BM91" i="30"/>
  <c r="BI91" i="30"/>
  <c r="BH91" i="30"/>
  <c r="BG91" i="30"/>
  <c r="BE91" i="30"/>
  <c r="BB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S3" i="29" l="1"/>
  <c r="Z171" i="31"/>
  <c r="T171" i="31"/>
  <c r="Y171" i="31"/>
  <c r="X171" i="31"/>
  <c r="AA171" i="31" s="1"/>
  <c r="T171" i="28"/>
  <c r="U171" i="28" s="1"/>
  <c r="Z171" i="28"/>
  <c r="Y171" i="28"/>
  <c r="AB171" i="28" s="1"/>
  <c r="X171" i="28"/>
  <c r="AA171" i="28" s="1"/>
  <c r="AF145" i="3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K110" i="31" s="1"/>
  <c r="CV16" i="30"/>
  <c r="BE17" i="30"/>
  <c r="BP15" i="30"/>
  <c r="BM17" i="30"/>
  <c r="AY90" i="30"/>
  <c r="AY99" i="30" s="1"/>
  <c r="AY100" i="30" s="1"/>
  <c r="AY101" i="30" s="1"/>
  <c r="AW17" i="30"/>
  <c r="BD90" i="30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AB167" i="31" s="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AA168" i="31" s="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V165" i="31" s="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Y187" i="31"/>
  <c r="AB187" i="31" s="1"/>
  <c r="T187" i="31"/>
  <c r="AF187" i="31" s="1"/>
  <c r="X187" i="31"/>
  <c r="Z191" i="31"/>
  <c r="AC191" i="31" s="1"/>
  <c r="Y191" i="31"/>
  <c r="AB191" i="31" s="1"/>
  <c r="T191" i="31"/>
  <c r="X191" i="31"/>
  <c r="AA191" i="31" s="1"/>
  <c r="Z187" i="28"/>
  <c r="AC187" i="28" s="1"/>
  <c r="T187" i="28"/>
  <c r="Y187" i="28"/>
  <c r="AB187" i="28" s="1"/>
  <c r="X187" i="28"/>
  <c r="AA187" i="28" s="1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Y189" i="31"/>
  <c r="AB189" i="31" s="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W186" i="31" s="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AC198" i="31" s="1"/>
  <c r="Y198" i="31"/>
  <c r="T198" i="31"/>
  <c r="X198" i="31"/>
  <c r="AA198" i="31" s="1"/>
  <c r="T198" i="28"/>
  <c r="X198" i="28"/>
  <c r="AA198" i="28" s="1"/>
  <c r="Z198" i="28"/>
  <c r="AC198" i="28" s="1"/>
  <c r="Y198" i="28"/>
  <c r="AB198" i="28" s="1"/>
  <c r="Z197" i="31"/>
  <c r="AC197" i="31" s="1"/>
  <c r="Y197" i="31"/>
  <c r="AB197" i="31" s="1"/>
  <c r="X197" i="31"/>
  <c r="T197" i="31"/>
  <c r="U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AB196" i="31" s="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AB195" i="31" s="1"/>
  <c r="Z195" i="28"/>
  <c r="AC195" i="28" s="1"/>
  <c r="Y195" i="28"/>
  <c r="AB195" i="28" s="1"/>
  <c r="X195" i="28"/>
  <c r="AA195" i="28" s="1"/>
  <c r="T195" i="28"/>
  <c r="AF195" i="28" s="1"/>
  <c r="Z194" i="28"/>
  <c r="Y194" i="28"/>
  <c r="AB194" i="28" s="1"/>
  <c r="T194" i="28"/>
  <c r="V194" i="28" s="1"/>
  <c r="X194" i="28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Y173" i="31"/>
  <c r="AB173" i="31" s="1"/>
  <c r="T173" i="31"/>
  <c r="AG173" i="31" s="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B188" i="28"/>
  <c r="S4" i="29"/>
  <c r="S20" i="29"/>
  <c r="AC171" i="28"/>
  <c r="AB171" i="31"/>
  <c r="AC171" i="31"/>
  <c r="AC189" i="31"/>
  <c r="AA166" i="28"/>
  <c r="AC166" i="31"/>
  <c r="K113" i="31"/>
  <c r="AA186" i="28"/>
  <c r="AC187" i="31"/>
  <c r="AA187" i="31"/>
  <c r="AC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W172" i="31"/>
  <c r="AB176" i="31"/>
  <c r="AA176" i="31"/>
  <c r="AJ176" i="31"/>
  <c r="AC176" i="31"/>
  <c r="AC180" i="31"/>
  <c r="AA180" i="31"/>
  <c r="AB180" i="31"/>
  <c r="AB184" i="31"/>
  <c r="U184" i="31"/>
  <c r="AC184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A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A194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202" i="31"/>
  <c r="AC202" i="31"/>
  <c r="AB202" i="31"/>
  <c r="AF202" i="31"/>
  <c r="AC206" i="31"/>
  <c r="AI206" i="31"/>
  <c r="AA206" i="31"/>
  <c r="AB206" i="31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O72" i="30" s="1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AA72" i="30" s="1"/>
  <c r="G26" i="29"/>
  <c r="G25" i="29"/>
  <c r="O26" i="29"/>
  <c r="O30" i="29" s="1"/>
  <c r="O25" i="29"/>
  <c r="O29" i="29" s="1"/>
  <c r="W26" i="29"/>
  <c r="W25" i="29"/>
  <c r="P5" i="29"/>
  <c r="P9" i="29" s="1"/>
  <c r="P20" i="29"/>
  <c r="P4" i="29"/>
  <c r="P3" i="29"/>
  <c r="X26" i="29"/>
  <c r="X25" i="29"/>
  <c r="H5" i="29"/>
  <c r="H9" i="29" s="1"/>
  <c r="H20" i="29"/>
  <c r="H21" i="29" s="1"/>
  <c r="H7" i="29" s="1"/>
  <c r="H12" i="29" s="1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P72" i="30" s="1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N72" i="30" s="1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E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W205" i="31"/>
  <c r="AG205" i="31"/>
  <c r="Z259" i="31"/>
  <c r="AA259" i="31" s="1"/>
  <c r="Z257" i="31"/>
  <c r="AA257" i="31" s="1"/>
  <c r="AI205" i="31"/>
  <c r="AI181" i="31"/>
  <c r="W197" i="31"/>
  <c r="AG197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W26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Z25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C194" i="28"/>
  <c r="T14" i="7"/>
  <c r="T13" i="7"/>
  <c r="T12" i="7"/>
  <c r="T11" i="7"/>
  <c r="AF188" i="31" l="1"/>
  <c r="CV108" i="30"/>
  <c r="CR108" i="30"/>
  <c r="CK107" i="30"/>
  <c r="CH107" i="30"/>
  <c r="CJ108" i="30"/>
  <c r="CM107" i="30"/>
  <c r="CP107" i="30"/>
  <c r="CS106" i="30"/>
  <c r="CQ106" i="30"/>
  <c r="CV106" i="30"/>
  <c r="BB106" i="30"/>
  <c r="CF108" i="30"/>
  <c r="CL108" i="30"/>
  <c r="CQ108" i="30"/>
  <c r="CL107" i="30"/>
  <c r="CR107" i="30"/>
  <c r="CW107" i="30"/>
  <c r="CP106" i="30"/>
  <c r="CU108" i="30"/>
  <c r="CI108" i="30"/>
  <c r="CO107" i="30"/>
  <c r="CU106" i="30"/>
  <c r="CT107" i="30"/>
  <c r="CM108" i="30"/>
  <c r="CS108" i="30"/>
  <c r="CU107" i="30"/>
  <c r="CG107" i="30"/>
  <c r="CH106" i="30"/>
  <c r="CM106" i="30"/>
  <c r="CT108" i="30"/>
  <c r="CQ107" i="30"/>
  <c r="CR106" i="30"/>
  <c r="CW106" i="30"/>
  <c r="CD108" i="30"/>
  <c r="CW108" i="30"/>
  <c r="CH108" i="30"/>
  <c r="CS107" i="30"/>
  <c r="CN107" i="30"/>
  <c r="CT106" i="30"/>
  <c r="CJ106" i="30"/>
  <c r="CO106" i="30"/>
  <c r="AJ173" i="31"/>
  <c r="V197" i="31"/>
  <c r="U173" i="31"/>
  <c r="V173" i="31"/>
  <c r="AF173" i="31"/>
  <c r="AF197" i="31"/>
  <c r="W173" i="31"/>
  <c r="AD72" i="30"/>
  <c r="Z8" i="29"/>
  <c r="AC72" i="30"/>
  <c r="Y8" i="29"/>
  <c r="M72" i="30"/>
  <c r="I72" i="30"/>
  <c r="E8" i="29"/>
  <c r="E201" i="29" s="1"/>
  <c r="E212" i="29" s="1"/>
  <c r="H72" i="30"/>
  <c r="D8" i="29"/>
  <c r="Z72" i="30"/>
  <c r="J72" i="30"/>
  <c r="F8" i="29"/>
  <c r="L72" i="30"/>
  <c r="H8" i="29"/>
  <c r="K72" i="30"/>
  <c r="G8" i="29"/>
  <c r="G201" i="29" s="1"/>
  <c r="X8" i="29"/>
  <c r="X201" i="29" s="1"/>
  <c r="AB72" i="30"/>
  <c r="C8" i="29"/>
  <c r="C201" i="29" s="1"/>
  <c r="C212" i="29" s="1"/>
  <c r="G72" i="30"/>
  <c r="V72" i="30"/>
  <c r="R8" i="29"/>
  <c r="R72" i="30"/>
  <c r="N8" i="29"/>
  <c r="N201" i="29" s="1"/>
  <c r="S72" i="30"/>
  <c r="O8" i="29"/>
  <c r="T72" i="30"/>
  <c r="P8" i="29"/>
  <c r="P201" i="29" s="1"/>
  <c r="U8" i="29"/>
  <c r="Y72" i="30"/>
  <c r="X72" i="30"/>
  <c r="T8" i="29"/>
  <c r="T201" i="29" s="1"/>
  <c r="M8" i="29"/>
  <c r="Q72" i="30"/>
  <c r="U72" i="30"/>
  <c r="Q8" i="29"/>
  <c r="Q201" i="29" s="1"/>
  <c r="S8" i="29"/>
  <c r="W72" i="30"/>
  <c r="AC25" i="28"/>
  <c r="AC34" i="28" s="1"/>
  <c r="K39" i="28" s="1"/>
  <c r="C96" i="33" s="1"/>
  <c r="W25" i="28"/>
  <c r="W34" i="28" s="1"/>
  <c r="K34" i="28" s="1"/>
  <c r="C90" i="33" s="1"/>
  <c r="Y25" i="28"/>
  <c r="X25" i="28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V8" i="29"/>
  <c r="V201" i="29" s="1"/>
  <c r="W8" i="29"/>
  <c r="W201" i="29" s="1"/>
  <c r="J8" i="29"/>
  <c r="K8" i="29"/>
  <c r="K201" i="29" s="1"/>
  <c r="I8" i="29"/>
  <c r="I201" i="29" s="1"/>
  <c r="U195" i="28"/>
  <c r="L8" i="29"/>
  <c r="L201" i="29" s="1"/>
  <c r="BB71" i="30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M201" i="29"/>
  <c r="U167" i="28"/>
  <c r="V167" i="28"/>
  <c r="W167" i="28"/>
  <c r="AF188" i="28"/>
  <c r="V188" i="28"/>
  <c r="W188" i="28"/>
  <c r="AN215" i="33"/>
  <c r="C6" i="29"/>
  <c r="C10" i="29" s="1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J191" i="31" l="1"/>
  <c r="AJ198" i="31"/>
  <c r="AJ197" i="31"/>
  <c r="AJ198" i="28"/>
  <c r="F72" i="30"/>
  <c r="B109" i="30" s="1"/>
  <c r="B112" i="30" s="1"/>
  <c r="BD81" i="30"/>
  <c r="BD85" i="30" s="1"/>
  <c r="AJ171" i="28"/>
  <c r="AJ171" i="31"/>
  <c r="BB81" i="30"/>
  <c r="B52" i="30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191" i="33" l="1"/>
  <c r="D191" i="33" s="1"/>
  <c r="K48" i="28"/>
  <c r="BA85" i="30"/>
  <c r="CQ85" i="30"/>
  <c r="C71" i="33"/>
  <c r="C74" i="33" s="1"/>
  <c r="CM85" i="30"/>
  <c r="CM87" i="30" s="1"/>
  <c r="CR85" i="30"/>
  <c r="CR86" i="30" s="1"/>
  <c r="BC85" i="30"/>
  <c r="BC87" i="30" s="1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AC240" i="3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CS102" i="30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F153" i="33" l="1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CD152" i="33"/>
  <c r="CG153" i="33"/>
  <c r="CE153" i="33"/>
  <c r="CF152" i="33"/>
  <c r="CX152" i="33"/>
  <c r="X27" i="24" l="1"/>
  <c r="W27" i="24"/>
  <c r="V27" i="24"/>
  <c r="U27" i="24"/>
  <c r="T27" i="24"/>
  <c r="J27" i="24"/>
  <c r="I27" i="24"/>
  <c r="H27" i="24"/>
  <c r="G27" i="24"/>
  <c r="B27" i="24"/>
  <c r="Y27" i="24"/>
  <c r="BS4" i="30" l="1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D245" i="33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X236" i="31"/>
  <c r="C309" i="33" s="1"/>
  <c r="T275" i="31"/>
  <c r="X275" i="31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T245" i="31"/>
  <c r="F76" i="30"/>
  <c r="F75" i="30"/>
  <c r="AH47" i="31"/>
  <c r="AH69" i="31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7" i="33" l="1"/>
  <c r="D277" i="33" s="1"/>
  <c r="C193" i="33"/>
  <c r="D193" i="33" s="1"/>
  <c r="C278" i="33"/>
  <c r="B113" i="30"/>
  <c r="B125" i="30" s="1"/>
  <c r="X245" i="31"/>
  <c r="C189" i="33"/>
  <c r="D189" i="33" s="1"/>
  <c r="AK189" i="33" s="1"/>
  <c r="AO189" i="33" s="1"/>
  <c r="AO192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J141" i="31" l="1"/>
  <c r="C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162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162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62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P162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75" i="24" s="1"/>
  <c r="Q185" i="24" s="1"/>
  <c r="Q216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75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162" i="24" s="1"/>
  <c r="N172" i="24" s="1"/>
  <c r="N215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M172" i="24" l="1"/>
  <c r="M215" i="24" s="1"/>
  <c r="R185" i="24"/>
  <c r="R216" i="24" s="1"/>
  <c r="O172" i="24"/>
  <c r="O215" i="24" s="1"/>
  <c r="P172" i="24"/>
  <c r="P215" i="24" s="1"/>
  <c r="P201" i="24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CW64" i="33"/>
  <c r="AZ64" i="33"/>
  <c r="CU72" i="33"/>
  <c r="CU84" i="33" s="1"/>
  <c r="DG65" i="33"/>
  <c r="DG76" i="33" s="1"/>
  <c r="CG72" i="33"/>
  <c r="CG84" i="33" s="1"/>
  <c r="BC65" i="33"/>
  <c r="BB71" i="33"/>
  <c r="BB82" i="33" s="1"/>
  <c r="CT68" i="33"/>
  <c r="CT79" i="33" s="1"/>
  <c r="BA68" i="33"/>
  <c r="BA79" i="33" s="1"/>
  <c r="CV65" i="33"/>
  <c r="AZ65" i="33"/>
  <c r="AY72" i="33"/>
  <c r="AY84" i="33" s="1"/>
  <c r="CJ67" i="33"/>
  <c r="CJ78" i="33" s="1"/>
  <c r="BS73" i="33"/>
  <c r="BS85" i="33" s="1"/>
  <c r="BA65" i="33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M75" i="33" s="1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BI75" i="33" s="1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CD64" i="33"/>
  <c r="DM71" i="33"/>
  <c r="DM82" i="33" s="1"/>
  <c r="BD70" i="33"/>
  <c r="BD81" i="33" s="1"/>
  <c r="DS67" i="33"/>
  <c r="DS78" i="33" s="1"/>
  <c r="BQ67" i="33"/>
  <c r="BO67" i="33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R73" i="33"/>
  <c r="BR85" i="33" s="1"/>
  <c r="DX68" i="33"/>
  <c r="DX79" i="33" s="1"/>
  <c r="BQ70" i="33"/>
  <c r="BQ81" i="33" s="1"/>
  <c r="CK68" i="33"/>
  <c r="CK79" i="33" s="1"/>
  <c r="BP67" i="33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BL75" i="33" s="1"/>
  <c r="CQ66" i="33"/>
  <c r="CQ77" i="33" s="1"/>
  <c r="BG64" i="33"/>
  <c r="BG75" i="33" s="1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BK75" i="33" s="1"/>
  <c r="DY71" i="33"/>
  <c r="DY82" i="33" s="1"/>
  <c r="BC69" i="33"/>
  <c r="BC80" i="33" s="1"/>
  <c r="BN72" i="33"/>
  <c r="BN84" i="33" s="1"/>
  <c r="CK64" i="33"/>
  <c r="AY67" i="33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BH75" i="33" s="1"/>
  <c r="DY72" i="33"/>
  <c r="DY84" i="33" s="1"/>
  <c r="BS66" i="33"/>
  <c r="BA71" i="33"/>
  <c r="BA82" i="33" s="1"/>
  <c r="CL66" i="33"/>
  <c r="CL77" i="33" s="1"/>
  <c r="DR67" i="33"/>
  <c r="DR78" i="33" s="1"/>
  <c r="BJ64" i="33"/>
  <c r="BJ75" i="33" s="1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DK71" i="33"/>
  <c r="DK82" i="33" s="1"/>
  <c r="AV71" i="33"/>
  <c r="AV82" i="33" s="1"/>
  <c r="BN71" i="33"/>
  <c r="BN82" i="33" s="1"/>
  <c r="BD64" i="33"/>
  <c r="AX65" i="33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BS64" i="33"/>
  <c r="BO65" i="33"/>
  <c r="BQ64" i="33"/>
  <c r="BO64" i="33"/>
  <c r="BP65" i="33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R76" i="33" l="1"/>
  <c r="BR152" i="33"/>
  <c r="AZ76" i="33"/>
  <c r="AZ152" i="33"/>
  <c r="AV76" i="33"/>
  <c r="AV152" i="33"/>
  <c r="AY76" i="33"/>
  <c r="AY152" i="33"/>
  <c r="BS76" i="33"/>
  <c r="BS152" i="33"/>
  <c r="BB76" i="33"/>
  <c r="BB152" i="33"/>
  <c r="BP76" i="33"/>
  <c r="BP152" i="33"/>
  <c r="BA76" i="33"/>
  <c r="BA152" i="33"/>
  <c r="BD76" i="33"/>
  <c r="BD152" i="33"/>
  <c r="BC76" i="33"/>
  <c r="BC152" i="33"/>
  <c r="AX76" i="33"/>
  <c r="AX152" i="33"/>
  <c r="BQ76" i="33"/>
  <c r="BQ152" i="33"/>
  <c r="BO76" i="33"/>
  <c r="BO152" i="33"/>
  <c r="AW76" i="33"/>
  <c r="AW152" i="33"/>
  <c r="BB78" i="33"/>
  <c r="BB154" i="33"/>
  <c r="AV78" i="33"/>
  <c r="AV154" i="33"/>
  <c r="BP78" i="33"/>
  <c r="BP124" i="33" s="1"/>
  <c r="BP170" i="33" s="1"/>
  <c r="BP154" i="33"/>
  <c r="AX78" i="33"/>
  <c r="AX135" i="33" s="1"/>
  <c r="AX154" i="33"/>
  <c r="BR78" i="33"/>
  <c r="BR154" i="33"/>
  <c r="AW78" i="33"/>
  <c r="AW154" i="33"/>
  <c r="AY78" i="33"/>
  <c r="AY135" i="33" s="1"/>
  <c r="AY154" i="33"/>
  <c r="BA78" i="33"/>
  <c r="BA124" i="33" s="1"/>
  <c r="BA170" i="33" s="1"/>
  <c r="BA154" i="33"/>
  <c r="BO78" i="33"/>
  <c r="BO154" i="33"/>
  <c r="BC78" i="33"/>
  <c r="BC154" i="33"/>
  <c r="BQ78" i="33"/>
  <c r="BQ135" i="33" s="1"/>
  <c r="BQ154" i="33"/>
  <c r="AZ78" i="33"/>
  <c r="AZ124" i="33" s="1"/>
  <c r="AZ170" i="33" s="1"/>
  <c r="AZ154" i="33"/>
  <c r="BD78" i="33"/>
  <c r="BD154" i="33"/>
  <c r="BS78" i="33"/>
  <c r="BS154" i="33"/>
  <c r="L211" i="33"/>
  <c r="L212" i="33" s="1"/>
  <c r="D207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D124" i="33"/>
  <c r="BD170" i="33" s="1"/>
  <c r="BD135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BK121" i="33"/>
  <c r="BK167" i="33" s="1"/>
  <c r="BK132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160" i="33" s="1"/>
  <c r="BN161" i="33" s="1"/>
  <c r="BN162" i="33" s="1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BI160" i="33" s="1"/>
  <c r="BI161" i="33" s="1"/>
  <c r="BI162" i="33" s="1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160" i="33" s="1"/>
  <c r="BO161" i="33" s="1"/>
  <c r="BO162" i="33" s="1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J121" i="33"/>
  <c r="BJ167" i="33" s="1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BJ160" i="33" s="1"/>
  <c r="BJ161" i="33" s="1"/>
  <c r="BJ162" i="33" s="1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AX124" i="33" l="1"/>
  <c r="AX170" i="33" s="1"/>
  <c r="BP160" i="33"/>
  <c r="BP161" i="33" s="1"/>
  <c r="BP162" i="33" s="1"/>
  <c r="BA135" i="33"/>
  <c r="AZ135" i="33"/>
  <c r="T208" i="33"/>
  <c r="AY124" i="33"/>
  <c r="AY170" i="33" s="1"/>
  <c r="BP135" i="33"/>
  <c r="AW160" i="33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AL207" i="33" s="1"/>
  <c r="D210" i="33" s="1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P145" i="33" l="1"/>
  <c r="BJ144" i="33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4" i="33"/>
  <c r="BR145" i="33"/>
  <c r="DL146" i="33"/>
  <c r="BK142" i="33"/>
  <c r="BQ178" i="33"/>
  <c r="DE146" i="33"/>
  <c r="DF146" i="33"/>
  <c r="CM146" i="33"/>
  <c r="AZ142" i="33"/>
  <c r="AZ144" i="33"/>
  <c r="AZ143" i="33"/>
  <c r="AZ145" i="33"/>
  <c r="BC178" i="33"/>
  <c r="CX144" i="33"/>
  <c r="CX145" i="33"/>
  <c r="CX143" i="33"/>
  <c r="CX142" i="33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3" i="33"/>
  <c r="BQ145" i="33"/>
  <c r="BQ144" i="33"/>
  <c r="AY143" i="33"/>
  <c r="AY145" i="33"/>
  <c r="AY142" i="33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4" i="33"/>
  <c r="CB143" i="33"/>
  <c r="DW146" i="33"/>
  <c r="AZ178" i="33"/>
  <c r="CC145" i="33"/>
  <c r="CC143" i="33"/>
  <c r="CC142" i="33"/>
  <c r="CC144" i="33"/>
  <c r="CH142" i="33"/>
  <c r="CH144" i="33"/>
  <c r="CH145" i="33"/>
  <c r="CH143" i="33"/>
  <c r="DR146" i="33"/>
  <c r="CQ146" i="33"/>
  <c r="CG145" i="33"/>
  <c r="CG144" i="33"/>
  <c r="CG142" i="33"/>
  <c r="CG143" i="33"/>
  <c r="CN146" i="33"/>
  <c r="CY142" i="33"/>
  <c r="CY143" i="33"/>
  <c r="CY145" i="33"/>
  <c r="CY144" i="33"/>
  <c r="AV144" i="33"/>
  <c r="AV143" i="33"/>
  <c r="AV142" i="33"/>
  <c r="AV145" i="33"/>
  <c r="BI142" i="33"/>
  <c r="BP143" i="33"/>
  <c r="BP142" i="33"/>
  <c r="BP144" i="33"/>
  <c r="CB178" i="33"/>
  <c r="BB178" i="33"/>
  <c r="CW178" i="33"/>
  <c r="CD143" i="33"/>
  <c r="CD144" i="33"/>
  <c r="CD142" i="33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CG146" i="33" l="1"/>
  <c r="CY146" i="33"/>
  <c r="CY147" i="33" s="1"/>
  <c r="CB146" i="33"/>
  <c r="CE146" i="33"/>
  <c r="CE148" i="33" s="1"/>
  <c r="CC146" i="33"/>
  <c r="CC148" i="33" s="1"/>
  <c r="BQ146" i="33"/>
  <c r="BQ147" i="33" s="1"/>
  <c r="AW146" i="33"/>
  <c r="AW148" i="33" s="1"/>
  <c r="BP146" i="33"/>
  <c r="BP148" i="33" s="1"/>
  <c r="CD146" i="33"/>
  <c r="AY146" i="33"/>
  <c r="AY148" i="33" s="1"/>
  <c r="CX146" i="33"/>
  <c r="AZ146" i="33"/>
  <c r="AZ147" i="33" s="1"/>
  <c r="AX146" i="33"/>
  <c r="AX148" i="33" s="1"/>
  <c r="BR146" i="33"/>
  <c r="BR148" i="33" s="1"/>
  <c r="BS146" i="33"/>
  <c r="BS148" i="33" s="1"/>
  <c r="AV146" i="33"/>
  <c r="AV148" i="33" s="1"/>
  <c r="BJ146" i="33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J147" i="33"/>
  <c r="BJ163" i="33" s="1"/>
  <c r="BE146" i="33"/>
  <c r="BE148" i="33" s="1"/>
  <c r="BK146" i="33"/>
  <c r="BK147" i="33" s="1"/>
  <c r="BD146" i="33"/>
  <c r="BD148" i="33" s="1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CI146" i="33"/>
  <c r="DH147" i="33"/>
  <c r="DH148" i="33"/>
  <c r="CQ148" i="33"/>
  <c r="CQ147" i="33"/>
  <c r="CB148" i="33"/>
  <c r="CB147" i="33"/>
  <c r="BN146" i="33"/>
  <c r="DF148" i="33"/>
  <c r="DF147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EA148" i="33"/>
  <c r="EA147" i="33"/>
  <c r="DE147" i="33"/>
  <c r="DE148" i="33"/>
  <c r="EB147" i="33"/>
  <c r="EB148" i="33"/>
  <c r="DK148" i="33"/>
  <c r="DK147" i="33"/>
  <c r="CO148" i="33"/>
  <c r="CO147" i="33"/>
  <c r="DS148" i="33"/>
  <c r="DS147" i="33"/>
  <c r="DP147" i="33"/>
  <c r="DP148" i="33"/>
  <c r="BI146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DT148" i="33"/>
  <c r="DT147" i="33"/>
  <c r="BC146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AW147" i="33" l="1"/>
  <c r="BS147" i="33"/>
  <c r="BS163" i="33" s="1"/>
  <c r="CE147" i="33"/>
  <c r="CE163" i="33" s="1"/>
  <c r="AZ148" i="33"/>
  <c r="CY148" i="33"/>
  <c r="CY163" i="33" s="1"/>
  <c r="BQ148" i="33"/>
  <c r="BQ163" i="33" s="1"/>
  <c r="CC147" i="33"/>
  <c r="CC163" i="33" s="1"/>
  <c r="AX147" i="33"/>
  <c r="AX163" i="33" s="1"/>
  <c r="BR147" i="33"/>
  <c r="BR163" i="33" s="1"/>
  <c r="BP147" i="33"/>
  <c r="BP163" i="33" s="1"/>
  <c r="AV147" i="33"/>
  <c r="AV163" i="33" s="1"/>
  <c r="AY147" i="33"/>
  <c r="AY163" i="33" s="1"/>
  <c r="D261" i="33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DM163" i="33"/>
  <c r="CD163" i="33"/>
  <c r="DL163" i="33"/>
  <c r="DX163" i="33"/>
  <c r="DE163" i="33"/>
  <c r="DR163" i="33"/>
  <c r="DH163" i="33"/>
  <c r="CF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DY163" i="33"/>
  <c r="DU163" i="33"/>
  <c r="DP163" i="33"/>
  <c r="BO147" i="33"/>
  <c r="BO148" i="33"/>
  <c r="CG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AK26" i="29" l="1"/>
  <c r="C184" i="33" s="1"/>
  <c r="T234" i="31"/>
  <c r="T272" i="31" s="1"/>
  <c r="X272" i="31" s="1"/>
  <c r="J142" i="31" s="1"/>
  <c r="C220" i="33" s="1"/>
  <c r="C183" i="33"/>
  <c r="B83" i="30"/>
  <c r="F84" i="30" s="1"/>
  <c r="D184" i="33"/>
  <c r="C185" i="33"/>
  <c r="F83" i="30"/>
  <c r="X234" i="3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B167" i="31" l="1"/>
  <c r="J167" i="31" s="1"/>
  <c r="C235" i="33" s="1"/>
  <c r="C236" i="33" s="1"/>
  <c r="L198" i="18"/>
  <c r="L217" i="18" s="1"/>
  <c r="Q7" i="22" s="1"/>
  <c r="BC17" i="23" s="1"/>
  <c r="BC35" i="23" s="1"/>
  <c r="D185" i="33"/>
  <c r="D183" i="33" s="1"/>
  <c r="AX39" i="23"/>
  <c r="AX37" i="23"/>
  <c r="AT38" i="23"/>
  <c r="AT37" i="23"/>
  <c r="AV39" i="23"/>
  <c r="AV37" i="23"/>
  <c r="C307" i="33"/>
  <c r="X237" i="31"/>
  <c r="Z237" i="31" s="1"/>
  <c r="AU39" i="23"/>
  <c r="AU37" i="23"/>
  <c r="C192" i="3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J170" i="31" l="1"/>
  <c r="W172" i="18"/>
  <c r="W215" i="18" s="1"/>
  <c r="AB5" i="22" s="1"/>
  <c r="BN15" i="23" s="1"/>
  <c r="BN21" i="23" s="1"/>
  <c r="C276" i="33"/>
  <c r="C293" i="33" s="1"/>
  <c r="AJ216" i="33"/>
  <c r="AN216" i="33" s="1"/>
  <c r="D220" i="33" s="1"/>
  <c r="D192" i="33"/>
  <c r="AK225" i="33"/>
  <c r="AO225" i="33" s="1"/>
  <c r="AO228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C292" i="33"/>
  <c r="C294" i="33" s="1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BR23" i="23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<sst xmlns="http://schemas.openxmlformats.org/spreadsheetml/2006/main" count="3128" uniqueCount="1467">
  <si>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</si>
  <si>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</si>
  <si>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</si>
  <si>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</si>
  <si>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</si>
  <si>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</si>
  <si>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</si>
  <si>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</si>
  <si>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</si>
  <si>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</si>
  <si>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</si>
  <si>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</si>
  <si>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</si>
  <si>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</si>
  <si>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</si>
  <si>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</si>
  <si>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</si>
  <si>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</si>
  <si>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</si>
  <si>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</si>
  <si>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</si>
  <si>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</si>
  <si>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</si>
  <si>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</si>
  <si>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</si>
  <si>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</si>
  <si>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</si>
  <si>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</si>
  <si>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</si>
  <si>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</si>
  <si>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</si>
  <si>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</si>
  <si>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</si>
  <si>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</si>
  <si>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</si>
  <si>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</si>
  <si>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</si>
  <si>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</si>
  <si>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</si>
  <si>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</si>
  <si>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</si>
  <si>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</si>
  <si>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</si>
  <si>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</si>
  <si>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</si>
  <si>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</si>
  <si>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</si>
  <si>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</si>
  <si>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</si>
  <si>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</si>
  <si>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</si>
  <si>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</si>
  <si>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</si>
  <si>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</si>
  <si>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</si>
  <si>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</si>
  <si>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</si>
  <si>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</si>
  <si>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</si>
  <si>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</si>
  <si>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</si>
  <si>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</si>
  <si>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</si>
  <si>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</si>
  <si>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</si>
  <si>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</si>
  <si>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</si>
  <si>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</si>
  <si>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</si>
  <si>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</si>
  <si>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</si>
  <si>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</si>
  <si>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</si>
  <si>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</si>
  <si>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</si>
  <si>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</si>
  <si>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</si>
  <si>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</si>
  <si>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</si>
  <si>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</si>
  <si>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</si>
  <si>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</si>
  <si>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</si>
  <si>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</si>
  <si>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</si>
  <si>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</si>
  <si>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</si>
  <si>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</si>
  <si>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</si>
  <si>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</si>
  <si>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</si>
  <si>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</si>
  <si>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</si>
  <si>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</si>
  <si>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</si>
  <si>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</si>
  <si>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</si>
  <si>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</si>
  <si>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</si>
  <si>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</si>
  <si>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</si>
  <si>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</si>
  <si>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</si>
  <si>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</si>
  <si>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</si>
  <si>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</si>
  <si>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</si>
  <si>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</si>
  <si>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</si>
  <si>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</si>
  <si>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</si>
  <si>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</si>
  <si>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</si>
  <si>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</si>
  <si>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</si>
  <si>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</si>
  <si>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</si>
  <si>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</si>
  <si>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</si>
  <si>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</si>
  <si>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</si>
  <si>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</si>
  <si>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</si>
  <si>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</si>
  <si>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</si>
  <si>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</si>
  <si>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</si>
  <si>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</si>
  <si>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</si>
  <si>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</si>
  <si>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</si>
  <si>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</si>
  <si>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</si>
  <si>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</si>
  <si>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</si>
  <si>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</si>
  <si>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</si>
  <si>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</si>
  <si>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</si>
  <si>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</si>
  <si>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</si>
  <si>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</si>
  <si>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</si>
  <si>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</si>
  <si>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</si>
  <si>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</si>
  <si>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</si>
  <si>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</si>
  <si>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</si>
  <si>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</si>
  <si>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</si>
  <si>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</si>
  <si>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</si>
  <si>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</si>
  <si>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</si>
  <si>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</si>
  <si>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</si>
  <si>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</si>
  <si>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</si>
  <si>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</si>
  <si>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</si>
  <si>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</si>
  <si>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</si>
  <si>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</si>
  <si>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</si>
  <si>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</si>
  <si>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</si>
  <si>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</si>
  <si>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</si>
  <si>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</si>
  <si>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</si>
  <si>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</si>
  <si>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</si>
  <si>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</si>
  <si>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</si>
  <si>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</si>
  <si>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</si>
  <si>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</si>
  <si>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</si>
  <si>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</si>
  <si>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</si>
  <si>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</si>
  <si>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</si>
  <si>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</si>
  <si>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</si>
  <si>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</si>
  <si>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</si>
  <si>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</si>
  <si>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</si>
  <si>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</si>
  <si>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</si>
  <si>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</si>
  <si>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</si>
  <si>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</si>
  <si>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</si>
  <si>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</si>
  <si>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</si>
  <si>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</si>
  <si>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</si>
  <si>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</si>
  <si>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</si>
  <si>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</si>
  <si>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</si>
  <si>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</si>
  <si>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</si>
  <si>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</si>
  <si>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</si>
  <si>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</si>
  <si>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</si>
  <si>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</si>
  <si>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</si>
  <si>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</si>
  <si>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</si>
  <si>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</si>
  <si>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</si>
  <si>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</si>
  <si>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</si>
  <si>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</si>
  <si>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</si>
  <si>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</si>
  <si>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</si>
  <si>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</si>
  <si>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</si>
  <si>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</si>
  <si>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</si>
  <si>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</si>
  <si>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</si>
  <si>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</si>
  <si>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</si>
  <si>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</si>
  <si>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</si>
  <si>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</si>
  <si>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</si>
  <si>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</si>
  <si>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</si>
  <si>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</si>
  <si>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</si>
  <si>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</si>
  <si>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</si>
  <si>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</si>
  <si>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</si>
  <si>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</si>
  <si>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</si>
  <si>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</si>
  <si>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</si>
  <si>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</si>
  <si>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</si>
  <si>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</si>
  <si>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</si>
  <si>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</si>
  <si>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</si>
  <si>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</si>
  <si>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</si>
  <si>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</si>
  <si>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</si>
  <si>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</si>
  <si>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</si>
  <si>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</si>
  <si>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</si>
  <si>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</si>
  <si>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</si>
  <si>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</si>
  <si>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</si>
  <si>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</si>
  <si>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</si>
  <si>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</si>
  <si>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</si>
  <si>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</si>
  <si>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</si>
  <si>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</si>
  <si>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</si>
  <si>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</si>
  <si>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</si>
  <si>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</si>
  <si>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</si>
  <si>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</si>
  <si>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</si>
  <si>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</si>
  <si>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</si>
  <si>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</si>
  <si>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</si>
  <si>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</si>
  <si>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</si>
  <si>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</si>
  <si>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</si>
  <si>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</si>
  <si>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</si>
  <si>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</si>
  <si>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</si>
  <si>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</si>
  <si>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</si>
  <si>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</si>
  <si>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</si>
  <si>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</si>
  <si>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</si>
  <si>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</si>
  <si>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</si>
  <si>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</si>
  <si>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</si>
  <si>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</si>
  <si>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</si>
  <si>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</si>
  <si>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</si>
  <si>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</si>
  <si>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</si>
  <si>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</si>
  <si>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</si>
  <si>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</si>
  <si>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</si>
  <si>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</si>
  <si>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</si>
  <si>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</si>
  <si>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</si>
  <si>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</si>
  <si>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</si>
  <si>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</si>
  <si>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</si>
  <si>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</si>
  <si>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</si>
  <si>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</si>
  <si>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</si>
  <si>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</si>
  <si>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</si>
  <si>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</si>
  <si>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</si>
  <si>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</si>
  <si>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</si>
  <si>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</si>
  <si>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</si>
  <si>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</si>
  <si>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</si>
  <si>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</si>
  <si>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</si>
  <si>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</si>
  <si>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</si>
  <si>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</si>
  <si>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</si>
  <si>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</si>
  <si>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</si>
  <si>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</si>
  <si>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</si>
  <si>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</si>
  <si>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</si>
  <si>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</si>
  <si>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</si>
  <si>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</si>
  <si>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</si>
  <si>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</si>
  <si>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</si>
  <si>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</si>
  <si>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</si>
  <si>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</si>
  <si>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</si>
  <si>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</si>
  <si>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</si>
  <si>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</si>
  <si>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</si>
  <si>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</si>
  <si>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</si>
  <si>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</si>
  <si>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</si>
  <si>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</si>
  <si>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</si>
  <si>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</si>
  <si>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</si>
  <si>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</si>
  <si>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</si>
  <si>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</si>
  <si>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</si>
  <si>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</si>
  <si>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</si>
  <si>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</si>
  <si>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</si>
  <si>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</si>
  <si>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</si>
  <si>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</si>
  <si>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</si>
  <si>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</si>
  <si>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</si>
  <si>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</si>
  <si>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</si>
  <si>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</si>
  <si>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</si>
  <si>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</si>
  <si>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</si>
  <si>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</si>
  <si>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</si>
  <si>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</si>
  <si>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</si>
  <si>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</si>
  <si>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</si>
  <si>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</si>
  <si>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</si>
  <si>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</si>
  <si>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</si>
  <si>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</si>
  <si>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</si>
  <si>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</si>
  <si>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</si>
  <si>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</si>
  <si>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</si>
  <si>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</si>
  <si>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</si>
  <si>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</si>
  <si>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</si>
  <si>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</si>
  <si>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</si>
  <si>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</si>
  <si>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</si>
  <si>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</si>
  <si>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</si>
  <si>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</si>
  <si>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</si>
  <si>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</si>
  <si>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</si>
  <si>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</si>
  <si>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</si>
  <si>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</si>
  <si>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</si>
  <si>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</si>
  <si>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</si>
  <si>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</si>
  <si>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</si>
  <si>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</si>
  <si>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</si>
  <si>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</si>
  <si>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</si>
  <si>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</si>
  <si>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</si>
  <si>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</si>
  <si>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</si>
  <si>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</si>
  <si>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</si>
  <si>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</si>
  <si>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</si>
  <si>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</si>
  <si>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</si>
  <si>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</si>
  <si>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</si>
  <si>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</si>
  <si>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</si>
  <si>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</si>
  <si>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</si>
  <si>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</si>
  <si>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</si>
  <si>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</si>
  <si>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</si>
  <si>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</si>
  <si>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</si>
  <si>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</si>
  <si>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</si>
  <si>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</si>
  <si>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</si>
  <si>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</si>
  <si>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</si>
  <si>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</si>
  <si>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</si>
  <si>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</si>
  <si>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</si>
  <si>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</si>
  <si>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</si>
  <si>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</si>
  <si>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</si>
  <si>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</si>
  <si>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</si>
  <si>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</si>
  <si>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</si>
  <si>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</si>
  <si>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</si>
  <si>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</si>
  <si>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</si>
  <si>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</si>
  <si>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</si>
  <si>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</si>
  <si>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</si>
  <si>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</si>
  <si>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</si>
  <si>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</si>
  <si>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</si>
  <si>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</si>
  <si>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</si>
  <si>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</si>
  <si>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</si>
  <si>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</si>
  <si>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</si>
  <si>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</si>
  <si>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</si>
  <si>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</si>
  <si>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</si>
  <si>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</si>
  <si>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</si>
  <si>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</si>
  <si>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</si>
  <si>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</si>
  <si>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</si>
  <si>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</si>
  <si>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</si>
  <si>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</si>
  <si>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</si>
  <si>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</si>
  <si>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</si>
  <si>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</si>
  <si>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</si>
  <si>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</si>
  <si>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</si>
  <si>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</si>
  <si>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</si>
  <si>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</si>
  <si>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</si>
  <si>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</si>
  <si>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</si>
  <si>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</si>
  <si>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</si>
  <si>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</si>
  <si>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</si>
  <si>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</si>
  <si>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</si>
  <si>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</si>
  <si>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</si>
  <si>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</si>
  <si>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</si>
  <si>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</si>
  <si>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</si>
  <si>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</si>
  <si>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</si>
  <si>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</si>
  <si>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</si>
  <si>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</si>
  <si>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</si>
  <si>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</si>
  <si>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</si>
  <si>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</si>
  <si>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</si>
  <si>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</si>
  <si>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</si>
  <si>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</si>
  <si>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</si>
  <si>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</si>
  <si>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</si>
  <si>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</si>
  <si>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</si>
  <si>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</si>
  <si>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</si>
  <si>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</si>
  <si>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</si>
  <si>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</si>
  <si>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</si>
  <si>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</si>
  <si>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</si>
  <si>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</si>
  <si>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</si>
  <si>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</si>
  <si>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</si>
  <si>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</si>
  <si>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</si>
  <si>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</si>
  <si>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</si>
  <si>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</si>
  <si>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</si>
  <si>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</si>
  <si>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</si>
  <si>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</si>
  <si>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</si>
  <si>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</si>
  <si>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</si>
  <si>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</si>
  <si>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</si>
  <si>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</si>
  <si>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</si>
  <si>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</si>
  <si>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</si>
  <si>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</si>
  <si>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</si>
  <si>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</si>
  <si>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</si>
  <si>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</si>
  <si>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</si>
  <si>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</si>
  <si>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</si>
  <si>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</si>
  <si>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</si>
  <si>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</si>
  <si>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</si>
  <si>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</si>
  <si>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</si>
  <si>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</si>
  <si>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</si>
  <si>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</si>
  <si>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</si>
  <si>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</si>
  <si>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</si>
  <si>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</si>
  <si>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</si>
  <si>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</si>
  <si>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</si>
  <si>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</si>
  <si>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</si>
  <si>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</si>
  <si>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</si>
  <si>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</si>
  <si>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</si>
  <si>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</si>
  <si>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</si>
  <si>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</si>
  <si>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</si>
  <si>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</si>
  <si>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</si>
  <si>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</si>
  <si>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</si>
  <si>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</si>
  <si>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</si>
  <si>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</si>
  <si>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</si>
  <si>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</si>
  <si>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</si>
  <si>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</si>
  <si>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</si>
  <si>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</si>
  <si>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</si>
  <si>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</si>
  <si>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</si>
  <si>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</si>
  <si>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</si>
  <si>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</si>
  <si>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</si>
  <si>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</si>
  <si>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</si>
  <si>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</si>
  <si>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</si>
  <si>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</si>
  <si>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</si>
  <si>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</si>
  <si>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</si>
  <si>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</si>
  <si>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</si>
  <si>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</si>
  <si>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</si>
  <si>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</si>
  <si>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</si>
  <si>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</si>
  <si>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</si>
  <si>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</si>
  <si>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</si>
  <si>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</si>
  <si>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</si>
  <si>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</si>
  <si>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</si>
  <si>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</si>
  <si>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</si>
  <si>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</si>
  <si>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</si>
  <si>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</si>
  <si>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</si>
  <si>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</si>
  <si>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</si>
  <si>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</si>
  <si>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</si>
  <si>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</si>
  <si>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</si>
  <si>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</si>
  <si>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</si>
  <si>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</si>
  <si>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</si>
  <si>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</si>
  <si>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</si>
  <si>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</si>
  <si>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</si>
  <si>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</si>
  <si>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</si>
  <si>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</si>
  <si>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</si>
  <si>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</si>
  <si>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</si>
  <si>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</si>
  <si>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</si>
  <si>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</si>
  <si>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</si>
  <si>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</si>
  <si>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</si>
  <si>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</si>
  <si>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</si>
  <si>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</si>
  <si>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</si>
  <si>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</si>
  <si>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</si>
  <si>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</si>
  <si>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</si>
  <si>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</si>
  <si>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</si>
  <si>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</si>
  <si>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</si>
  <si>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</si>
  <si>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</si>
  <si>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</si>
  <si>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</si>
  <si>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</si>
  <si>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</si>
  <si>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</si>
  <si>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</si>
  <si>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</si>
  <si>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</si>
  <si>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</si>
  <si>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</si>
  <si>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</si>
  <si>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</si>
  <si>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</si>
  <si>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</si>
  <si>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</si>
  <si>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</si>
  <si>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</si>
  <si>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</si>
  <si>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</si>
  <si>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</si>
  <si>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</si>
  <si>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</si>
  <si>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</si>
  <si>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</si>
  <si>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</si>
  <si>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</si>
  <si>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</si>
  <si>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</si>
  <si>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</si>
  <si>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</si>
  <si>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</si>
  <si>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</si>
  <si>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</si>
  <si>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</si>
  <si>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</si>
  <si>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</si>
  <si>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</si>
  <si>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</si>
  <si>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</si>
  <si>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</si>
  <si>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</si>
  <si>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</si>
  <si>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</si>
  <si>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</si>
  <si>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</si>
  <si>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</si>
  <si>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</si>
  <si>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</si>
  <si>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</si>
  <si>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</si>
  <si>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</si>
  <si>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</si>
  <si>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</si>
  <si>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</si>
  <si>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</si>
  <si>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</si>
  <si>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</si>
  <si>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</si>
  <si>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</si>
  <si>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</si>
  <si>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</si>
  <si>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</si>
  <si>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</si>
  <si>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</si>
  <si>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</si>
  <si>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</si>
  <si>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</si>
  <si>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</si>
  <si>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</si>
  <si>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</si>
  <si>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</si>
  <si>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</si>
  <si>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</si>
  <si>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</si>
  <si>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</si>
  <si>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</si>
  <si>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</si>
  <si>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</si>
  <si>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</si>
  <si>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</si>
  <si>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</si>
  <si>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</si>
  <si>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</si>
  <si>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</si>
  <si>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</si>
  <si>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</si>
  <si>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</si>
  <si>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</si>
  <si>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</si>
  <si>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</si>
  <si>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</si>
  <si>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</si>
  <si>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</si>
  <si>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</si>
  <si>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</si>
  <si>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</si>
  <si>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</si>
  <si>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</si>
  <si>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</si>
  <si>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</si>
  <si>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</si>
  <si>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</si>
  <si>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</si>
  <si>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</si>
  <si>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</si>
  <si>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</si>
  <si>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</si>
  <si>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</si>
  <si>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</si>
  <si>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</si>
  <si>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</si>
  <si>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</si>
  <si>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</si>
  <si>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</si>
  <si>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</si>
  <si>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</si>
  <si>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</si>
  <si>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</si>
  <si>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</si>
  <si>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</si>
  <si>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</si>
  <si>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</si>
  <si>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</si>
  <si>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</si>
  <si>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</si>
  <si>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</si>
  <si>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</si>
  <si>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</si>
  <si>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</si>
  <si>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</si>
  <si>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</si>
  <si>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</si>
  <si>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</si>
  <si>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</si>
  <si>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</si>
  <si>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</si>
  <si>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</si>
  <si>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</si>
  <si>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</si>
  <si>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</si>
  <si>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</si>
  <si>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</si>
  <si>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</si>
  <si>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</si>
  <si>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</si>
  <si>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</si>
  <si>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</si>
  <si>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</si>
  <si>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</si>
  <si>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</si>
  <si>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</si>
  <si>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</si>
  <si>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</si>
  <si>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</si>
  <si>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</si>
  <si>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</si>
  <si>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</si>
  <si>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</si>
  <si>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</si>
  <si>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</si>
  <si>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</si>
  <si>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</si>
  <si>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</si>
  <si>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</si>
  <si>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</si>
  <si>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</si>
  <si>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</si>
  <si>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</si>
  <si>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</si>
  <si>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</si>
  <si>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</si>
  <si>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</si>
  <si>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</si>
  <si>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</si>
  <si>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</si>
  <si>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</si>
  <si>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</si>
  <si>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</si>
  <si>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</si>
  <si>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</si>
  <si>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</si>
  <si>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</si>
  <si>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</si>
  <si>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</si>
  <si>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</si>
  <si>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</si>
  <si>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</si>
  <si>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</si>
  <si>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</si>
  <si>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</si>
  <si>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</si>
  <si>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</si>
  <si>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</si>
  <si>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</si>
  <si>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</si>
  <si>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</si>
  <si>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</si>
  <si>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</si>
  <si>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</si>
  <si>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</si>
  <si>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</si>
  <si>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</si>
  <si>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</si>
  <si>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</si>
  <si>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</si>
  <si>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</si>
  <si>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</si>
  <si>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</si>
  <si>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</si>
  <si>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</si>
  <si>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</si>
  <si>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</si>
  <si>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</si>
  <si>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</si>
  <si>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</si>
  <si>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</si>
  <si>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</si>
  <si>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</si>
  <si>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</si>
  <si>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</si>
  <si>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</si>
  <si>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</si>
  <si>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</si>
  <si>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</si>
  <si>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</si>
  <si>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</si>
  <si>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</si>
  <si>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</si>
  <si>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</si>
  <si>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</si>
  <si>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</si>
  <si>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</si>
  <si>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</si>
  <si>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</si>
  <si>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</si>
  <si>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</si>
  <si>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</si>
  <si>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</si>
  <si>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</si>
  <si>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</si>
  <si>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</si>
  <si>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</si>
  <si>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</si>
  <si>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</si>
  <si>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</si>
  <si>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</si>
  <si>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</si>
  <si>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</si>
  <si>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</si>
  <si>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</si>
  <si>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</si>
  <si>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</si>
  <si>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</si>
  <si>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</si>
  <si>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</si>
  <si>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</si>
  <si>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</si>
  <si>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</si>
  <si>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</si>
  <si>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</si>
  <si>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</si>
  <si>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</si>
  <si>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</si>
  <si>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</si>
  <si>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</si>
  <si>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</si>
  <si>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</si>
  <si>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</si>
  <si>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</si>
  <si>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</si>
  <si>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</si>
  <si>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</si>
  <si>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</si>
  <si>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</si>
  <si>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</si>
  <si>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</si>
  <si>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</si>
  <si>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</si>
  <si>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</si>
  <si>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</si>
  <si>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</si>
  <si>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</si>
  <si>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</si>
  <si>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</si>
  <si>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</si>
  <si>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</si>
  <si>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</si>
  <si>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</si>
  <si>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</si>
  <si>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</si>
  <si>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</si>
  <si>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</si>
  <si>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</si>
  <si>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</si>
  <si>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</si>
  <si>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</si>
  <si>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</si>
  <si>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</si>
  <si>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</si>
  <si>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</si>
  <si>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</si>
  <si>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</si>
  <si>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</si>
  <si>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</si>
  <si>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</si>
  <si>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</si>
  <si>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</si>
  <si>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</si>
  <si>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</si>
  <si>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</si>
  <si>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</si>
  <si>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</si>
  <si>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</si>
  <si>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</si>
  <si>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</si>
  <si>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</si>
  <si>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</si>
  <si>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</si>
  <si>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</si>
  <si>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</si>
  <si>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</si>
  <si>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</si>
  <si>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</si>
  <si>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</si>
  <si>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</si>
  <si>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</si>
  <si>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</si>
  <si>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</si>
  <si>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</si>
  <si>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</si>
  <si>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</si>
  <si>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</si>
  <si>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</si>
  <si>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</si>
  <si>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</si>
  <si>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</si>
  <si>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</si>
  <si>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</si>
  <si>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</si>
  <si>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</si>
  <si>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</si>
  <si>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</si>
  <si>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</si>
  <si>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</si>
  <si>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</si>
  <si>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</si>
  <si>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</si>
  <si>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</si>
  <si>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</si>
  <si>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</si>
  <si>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</si>
  <si>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</si>
  <si>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</si>
  <si>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</si>
  <si>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</si>
  <si>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</si>
  <si>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</si>
  <si>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</si>
  <si>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</si>
  <si>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</si>
  <si>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</si>
  <si>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</si>
  <si>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</si>
  <si>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</si>
  <si>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</si>
  <si>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</si>
  <si>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</si>
  <si>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</si>
  <si>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</si>
  <si>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</si>
  <si>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</si>
  <si>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</si>
  <si>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</si>
  <si>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</si>
  <si>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</si>
  <si>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</si>
  <si>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</si>
  <si>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</si>
  <si>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</si>
  <si>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</si>
  <si>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</si>
  <si>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</si>
  <si>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</si>
  <si>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</si>
  <si>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</si>
  <si>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</si>
  <si>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</si>
  <si>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</si>
  <si>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</si>
  <si>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</si>
  <si>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</si>
  <si>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</si>
  <si>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</si>
  <si>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</si>
  <si>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</si>
  <si>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</si>
  <si>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</si>
  <si>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</si>
  <si>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</si>
  <si>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</si>
  <si>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</si>
  <si>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</si>
  <si>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</si>
  <si>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</si>
  <si>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</si>
  <si>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</si>
  <si>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</si>
  <si>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</si>
  <si>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</si>
  <si>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</si>
  <si>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</si>
  <si>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</si>
  <si>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</si>
  <si>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</si>
  <si>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</si>
  <si>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</si>
  <si>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</si>
  <si>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</si>
  <si>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</si>
  <si>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</si>
  <si>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</si>
  <si>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</si>
  <si>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</si>
  <si>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</si>
  <si>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</si>
  <si>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</si>
  <si>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</si>
  <si>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</si>
  <si>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</si>
  <si>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</si>
  <si>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</si>
  <si>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</si>
  <si>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</si>
  <si>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</si>
  <si>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</si>
  <si>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</si>
  <si>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</si>
  <si>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</si>
  <si>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</si>
  <si>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</si>
  <si>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</si>
  <si>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</si>
  <si>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</si>
  <si>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</si>
  <si>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</si>
  <si>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</si>
  <si>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</si>
  <si>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</si>
  <si>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</si>
  <si>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</si>
  <si>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</si>
  <si>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</si>
  <si>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</si>
  <si>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</si>
  <si>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</si>
  <si>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</si>
  <si>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</si>
  <si>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</si>
  <si>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</si>
  <si>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</si>
  <si>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</si>
  <si>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</si>
  <si>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</si>
  <si>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</si>
  <si>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</si>
  <si>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</si>
  <si>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</si>
  <si>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</si>
  <si>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</si>
  <si>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</si>
  <si>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</si>
  <si>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</si>
  <si>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</si>
  <si>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</si>
  <si>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</si>
  <si>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</si>
  <si>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</si>
  <si>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</si>
  <si>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</si>
  <si>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</si>
  <si>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</si>
  <si>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</si>
  <si>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</si>
  <si>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</si>
  <si>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</si>
  <si>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</si>
  <si>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</si>
  <si>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</si>
  <si>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</si>
  <si>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</si>
  <si>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</si>
  <si>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</si>
  <si>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</si>
  <si>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</si>
  <si>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</si>
  <si>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</si>
  <si>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</si>
  <si>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</si>
  <si>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</si>
  <si>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</si>
  <si>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</si>
  <si>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</si>
  <si>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</si>
  <si>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</si>
  <si>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</si>
  <si>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</si>
  <si>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</si>
  <si>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</si>
  <si>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</si>
  <si>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</si>
  <si>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</si>
  <si>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</si>
  <si>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</si>
  <si>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</si>
  <si>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</si>
  <si>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</si>
  <si>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</si>
  <si>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</si>
  <si>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</si>
  <si>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</si>
  <si>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</si>
  <si>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</si>
  <si>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</si>
  <si>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</si>
  <si>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</si>
  <si>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</si>
  <si>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</si>
  <si>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</si>
  <si>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</si>
  <si>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</si>
  <si>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</si>
  <si>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</si>
  <si>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</si>
  <si>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</si>
  <si>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</si>
  <si>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</si>
  <si>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</si>
  <si>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</si>
  <si>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</si>
  <si>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</si>
  <si>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</si>
  <si>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</si>
  <si>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</si>
  <si>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</si>
  <si>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</si>
  <si>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</si>
  <si>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</si>
  <si>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</si>
  <si>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</si>
  <si>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</si>
  <si>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</si>
  <si>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</si>
  <si>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</si>
  <si>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</si>
  <si>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</si>
  <si>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</si>
  <si>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</si>
  <si>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</si>
  <si>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</si>
  <si>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</si>
  <si>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</si>
  <si>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</si>
  <si>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</si>
  <si>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</si>
  <si>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</si>
  <si>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</si>
  <si>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</si>
  <si>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</si>
  <si>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</si>
  <si>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</si>
  <si>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</si>
  <si>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</si>
  <si>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</si>
  <si>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</si>
  <si>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</si>
  <si>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</si>
  <si>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</si>
  <si>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</si>
  <si>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</si>
  <si>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</si>
  <si>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</si>
  <si>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</si>
  <si>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</si>
  <si>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</si>
  <si>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</si>
  <si>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</si>
  <si>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</si>
  <si>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</si>
  <si>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</si>
  <si>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</si>
  <si>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</si>
  <si>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</si>
  <si>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</si>
  <si>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</si>
  <si>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</si>
  <si>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</si>
  <si>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</si>
  <si>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</si>
  <si>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</si>
  <si>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</si>
  <si>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</si>
  <si>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</si>
  <si>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</si>
  <si>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</si>
  <si>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</si>
  <si>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</si>
  <si>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</si>
  <si>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</si>
  <si>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</si>
  <si>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</si>
  <si>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</si>
  <si>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</si>
  <si>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</si>
  <si>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</si>
  <si>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</si>
  <si>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</si>
  <si>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</si>
  <si>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</si>
  <si>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</si>
  <si>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</si>
  <si>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</si>
  <si>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</si>
  <si>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</si>
  <si>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</si>
  <si>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</si>
  <si>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</si>
  <si>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</si>
  <si>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</si>
  <si>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</si>
  <si>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</si>
  <si>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</si>
  <si>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</si>
  <si>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</si>
  <si>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</si>
  <si>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</si>
  <si>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</si>
  <si>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</si>
  <si>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</si>
  <si>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</si>
  <si>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</si>
  <si>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</si>
  <si>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</si>
  <si>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</si>
  <si>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</si>
  <si>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</si>
  <si>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</si>
  <si>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</si>
  <si>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</si>
  <si>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</si>
  <si>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</si>
  <si>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</si>
  <si>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</si>
  <si>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</si>
  <si>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</si>
  <si>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</si>
  <si>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</si>
  <si>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</si>
  <si>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</si>
  <si>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</si>
  <si>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</si>
  <si>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</si>
  <si>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</si>
  <si>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</si>
  <si>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</si>
  <si>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</si>
  <si>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</si>
  <si>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</si>
  <si>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</si>
  <si>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</si>
  <si>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</si>
  <si>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</si>
  <si>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</si>
  <si>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</si>
  <si>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</si>
  <si>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</si>
  <si>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</si>
  <si>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</si>
  <si>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</si>
  <si>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</si>
  <si>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</si>
  <si>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</si>
  <si>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</si>
  <si>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</si>
  <si>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</si>
  <si>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</si>
  <si>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</si>
  <si>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</si>
  <si>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</si>
  <si>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</si>
  <si>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</si>
  <si>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</si>
  <si>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</si>
  <si>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</si>
  <si>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</si>
  <si>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</si>
  <si>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</si>
  <si>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</si>
  <si>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</si>
  <si>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</si>
  <si>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</si>
  <si>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</si>
  <si>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</si>
  <si>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</si>
  <si>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</si>
  <si>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</si>
  <si>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</si>
  <si>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</si>
  <si>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</si>
  <si>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</si>
  <si>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</si>
  <si>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</si>
  <si>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</si>
  <si>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</si>
  <si>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</si>
  <si>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</si>
  <si>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</si>
  <si>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</si>
  <si>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</si>
  <si>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</si>
  <si>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</si>
  <si>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</si>
  <si>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</si>
  <si>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</si>
  <si>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</si>
  <si>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</si>
  <si>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</si>
  <si>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</si>
  <si>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</si>
  <si>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</si>
  <si>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</si>
  <si>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</si>
  <si>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</si>
  <si>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</si>
  <si>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</si>
  <si>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</si>
  <si>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</si>
  <si>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</si>
  <si>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</si>
  <si>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</si>
  <si>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</si>
  <si>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</si>
  <si>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</si>
  <si>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</si>
  <si>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</si>
  <si>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</si>
  <si>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</si>
  <si>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</si>
  <si>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</si>
  <si>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</si>
  <si>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</si>
  <si>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</si>
  <si>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</si>
  <si>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</si>
  <si>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</si>
  <si>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</si>
  <si>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</si>
  <si>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</si>
  <si>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</si>
  <si>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</si>
  <si>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</si>
  <si>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</si>
  <si>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</si>
  <si>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</si>
  <si>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</si>
  <si>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</si>
  <si>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</si>
  <si>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</si>
  <si>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</si>
  <si>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</si>
  <si>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</si>
  <si>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</si>
  <si>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</si>
  <si>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</si>
  <si>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Z3_OLBV_T3_M1s2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</si>
</sst>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3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62.915000000000006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183.30249300978397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6.314740701652175</v>
      </c>
      <c r="M5" s="143">
        <f>CdTrp1!H215+CdTrp2!H215+CdTrp3!H215+CdTrp4!H215</f>
        <v>8.7923638721739135</v>
      </c>
      <c r="N5" s="143">
        <f>CdTrp1!I215+CdTrp2!I215+CdTrp3!I215+CdTrp4!I215</f>
        <v>6.2197025556521766</v>
      </c>
      <c r="O5" s="143">
        <f>CdTrp1!J215+CdTrp2!J215+CdTrp3!J215+CdTrp4!J215</f>
        <v>6.3615882466956526</v>
      </c>
      <c r="P5" s="143">
        <f>CdTrp1!K215+CdTrp2!K215+CdTrp3!K215+CdTrp4!K215</f>
        <v>6.5531118240000019</v>
      </c>
      <c r="Q5" s="143">
        <f>CdTrp1!L215+CdTrp2!L215+CdTrp3!L215+CdTrp4!L215</f>
        <v>8.8344736200000007</v>
      </c>
      <c r="R5" s="143">
        <f>CdTrp1!M215+CdTrp2!M215+CdTrp3!M215+CdTrp4!M215</f>
        <v>3.7664755434782609</v>
      </c>
      <c r="S5" s="143">
        <f>CdTrp1!N215+CdTrp2!N215+CdTrp3!N215+CdTrp4!N215</f>
        <v>3.8920247282608695</v>
      </c>
      <c r="T5" s="143">
        <f>CdTrp1!O215+CdTrp2!O215+CdTrp3!O215+CdTrp4!O215</f>
        <v>3.8920247282608695</v>
      </c>
      <c r="U5" s="143">
        <f>CdTrp1!P215+CdTrp2!P215+CdTrp3!P215+CdTrp4!P215</f>
        <v>3.8920247282608695</v>
      </c>
      <c r="V5" s="143">
        <f>CdTrp1!Q215+CdTrp2!Q215+CdTrp3!Q215+CdTrp4!Q215</f>
        <v>1.3161804782608697</v>
      </c>
      <c r="W5" s="143">
        <f>CdTrp1!R215+CdTrp2!R215+CdTrp3!R215+CdTrp4!R215</f>
        <v>1.2737230434782609</v>
      </c>
      <c r="X5" s="143">
        <f>CdTrp1!S215+CdTrp2!S215+CdTrp3!S215+CdTrp4!S215</f>
        <v>1.2737230434782609</v>
      </c>
      <c r="Y5" s="143">
        <f>CdTrp1!T215+CdTrp2!T215+CdTrp3!T215+CdTrp4!T215</f>
        <v>4.5286188058695656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171.05701616713046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0.83194969565217392</v>
      </c>
      <c r="H6" s="143">
        <f>CdTrp1!C216+CdTrp2!C216+CdTrp3!C216+CdTrp4!C216</f>
        <v>0.83194969565217392</v>
      </c>
      <c r="I6" s="143">
        <f>CdTrp1!D216+CdTrp2!D216+CdTrp3!D216+CdTrp4!D216</f>
        <v>0.75143843478260874</v>
      </c>
      <c r="J6" s="143">
        <f>CdTrp1!E216+CdTrp2!E216+CdTrp3!E216+CdTrp4!E216</f>
        <v>0.75143843478260874</v>
      </c>
      <c r="K6" s="143">
        <f>CdTrp1!F216+CdTrp2!F216+CdTrp3!F216+CdTrp4!F216</f>
        <v>2.2537336956521736</v>
      </c>
      <c r="L6" s="143">
        <f>CdTrp1!G216+CdTrp2!G216+CdTrp3!G216+CdTrp4!G216</f>
        <v>2.3129746956521737</v>
      </c>
      <c r="M6" s="143">
        <f>CdTrp1!H216+CdTrp2!H216+CdTrp3!H216+CdTrp4!H216</f>
        <v>2.1810326086956522</v>
      </c>
      <c r="N6" s="143">
        <f>CdTrp1!I216+CdTrp2!I216+CdTrp3!I216+CdTrp4!I216</f>
        <v>4.2174647686956526</v>
      </c>
      <c r="O6" s="143">
        <f>CdTrp1!J216+CdTrp2!J216+CdTrp3!J216+CdTrp4!J216</f>
        <v>4.8295779456521739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3.2248749749999996</v>
      </c>
      <c r="W6" s="143">
        <f>CdTrp1!R216+CdTrp2!R216+CdTrp3!R216+CdTrp4!R216</f>
        <v>3.0723839999999996</v>
      </c>
      <c r="X6" s="143">
        <f>CdTrp1!S216+CdTrp2!S216+CdTrp3!S216+CdTrp4!S216</f>
        <v>3.0723839999999996</v>
      </c>
      <c r="Y6" s="143">
        <f>CdTrp1!T216+CdTrp2!T216+CdTrp3!T216+CdTrp4!T216</f>
        <v>1.4217839999999997</v>
      </c>
      <c r="Z6" s="143">
        <f>CdTrp1!U216+CdTrp2!U216+CdTrp3!U216+CdTrp4!U216</f>
        <v>0.83194969565217392</v>
      </c>
      <c r="AA6" s="143">
        <f>CdTrp1!V216+CdTrp2!V216+CdTrp3!V216+CdTrp4!V216</f>
        <v>0.80511260869565215</v>
      </c>
      <c r="AB6" s="143">
        <f>CdTrp1!W216+CdTrp2!W216+CdTrp3!W216+CdTrp4!W216</f>
        <v>0.80511260869565215</v>
      </c>
      <c r="AC6" s="143">
        <f>CdTrp1!X216+CdTrp2!X216+CdTrp3!X216+CdTrp4!X216</f>
        <v>0.83194969565217392</v>
      </c>
      <c r="AD6" s="143">
        <f>CdTrp1!Y216+CdTrp2!Y216+CdTrp3!Y216+CdTrp4!Y216</f>
        <v>0.83194969565217392</v>
      </c>
      <c r="AE6" s="153"/>
      <c r="AF6" s="154"/>
    </row>
    <row r="7" spans="1:53" x14ac:dyDescent="0.25">
      <c r="B7" s="14" t="s">
        <v>294</v>
      </c>
      <c r="C7" s="144">
        <f>ROUNDUP(C4-C6-0.9*C5,1)</f>
        <v>170.1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0.83194969565217392</v>
      </c>
      <c r="H8" s="143">
        <f t="shared" ref="H8:AD8" si="0">SUM(H5:H7)</f>
        <v>0.83194969565217392</v>
      </c>
      <c r="I8" s="143">
        <f t="shared" si="0"/>
        <v>0.75143843478260874</v>
      </c>
      <c r="J8" s="143">
        <f t="shared" si="0"/>
        <v>0.75143843478260874</v>
      </c>
      <c r="K8" s="143">
        <f t="shared" si="0"/>
        <v>2.2537336956521736</v>
      </c>
      <c r="L8" s="143">
        <f t="shared" si="0"/>
        <v>8.6277153973043497</v>
      </c>
      <c r="M8" s="143">
        <f t="shared" si="0"/>
        <v>10.973396480869566</v>
      </c>
      <c r="N8" s="143">
        <f t="shared" si="0"/>
        <v>10.437167324347829</v>
      </c>
      <c r="O8" s="143">
        <f t="shared" si="0"/>
        <v>11.191166192347826</v>
      </c>
      <c r="P8" s="143">
        <f t="shared" si="0"/>
        <v>10.550740074000002</v>
      </c>
      <c r="Q8" s="143">
        <f t="shared" si="0"/>
        <v>10.210393620000001</v>
      </c>
      <c r="R8" s="143">
        <f t="shared" si="0"/>
        <v>5.1423955434782602</v>
      </c>
      <c r="S8" s="143">
        <f t="shared" si="0"/>
        <v>5.3138087282608693</v>
      </c>
      <c r="T8" s="143">
        <f t="shared" si="0"/>
        <v>5.3138087282608693</v>
      </c>
      <c r="U8" s="143">
        <f t="shared" si="0"/>
        <v>5.3138087282608693</v>
      </c>
      <c r="V8" s="143">
        <f t="shared" si="0"/>
        <v>4.5410554532608689</v>
      </c>
      <c r="W8" s="143">
        <f t="shared" si="0"/>
        <v>4.3461070434782609</v>
      </c>
      <c r="X8" s="143">
        <f t="shared" si="0"/>
        <v>4.3461070434782609</v>
      </c>
      <c r="Y8" s="143">
        <f t="shared" si="0"/>
        <v>5.9504028058695653</v>
      </c>
      <c r="Z8" s="143">
        <f t="shared" si="0"/>
        <v>8.9564843230434796</v>
      </c>
      <c r="AA8" s="143">
        <f t="shared" si="0"/>
        <v>3.7834502086956521</v>
      </c>
      <c r="AB8" s="143">
        <f t="shared" si="0"/>
        <v>3.7849496086956522</v>
      </c>
      <c r="AC8" s="143">
        <f t="shared" si="0"/>
        <v>0.83194969565217392</v>
      </c>
      <c r="AD8" s="143">
        <f t="shared" si="0"/>
        <v>0.83194969565217392</v>
      </c>
      <c r="AE8" s="153"/>
      <c r="AF8" s="144">
        <f>SUM(G8:AD8)</f>
        <v>125.86736665147826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6.3349975956521751</v>
      </c>
      <c r="S9" s="143">
        <f>CdTrp1!N218+CdTrp2!N218+CdTrp3!N218+CdTrp4!N218</f>
        <v>6.5461641821739143</v>
      </c>
      <c r="T9" s="143">
        <f>CdTrp1!O218+CdTrp2!O218+CdTrp3!O218+CdTrp4!O218</f>
        <v>6.5461641821739143</v>
      </c>
      <c r="U9" s="143">
        <f>CdTrp1!P218+CdTrp2!P218+CdTrp3!P218+CdTrp4!P218</f>
        <v>6.5461641821739143</v>
      </c>
      <c r="V9" s="143">
        <f>CdTrp1!Q218+CdTrp2!Q218+CdTrp3!Q218+CdTrp4!Q218</f>
        <v>6.5461641821739143</v>
      </c>
      <c r="W9" s="143">
        <f>CdTrp1!R218+CdTrp2!R218+CdTrp3!R218+CdTrp4!R218</f>
        <v>6.3349975956521751</v>
      </c>
      <c r="X9" s="143">
        <f>CdTrp1!S218+CdTrp2!S218+CdTrp3!S218+CdTrp4!S218</f>
        <v>6.3349975956521751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45.189649515652185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48.5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24.5</v>
      </c>
      <c r="H18" s="158">
        <f>G18/G17</f>
        <v>0.50515463917525771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20.5</v>
      </c>
      <c r="H19" s="158">
        <f>G19/G17</f>
        <v>0.42268041237113402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Q15" sqref="Q1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0.83194969565217392</v>
      </c>
      <c r="AT5" s="13">
        <f>'Conduite Trp'!H8</f>
        <v>0.83194969565217392</v>
      </c>
      <c r="AU5" s="13">
        <f>'Conduite Trp'!I8</f>
        <v>0.75143843478260874</v>
      </c>
      <c r="AV5" s="13">
        <f>'Conduite Trp'!J8</f>
        <v>0.75143843478260874</v>
      </c>
      <c r="AW5" s="13">
        <f>'Conduite Trp'!K8</f>
        <v>2.2537336956521736</v>
      </c>
      <c r="AX5" s="13">
        <f>'Conduite Trp'!L8</f>
        <v>8.6277153973043497</v>
      </c>
      <c r="AY5" s="13">
        <f>'Conduite Trp'!M8</f>
        <v>10.973396480869566</v>
      </c>
      <c r="AZ5" s="13">
        <f>'Conduite Trp'!N8</f>
        <v>10.437167324347829</v>
      </c>
      <c r="BA5" s="13">
        <f>'Conduite Trp'!O8</f>
        <v>11.191166192347826</v>
      </c>
      <c r="BB5" s="13">
        <f>'Conduite Trp'!P8</f>
        <v>10.550740074000002</v>
      </c>
      <c r="BC5" s="13">
        <f>'Conduite Trp'!Q8</f>
        <v>10.210393620000001</v>
      </c>
      <c r="BD5" s="13">
        <f>'Conduite Trp'!R8</f>
        <v>5.1423955434782602</v>
      </c>
      <c r="BE5" s="13">
        <f>'Conduite Trp'!S8</f>
        <v>5.3138087282608693</v>
      </c>
      <c r="BF5" s="13">
        <f>'Conduite Trp'!T8</f>
        <v>5.3138087282608693</v>
      </c>
      <c r="BG5" s="13">
        <f>'Conduite Trp'!U8</f>
        <v>5.3138087282608693</v>
      </c>
      <c r="BH5" s="13">
        <f>'Conduite Trp'!V8</f>
        <v>4.5410554532608689</v>
      </c>
      <c r="BI5" s="13">
        <f>'Conduite Trp'!W8</f>
        <v>4.3461070434782609</v>
      </c>
      <c r="BJ5" s="13">
        <f>'Conduite Trp'!X8</f>
        <v>4.3461070434782609</v>
      </c>
      <c r="BK5" s="13">
        <f>'Conduite Trp'!Y8</f>
        <v>5.9504028058695653</v>
      </c>
      <c r="BL5" s="13">
        <f>'Conduite Trp'!Z8</f>
        <v>8.9564843230434796</v>
      </c>
      <c r="BM5" s="13">
        <f>'Conduite Trp'!AA8</f>
        <v>3.7834502086956521</v>
      </c>
      <c r="BN5" s="13">
        <f>'Conduite Trp'!AB8</f>
        <v>3.7849496086956522</v>
      </c>
      <c r="BO5" s="13">
        <f>'Conduite Trp'!AC8</f>
        <v>0.83194969565217392</v>
      </c>
      <c r="BP5" s="13">
        <f>'Conduite Trp'!AD8</f>
        <v>0.83194969565217392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310</v>
      </c>
      <c r="R7" s="39">
        <v>5.4</v>
      </c>
      <c r="S7" s="290" t="str">
        <f>VLOOKUP($Q7,[1]MEP!$A$5:$D$300,3)</f>
        <v>PP BONNE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3.5</v>
      </c>
      <c r="W7" s="76">
        <f>VLOOKUP($Q7,[1]MEP!$A$4:$K$300,6)</f>
        <v>0</v>
      </c>
      <c r="X7" s="76">
        <f>VLOOKUP($Q7,[1]MEP!$A$4:$K$300,7)</f>
        <v>1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18.900000000000002</v>
      </c>
      <c r="AF7" s="61">
        <f t="shared" ref="AF7:AF26" si="1">$R7*W7</f>
        <v>0</v>
      </c>
      <c r="AG7" s="61">
        <f t="shared" ref="AG7:AG26" si="2">$R7*X7</f>
        <v>5.4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20.52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10.973396480869566</v>
      </c>
      <c r="AZ7" s="61">
        <f t="shared" si="7"/>
        <v>10.437167324347829</v>
      </c>
      <c r="BA7" s="61">
        <f t="shared" si="7"/>
        <v>11.191166192347826</v>
      </c>
      <c r="BB7" s="61">
        <f t="shared" si="7"/>
        <v>10.550740074000002</v>
      </c>
      <c r="BC7" s="61">
        <f t="shared" si="7"/>
        <v>10.210393620000001</v>
      </c>
      <c r="BD7" s="61">
        <f t="shared" si="7"/>
        <v>5.1423955434782602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58.505259235043482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62.915000000000006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5.3138087282608693</v>
      </c>
      <c r="BF8" s="61">
        <f t="shared" si="8"/>
        <v>5.3138087282608693</v>
      </c>
      <c r="BG8" s="61">
        <f t="shared" si="8"/>
        <v>5.3138087282608693</v>
      </c>
      <c r="BH8" s="61">
        <f t="shared" si="8"/>
        <v>4.5410554532608689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20.482481638043474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62.915000000000006</v>
      </c>
      <c r="G9" s="81"/>
      <c r="H9" s="61">
        <f>SUM(L34:L43)</f>
        <v>9</v>
      </c>
      <c r="I9" s="81"/>
      <c r="J9" s="81"/>
      <c r="K9" s="93">
        <f>H9-F9</f>
        <v>-53.915000000000006</v>
      </c>
      <c r="L9" s="81"/>
      <c r="M9" s="100"/>
      <c r="P9">
        <v>3</v>
      </c>
      <c r="Q9" s="39">
        <v>228</v>
      </c>
      <c r="R9" s="39">
        <v>8.5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13.600000000000001</v>
      </c>
      <c r="AF9" s="61">
        <f t="shared" si="1"/>
        <v>11.899999999999999</v>
      </c>
      <c r="AG9" s="61">
        <f t="shared" si="2"/>
        <v>10.199999999999999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0.83194969565217392</v>
      </c>
      <c r="AT9" s="61">
        <f t="shared" ref="AT9:BP9" si="10">IF(AT$4=3,AT$5,0)</f>
        <v>0.83194969565217392</v>
      </c>
      <c r="AU9" s="61">
        <f t="shared" si="10"/>
        <v>0.75143843478260874</v>
      </c>
      <c r="AV9" s="61">
        <f t="shared" si="10"/>
        <v>0.75143843478260874</v>
      </c>
      <c r="AW9" s="61">
        <f t="shared" si="10"/>
        <v>2.2537336956521736</v>
      </c>
      <c r="AX9" s="61">
        <f t="shared" si="10"/>
        <v>8.6277153973043497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4.3461070434782609</v>
      </c>
      <c r="BJ9" s="61">
        <f t="shared" si="10"/>
        <v>4.3461070434782609</v>
      </c>
      <c r="BK9" s="61">
        <f t="shared" si="10"/>
        <v>5.9504028058695653</v>
      </c>
      <c r="BL9" s="61">
        <f t="shared" si="10"/>
        <v>8.9564843230434796</v>
      </c>
      <c r="BM9" s="61">
        <f t="shared" si="10"/>
        <v>3.7834502086956521</v>
      </c>
      <c r="BN9" s="61">
        <f t="shared" si="10"/>
        <v>3.7849496086956522</v>
      </c>
      <c r="BO9" s="61">
        <f t="shared" si="10"/>
        <v>0.83194969565217392</v>
      </c>
      <c r="BP9" s="61">
        <f t="shared" si="10"/>
        <v>0.83194969565217392</v>
      </c>
      <c r="BR9" s="61">
        <f t="shared" si="9"/>
        <v>46.879625778391301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>
        <v>1</v>
      </c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0.5</v>
      </c>
      <c r="AF10" s="61">
        <f t="shared" si="1"/>
        <v>0.7</v>
      </c>
      <c r="AG10" s="61">
        <f t="shared" si="2"/>
        <v>1.9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2.8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/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>
        <v>226</v>
      </c>
      <c r="R14" s="39">
        <v>0.6</v>
      </c>
      <c r="S14" s="290" t="str">
        <f>VLOOKUP($Q14,[1]MEP!$A$5:$D$300,3)</f>
        <v>PP bonne 2 coupes SANS  P printemps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0</v>
      </c>
      <c r="W14" s="76">
        <f>VLOOKUP($Q14,[1]MEP!$A$4:$K$300,6)</f>
        <v>0.8</v>
      </c>
      <c r="X14" s="76">
        <f>VLOOKUP($Q14,[1]MEP!$A$4:$K$300,7)</f>
        <v>2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5.5</v>
      </c>
      <c r="AE14" s="61">
        <f t="shared" si="0"/>
        <v>0</v>
      </c>
      <c r="AF14" s="61">
        <f t="shared" si="1"/>
        <v>0.48</v>
      </c>
      <c r="AG14" s="61">
        <f t="shared" si="2"/>
        <v>1.2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3.3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>
        <v>225</v>
      </c>
      <c r="R15" s="39"/>
      <c r="S15" s="290" t="str">
        <f>VLOOKUP($Q15,[1]MEP!$A$5:$D$300,3)</f>
        <v>PP bonne prélevt étalé</v>
      </c>
      <c r="T15" s="76" t="str">
        <f>VLOOKUP($Q15,[1]MEP!$A$5:$D$300,4)</f>
        <v>zone 3</v>
      </c>
      <c r="U15" s="76" t="str">
        <f>VLOOKUP($Q15,[1]MEP!$A$4:$K$300,2)</f>
        <v>P</v>
      </c>
      <c r="V15" s="76">
        <f>VLOOKUP($Q15,[1]MEP!$A$4:$K$300,5)</f>
        <v>3.5</v>
      </c>
      <c r="W15" s="76">
        <f>VLOOKUP($Q15,[1]MEP!$A$4:$K$300,6)</f>
        <v>2.6</v>
      </c>
      <c r="X15" s="76">
        <f>VLOOKUP($Q15,[1]MEP!$A$4:$K$300,7)</f>
        <v>1.5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6.314740701652175</v>
      </c>
      <c r="AY15" s="13">
        <f>'Conduite Trp'!M5</f>
        <v>8.7923638721739135</v>
      </c>
      <c r="AZ15" s="13">
        <f>'Conduite Trp'!N5</f>
        <v>6.2197025556521766</v>
      </c>
      <c r="BA15" s="13">
        <f>'Conduite Trp'!O5</f>
        <v>6.3615882466956526</v>
      </c>
      <c r="BB15" s="13">
        <f>'Conduite Trp'!P5</f>
        <v>6.5531118240000019</v>
      </c>
      <c r="BC15" s="13">
        <f>'Conduite Trp'!Q5</f>
        <v>8.8344736200000007</v>
      </c>
      <c r="BD15" s="13">
        <f>'Conduite Trp'!R5</f>
        <v>3.7664755434782609</v>
      </c>
      <c r="BE15" s="13">
        <f>'Conduite Trp'!S5</f>
        <v>3.8920247282608695</v>
      </c>
      <c r="BF15" s="13">
        <f>'Conduite Trp'!T5</f>
        <v>3.8920247282608695</v>
      </c>
      <c r="BG15" s="13">
        <f>'Conduite Trp'!U5</f>
        <v>3.8920247282608695</v>
      </c>
      <c r="BH15" s="13">
        <f>'Conduite Trp'!V5</f>
        <v>1.3161804782608697</v>
      </c>
      <c r="BI15" s="13">
        <f>'Conduite Trp'!W5</f>
        <v>1.2737230434782609</v>
      </c>
      <c r="BJ15" s="13">
        <f>'Conduite Trp'!X5</f>
        <v>1.2737230434782609</v>
      </c>
      <c r="BK15" s="13">
        <f>'Conduite Trp'!Y5</f>
        <v>4.5286188058695656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0.83194969565217392</v>
      </c>
      <c r="AT16" s="13">
        <f>'Conduite Trp'!H6</f>
        <v>0.83194969565217392</v>
      </c>
      <c r="AU16" s="13">
        <f>'Conduite Trp'!I6</f>
        <v>0.75143843478260874</v>
      </c>
      <c r="AV16" s="13">
        <f>'Conduite Trp'!J6</f>
        <v>0.75143843478260874</v>
      </c>
      <c r="AW16" s="13">
        <f>'Conduite Trp'!K6</f>
        <v>2.2537336956521736</v>
      </c>
      <c r="AX16" s="13">
        <f>'Conduite Trp'!L6</f>
        <v>2.3129746956521737</v>
      </c>
      <c r="AY16" s="13">
        <f>'Conduite Trp'!M6</f>
        <v>2.1810326086956522</v>
      </c>
      <c r="AZ16" s="13">
        <f>'Conduite Trp'!N6</f>
        <v>4.2174647686956526</v>
      </c>
      <c r="BA16" s="13">
        <f>'Conduite Trp'!O6</f>
        <v>4.8295779456521739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3.2248749749999996</v>
      </c>
      <c r="BI16" s="13">
        <f>'Conduite Trp'!W6</f>
        <v>3.0723839999999996</v>
      </c>
      <c r="BJ16" s="13">
        <f>'Conduite Trp'!X6</f>
        <v>3.0723839999999996</v>
      </c>
      <c r="BK16" s="13">
        <f>'Conduite Trp'!Y6</f>
        <v>1.4217839999999997</v>
      </c>
      <c r="BL16" s="13">
        <f>'Conduite Trp'!Z6</f>
        <v>0.83194969565217392</v>
      </c>
      <c r="BM16" s="13">
        <f>'Conduite Trp'!AA6</f>
        <v>0.80511260869565215</v>
      </c>
      <c r="BN16" s="13">
        <f>'Conduite Trp'!AB6</f>
        <v>0.80511260869565215</v>
      </c>
      <c r="BO16" s="13">
        <f>'Conduite Trp'!AC6</f>
        <v>0.83194969565217392</v>
      </c>
      <c r="BP16" s="13">
        <f>'Conduite Trp'!AD6</f>
        <v>0.83194969565217392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8.7923638721739135</v>
      </c>
      <c r="AZ19" s="61">
        <f t="shared" si="15"/>
        <v>6.2197025556521766</v>
      </c>
      <c r="BA19" s="61">
        <f t="shared" si="15"/>
        <v>6.3615882466956526</v>
      </c>
      <c r="BB19" s="61">
        <f t="shared" si="15"/>
        <v>6.5531118240000019</v>
      </c>
      <c r="BC19" s="61">
        <f t="shared" si="15"/>
        <v>8.8344736200000007</v>
      </c>
      <c r="BD19" s="61">
        <f t="shared" si="15"/>
        <v>3.7664755434782609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40.527715661999999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3.8920247282608695</v>
      </c>
      <c r="BF20" s="61">
        <f t="shared" si="16"/>
        <v>3.8920247282608695</v>
      </c>
      <c r="BG20" s="61">
        <f t="shared" si="16"/>
        <v>3.8920247282608695</v>
      </c>
      <c r="BH20" s="61">
        <f t="shared" si="16"/>
        <v>1.3161804782608697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12.992254663043479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6.314740701652175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1.2737230434782609</v>
      </c>
      <c r="BJ21" s="61">
        <f t="shared" si="18"/>
        <v>1.2737230434782609</v>
      </c>
      <c r="BK21" s="61">
        <f t="shared" si="18"/>
        <v>4.5286188058695656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27.473514821869568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59.42090000000001</v>
      </c>
      <c r="E24" s="61">
        <f t="shared" si="21"/>
        <v>20.779999999999998</v>
      </c>
      <c r="F24" s="61">
        <f t="shared" si="21"/>
        <v>55.908999999999999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117.30712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58.505259235043482</v>
      </c>
      <c r="E25" s="61">
        <f>BR8</f>
        <v>20.482481638043474</v>
      </c>
      <c r="F25" s="61">
        <f>BR9</f>
        <v>46.879625778391301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170.1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0.91564076495652813</v>
      </c>
      <c r="E27" s="93">
        <f t="shared" si="23"/>
        <v>0.29751836195652359</v>
      </c>
      <c r="F27" s="93">
        <f t="shared" si="23"/>
        <v>9.0293742216086983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-52.792879999999997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41.180000000000007</v>
      </c>
      <c r="AF27" s="75">
        <f t="shared" ref="AF27:AJ27" si="24">SUM(AF7:AF26)</f>
        <v>13.079999999999998</v>
      </c>
      <c r="AG27" s="75">
        <f t="shared" si="24"/>
        <v>33.643999999999998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73.087999999999994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2.1810326086956522</v>
      </c>
      <c r="AZ27" s="61">
        <f t="shared" si="25"/>
        <v>4.2174647686956526</v>
      </c>
      <c r="BA27" s="61">
        <f t="shared" si="25"/>
        <v>4.8295779456521739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17.97754357304348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3.2248749749999996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7.4902269749999988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2.5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8.75</v>
      </c>
      <c r="AF29" s="61">
        <f t="shared" ref="AF29:AF48" si="29">$R29*W29</f>
        <v>6.5</v>
      </c>
      <c r="AG29" s="61">
        <f t="shared" ref="AG29:AG48" si="30">$R29*X29</f>
        <v>3.75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0.83194969565217392</v>
      </c>
      <c r="AT29" s="61">
        <f t="shared" ref="AT29:BP29" si="35">IF(AT$4=3,AT$16,0)</f>
        <v>0.83194969565217392</v>
      </c>
      <c r="AU29" s="61">
        <f t="shared" si="35"/>
        <v>0.75143843478260874</v>
      </c>
      <c r="AV29" s="61">
        <f t="shared" si="35"/>
        <v>0.75143843478260874</v>
      </c>
      <c r="AW29" s="61">
        <f t="shared" si="35"/>
        <v>2.2537336956521736</v>
      </c>
      <c r="AX29" s="61">
        <f t="shared" si="35"/>
        <v>2.3129746956521737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3.0723839999999996</v>
      </c>
      <c r="BJ29" s="61">
        <f t="shared" si="35"/>
        <v>3.0723839999999996</v>
      </c>
      <c r="BK29" s="61">
        <f t="shared" si="35"/>
        <v>1.4217839999999997</v>
      </c>
      <c r="BL29" s="61">
        <f t="shared" si="35"/>
        <v>0.83194969565217392</v>
      </c>
      <c r="BM29" s="61">
        <f t="shared" si="35"/>
        <v>0.80511260869565215</v>
      </c>
      <c r="BN29" s="61">
        <f t="shared" si="35"/>
        <v>0.80511260869565215</v>
      </c>
      <c r="BO29" s="61">
        <f t="shared" si="35"/>
        <v>0.83194969565217392</v>
      </c>
      <c r="BP29" s="61">
        <f t="shared" si="35"/>
        <v>0.83194969565217392</v>
      </c>
      <c r="BR29" s="61">
        <f t="shared" si="27"/>
        <v>19.406110956521736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/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1.5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4.1409000000000002</v>
      </c>
      <c r="AF32" s="61">
        <f t="shared" si="29"/>
        <v>0</v>
      </c>
      <c r="AG32" s="61">
        <f t="shared" si="30"/>
        <v>3.21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6.0091199999999994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>
        <v>226</v>
      </c>
      <c r="R34" s="39">
        <v>1.5</v>
      </c>
      <c r="S34" s="290" t="str">
        <f>VLOOKUP($Q34,[1]MEP!$A$5:$D$300,3)</f>
        <v>PP bonne 2 coupes SANS  P printemps</v>
      </c>
      <c r="T34" s="76" t="str">
        <f>VLOOKUP($Q34,[1]MEP!$A$5:$D$300,4)</f>
        <v>zone 3</v>
      </c>
      <c r="U34" s="76" t="str">
        <f>VLOOKUP($Q34,[1]MEP!$A$4:$K$300,2)</f>
        <v>F/P</v>
      </c>
      <c r="V34" s="76">
        <f>VLOOKUP($Q34,[1]MEP!$A$4:$K$300,5)</f>
        <v>0</v>
      </c>
      <c r="W34" s="76">
        <f>VLOOKUP($Q34,[1]MEP!$A$4:$K$300,6)</f>
        <v>0.8</v>
      </c>
      <c r="X34" s="76">
        <f>VLOOKUP($Q34,[1]MEP!$A$4:$K$300,7)</f>
        <v>2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5.5</v>
      </c>
      <c r="AE34" s="61">
        <f t="shared" si="28"/>
        <v>0</v>
      </c>
      <c r="AF34" s="61">
        <f t="shared" si="29"/>
        <v>1.2000000000000002</v>
      </c>
      <c r="AG34" s="61">
        <f t="shared" si="30"/>
        <v>3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8.25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18.240900000000003</v>
      </c>
      <c r="AF49" s="75">
        <f t="shared" ref="AF49" si="50">SUM(AF29:AF48)</f>
        <v>7.7</v>
      </c>
      <c r="AG49" s="75">
        <f t="shared" ref="AG49" si="51">SUM(AG29:AG48)</f>
        <v>22.265000000000001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44.219120000000004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41.180000000000007</v>
      </c>
      <c r="E72" s="61">
        <f t="shared" ref="E72:H72" si="69">AF27</f>
        <v>13.079999999999998</v>
      </c>
      <c r="F72" s="61">
        <f t="shared" si="69"/>
        <v>33.643999999999998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117.30712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40.527715661999999</v>
      </c>
      <c r="E73" s="61">
        <f>BR20</f>
        <v>12.992254663043479</v>
      </c>
      <c r="F73" s="61">
        <f>BR21</f>
        <v>27.473514821869568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170.1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0.65228433800000829</v>
      </c>
      <c r="E75" s="93">
        <f t="shared" ref="E75:I75" si="71">E72-E73</f>
        <v>8.7745336956519537E-2</v>
      </c>
      <c r="F75" s="93">
        <f t="shared" si="71"/>
        <v>6.1704851781304306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-52.792879999999997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18.240900000000003</v>
      </c>
      <c r="E82" s="61">
        <f t="shared" ref="E82:H82" si="72">AF49</f>
        <v>7.7</v>
      </c>
      <c r="F82" s="61">
        <f t="shared" si="72"/>
        <v>22.265000000000001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17.97754357304348</v>
      </c>
      <c r="E83" s="61">
        <f>BR28</f>
        <v>7.4902269749999988</v>
      </c>
      <c r="F83" s="61">
        <f>BR29</f>
        <v>19.406110956521736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0.26335642695652339</v>
      </c>
      <c r="E85" s="93">
        <f t="shared" ref="E85:H85" si="73">E82-E83</f>
        <v>0.20977302500000139</v>
      </c>
      <c r="F85" s="93">
        <f t="shared" si="73"/>
        <v>2.8588890434782641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9" sqref="O19:Q2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>
        <v>6</v>
      </c>
      <c r="P29" s="26"/>
      <c r="Q29" s="155">
        <v>3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/>
      <c r="P30" s="26"/>
      <c r="Q30" s="155">
        <f t="shared" ref="Q20:Q65" si="15">O30-P30</f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78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22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15.6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42</v>
      </c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13">
        <v>1</v>
      </c>
      <c r="V76" s="13" t="s">
        <v>598</v>
      </c>
    </row>
    <row r="77" spans="10:22" x14ac:dyDescent="0.25">
      <c r="J77" s="14" t="s">
        <v>599</v>
      </c>
      <c r="K77" s="80"/>
      <c r="R77">
        <v>2</v>
      </c>
      <c r="U77" s="13">
        <v>2</v>
      </c>
      <c r="V77" s="13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310</v>
      </c>
      <c r="S164" s="173">
        <f>Alim_Surf!R7</f>
        <v>5.4</v>
      </c>
      <c r="T164" s="173">
        <f>VLOOKUP($R164,[1]MEP!$A$4:$M$300,13)</f>
        <v>1</v>
      </c>
      <c r="U164" s="173">
        <f>IF($T164&gt;0,$S164,0)</f>
        <v>5.4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5.4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5.4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8.5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8.5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8.5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1</v>
      </c>
      <c r="T167" s="173">
        <f>VLOOKUP(R167,[1]MEP!$A$4:$M$300,13)</f>
        <v>1</v>
      </c>
      <c r="U167" s="173">
        <f t="shared" si="10"/>
        <v>1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1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1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226</v>
      </c>
      <c r="S171" s="173">
        <f>Alim_Surf!R14</f>
        <v>0.6</v>
      </c>
      <c r="T171" s="173">
        <f>VLOOKUP(R171,[1]MEP!$A$4:$M$300,13)</f>
        <v>2</v>
      </c>
      <c r="U171" s="173">
        <f t="shared" si="10"/>
        <v>0.6</v>
      </c>
      <c r="V171" s="173">
        <f t="shared" si="11"/>
        <v>0.6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0.6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0.6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225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2.5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2.5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2.5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0</v>
      </c>
      <c r="T188" s="173">
        <f>VLOOKUP(R188,[1]MEP!$A$4:$M$300,13)</f>
        <v>1</v>
      </c>
      <c r="U188" s="173">
        <f t="shared" si="10"/>
        <v>0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1.5</v>
      </c>
      <c r="T189" s="173">
        <f>VLOOKUP(R189,[1]MEP!$A$4:$M$300,13)</f>
        <v>2</v>
      </c>
      <c r="U189" s="173">
        <f t="shared" si="10"/>
        <v>1.5</v>
      </c>
      <c r="V189" s="173">
        <f t="shared" si="11"/>
        <v>1.5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1.5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1.5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226</v>
      </c>
      <c r="S191" s="173">
        <f>Alim_Surf!R34</f>
        <v>1.5</v>
      </c>
      <c r="T191" s="173">
        <f>VLOOKUP(R191,[1]MEP!$A$4:$M$300,13)</f>
        <v>2</v>
      </c>
      <c r="U191" s="173">
        <f t="shared" si="10"/>
        <v>1.5</v>
      </c>
      <c r="V191" s="173">
        <f t="shared" si="11"/>
        <v>1.5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1.5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1.5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22</v>
      </c>
      <c r="V228" s="62">
        <f t="shared" ref="V228:W228" si="22">SUM(V164:V227)</f>
        <v>15.6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11</v>
      </c>
      <c r="AI228" s="62">
        <f t="shared" si="24"/>
        <v>6.4</v>
      </c>
      <c r="AJ228" s="62">
        <f t="shared" si="24"/>
        <v>6.6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zoomScale="90" zoomScaleNormal="90" workbookViewId="0">
      <selection activeCell="C6" sqref="C6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0</v>
      </c>
      <c r="F3" s="177">
        <f t="shared" si="0"/>
        <v>1</v>
      </c>
      <c r="G3" s="177">
        <f t="shared" si="0"/>
        <v>1</v>
      </c>
      <c r="H3" s="177">
        <f t="shared" si="0"/>
        <v>1</v>
      </c>
      <c r="I3" s="177">
        <f t="shared" si="0"/>
        <v>1</v>
      </c>
      <c r="J3" s="177">
        <f t="shared" si="0"/>
        <v>1</v>
      </c>
      <c r="K3" s="177">
        <f t="shared" si="0"/>
        <v>1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1</v>
      </c>
      <c r="D4" s="177">
        <f t="shared" ref="D4:Z4" si="1">COUNTIF(D81:D90,2)</f>
        <v>1</v>
      </c>
      <c r="E4" s="177">
        <f t="shared" si="1"/>
        <v>1</v>
      </c>
      <c r="F4" s="177">
        <f t="shared" si="1"/>
        <v>1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1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1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6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4</v>
      </c>
      <c r="H8" s="177">
        <f>(H3+H4)*[1]Protect!$B$12</f>
        <v>4</v>
      </c>
      <c r="I8" s="177">
        <f>(I3+I4)*[1]Protect!$B$12</f>
        <v>4</v>
      </c>
      <c r="J8" s="177">
        <f>(J3+J4)*[1]Protect!$B$12</f>
        <v>4</v>
      </c>
      <c r="K8" s="177">
        <f>(K3+K4)*[1]Protect!$B$12</f>
        <v>4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6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4</v>
      </c>
      <c r="H11" s="177">
        <f t="shared" si="14"/>
        <v>4</v>
      </c>
      <c r="I11" s="177">
        <f t="shared" si="14"/>
        <v>4</v>
      </c>
      <c r="J11" s="177">
        <f t="shared" si="14"/>
        <v>4</v>
      </c>
      <c r="K11" s="177">
        <f t="shared" si="14"/>
        <v>4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4</v>
      </c>
      <c r="W11" s="177">
        <f t="shared" si="14"/>
        <v>2</v>
      </c>
      <c r="X11" s="177">
        <f t="shared" si="14"/>
        <v>2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4</v>
      </c>
      <c r="H13" s="177">
        <f t="shared" si="15"/>
        <v>4</v>
      </c>
      <c r="I13" s="177">
        <f t="shared" si="15"/>
        <v>4</v>
      </c>
      <c r="J13" s="177">
        <f t="shared" si="15"/>
        <v>4</v>
      </c>
      <c r="K13" s="177">
        <f t="shared" si="15"/>
        <v>4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4</v>
      </c>
      <c r="W13" s="177">
        <f t="shared" si="15"/>
        <v>2</v>
      </c>
      <c r="X13" s="177">
        <f t="shared" si="15"/>
        <v>2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8221</v>
      </c>
      <c r="AE20" s="64">
        <v>0</v>
      </c>
      <c r="AF20" s="64">
        <f>SUM(AD20:AE20)</f>
        <v>8221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8221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5294</v>
      </c>
      <c r="AE22" s="64">
        <f>IF(AND(LEFT(Scénario!K12,2)="OL",Troupeau!C3&lt;&gt;"",Scénario!K91=1),Protection!AP5+Protection!AP3,0)</f>
        <v>0</v>
      </c>
      <c r="AF22" s="64">
        <f>SUM(AD22:AE22)</f>
        <v>5294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8221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33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2</v>
      </c>
      <c r="S123" s="30">
        <f>CdTrp2!R76</f>
        <v>2</v>
      </c>
      <c r="T123" s="30">
        <f>CdTrp2!S76</f>
        <v>2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4</v>
      </c>
      <c r="H201" s="173">
        <f>IF(Troupeau!$B$3="OL",H8+H9,0)</f>
        <v>4</v>
      </c>
      <c r="I201" s="173">
        <f>IF(Troupeau!$B$3="OL",I8+I9,0)</f>
        <v>4</v>
      </c>
      <c r="J201" s="173">
        <f>IF(Troupeau!$B$3="OL",J8+J9,0)</f>
        <v>4</v>
      </c>
      <c r="K201" s="173">
        <f>IF(Troupeau!$B$3="OL",K8+K9,0)</f>
        <v>4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4</v>
      </c>
      <c r="W201" s="173">
        <f>IF(Troupeau!$B$3="OL",W8+W9,0)</f>
        <v>2</v>
      </c>
      <c r="X201" s="173">
        <f>IF(Troupeau!$B$3="OL",X8+X9,0)</f>
        <v>2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4</v>
      </c>
      <c r="H203" s="173">
        <f t="shared" si="51"/>
        <v>4</v>
      </c>
      <c r="I203" s="173">
        <f t="shared" si="51"/>
        <v>4</v>
      </c>
      <c r="J203" s="173">
        <f t="shared" si="51"/>
        <v>4</v>
      </c>
      <c r="K203" s="173">
        <f t="shared" si="51"/>
        <v>4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4</v>
      </c>
      <c r="W203" s="173">
        <f t="shared" si="51"/>
        <v>2</v>
      </c>
      <c r="X203" s="173">
        <f t="shared" si="51"/>
        <v>2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4</v>
      </c>
      <c r="H212" s="173">
        <f t="shared" si="52"/>
        <v>4</v>
      </c>
      <c r="I212" s="173">
        <f t="shared" si="52"/>
        <v>4</v>
      </c>
      <c r="J212" s="173">
        <f t="shared" si="52"/>
        <v>4</v>
      </c>
      <c r="K212" s="173">
        <f t="shared" si="52"/>
        <v>4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4</v>
      </c>
      <c r="W212" s="173">
        <f t="shared" si="52"/>
        <v>2</v>
      </c>
      <c r="X212" s="173">
        <f t="shared" si="52"/>
        <v>2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4</v>
      </c>
      <c r="H214" s="173">
        <f t="shared" si="53"/>
        <v>4</v>
      </c>
      <c r="I214" s="173">
        <f t="shared" si="53"/>
        <v>4</v>
      </c>
      <c r="J214" s="173">
        <f t="shared" si="53"/>
        <v>4</v>
      </c>
      <c r="K214" s="173">
        <f t="shared" si="53"/>
        <v>4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4</v>
      </c>
      <c r="W214" s="173">
        <f t="shared" si="53"/>
        <v>2</v>
      </c>
      <c r="X214" s="173">
        <f t="shared" si="53"/>
        <v>2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574</v>
      </c>
      <c r="G5" s="173">
        <f>AV117</f>
        <v>21</v>
      </c>
      <c r="H5" s="173">
        <f t="shared" ref="H5:AD5" si="0">AW117</f>
        <v>21</v>
      </c>
      <c r="I5" s="173">
        <f t="shared" si="0"/>
        <v>21</v>
      </c>
      <c r="J5" s="173">
        <f t="shared" si="0"/>
        <v>35</v>
      </c>
      <c r="K5" s="173">
        <f t="shared" si="0"/>
        <v>35</v>
      </c>
      <c r="L5" s="173">
        <f t="shared" si="0"/>
        <v>35</v>
      </c>
      <c r="M5" s="173">
        <f t="shared" si="0"/>
        <v>35</v>
      </c>
      <c r="N5" s="173">
        <f t="shared" si="0"/>
        <v>35</v>
      </c>
      <c r="O5" s="173">
        <f t="shared" si="0"/>
        <v>35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35</v>
      </c>
      <c r="AA5" s="173">
        <f t="shared" si="0"/>
        <v>21</v>
      </c>
      <c r="AB5" s="173">
        <f t="shared" si="0"/>
        <v>21</v>
      </c>
      <c r="AC5" s="173">
        <f t="shared" si="0"/>
        <v>21</v>
      </c>
      <c r="AD5" s="173">
        <f t="shared" si="0"/>
        <v>21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181.65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12.25</v>
      </c>
      <c r="R6" s="173">
        <f t="shared" si="2"/>
        <v>12.25</v>
      </c>
      <c r="S6" s="173">
        <f t="shared" si="2"/>
        <v>12.25</v>
      </c>
      <c r="T6" s="173">
        <f t="shared" si="2"/>
        <v>12.25</v>
      </c>
      <c r="U6" s="173">
        <f t="shared" si="2"/>
        <v>12.25</v>
      </c>
      <c r="V6" s="173">
        <f t="shared" si="2"/>
        <v>14</v>
      </c>
      <c r="W6" s="173">
        <f t="shared" si="2"/>
        <v>14</v>
      </c>
      <c r="X6" s="173">
        <f t="shared" si="2"/>
        <v>14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1019.1012391304353</v>
      </c>
      <c r="G9" s="30">
        <f>AV102</f>
        <v>55.298326086956521</v>
      </c>
      <c r="H9" s="30">
        <f t="shared" ref="H9:AD9" si="4">AW102</f>
        <v>55.189673913043478</v>
      </c>
      <c r="I9" s="30">
        <f t="shared" si="4"/>
        <v>55.081021739130435</v>
      </c>
      <c r="J9" s="30">
        <f t="shared" si="4"/>
        <v>55.026695652173913</v>
      </c>
      <c r="K9" s="30">
        <f t="shared" si="4"/>
        <v>54.972369565217392</v>
      </c>
      <c r="L9" s="30">
        <f t="shared" si="4"/>
        <v>54.91804347826087</v>
      </c>
      <c r="M9" s="30">
        <f t="shared" si="4"/>
        <v>54.863717391304348</v>
      </c>
      <c r="N9" s="30">
        <f t="shared" si="4"/>
        <v>54.809391304347827</v>
      </c>
      <c r="O9" s="30">
        <f t="shared" si="4"/>
        <v>54.700739130434783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22.074956521739132</v>
      </c>
      <c r="S9" s="30">
        <f t="shared" si="4"/>
        <v>22.074956521739132</v>
      </c>
      <c r="T9" s="30">
        <f t="shared" si="4"/>
        <v>22.074956521739132</v>
      </c>
      <c r="U9" s="30">
        <f t="shared" si="4"/>
        <v>22.074956521739132</v>
      </c>
      <c r="V9" s="30">
        <f t="shared" si="4"/>
        <v>22.074956521739132</v>
      </c>
      <c r="W9" s="30">
        <f t="shared" si="4"/>
        <v>22.074956521739132</v>
      </c>
      <c r="X9" s="30">
        <f t="shared" si="4"/>
        <v>22.074956521739132</v>
      </c>
      <c r="Y9" s="30">
        <f t="shared" si="4"/>
        <v>32.559891304347829</v>
      </c>
      <c r="Z9" s="30">
        <f t="shared" si="4"/>
        <v>53.070956521739127</v>
      </c>
      <c r="AA9" s="30">
        <f t="shared" si="4"/>
        <v>53.070956521739127</v>
      </c>
      <c r="AB9" s="30">
        <f t="shared" si="4"/>
        <v>55.298326086956521</v>
      </c>
      <c r="AC9" s="30">
        <f t="shared" si="4"/>
        <v>55.298326086956521</v>
      </c>
      <c r="AD9" s="30">
        <f t="shared" si="4"/>
        <v>55.298326086956521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2399.8512391304339</v>
      </c>
      <c r="G13" s="30">
        <f>SUM(G5:G11)</f>
        <v>118.29832608695652</v>
      </c>
      <c r="H13" s="30">
        <f t="shared" ref="H13:AD13" si="8">SUM(H5:H11)</f>
        <v>118.18967391304348</v>
      </c>
      <c r="I13" s="30">
        <f t="shared" si="8"/>
        <v>123.33102173913043</v>
      </c>
      <c r="J13" s="30">
        <f t="shared" si="8"/>
        <v>137.27669565217391</v>
      </c>
      <c r="K13" s="30">
        <f t="shared" si="8"/>
        <v>137.22236956521738</v>
      </c>
      <c r="L13" s="30">
        <f t="shared" si="8"/>
        <v>142.41804347826087</v>
      </c>
      <c r="M13" s="30">
        <f t="shared" si="8"/>
        <v>130.11371739130436</v>
      </c>
      <c r="N13" s="30">
        <f t="shared" si="8"/>
        <v>133.55939130434783</v>
      </c>
      <c r="O13" s="30">
        <f t="shared" si="8"/>
        <v>133.45073913043478</v>
      </c>
      <c r="P13" s="30">
        <f t="shared" si="8"/>
        <v>104.30989130434783</v>
      </c>
      <c r="Q13" s="30">
        <f t="shared" si="8"/>
        <v>72.809891304347829</v>
      </c>
      <c r="R13" s="30">
        <f t="shared" si="8"/>
        <v>48.324956521739132</v>
      </c>
      <c r="S13" s="30">
        <f t="shared" si="8"/>
        <v>48.324956521739132</v>
      </c>
      <c r="T13" s="30">
        <f t="shared" si="8"/>
        <v>48.324956521739132</v>
      </c>
      <c r="U13" s="30">
        <f t="shared" si="8"/>
        <v>48.324956521739132</v>
      </c>
      <c r="V13" s="30">
        <f t="shared" si="8"/>
        <v>50.074956521739132</v>
      </c>
      <c r="W13" s="30">
        <f t="shared" si="8"/>
        <v>50.074956521739132</v>
      </c>
      <c r="X13" s="30">
        <f t="shared" si="8"/>
        <v>50.074956521739132</v>
      </c>
      <c r="Y13" s="30">
        <f t="shared" si="8"/>
        <v>100.80989130434783</v>
      </c>
      <c r="Z13" s="30">
        <f t="shared" si="8"/>
        <v>126.57095652173913</v>
      </c>
      <c r="AA13" s="30">
        <f t="shared" si="8"/>
        <v>119.57095652173913</v>
      </c>
      <c r="AB13" s="30">
        <f t="shared" si="8"/>
        <v>121.79832608695652</v>
      </c>
      <c r="AC13" s="30">
        <f t="shared" si="8"/>
        <v>118.29832608695652</v>
      </c>
      <c r="AD13" s="30">
        <f t="shared" si="8"/>
        <v>118.29832608695652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784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1</v>
      </c>
      <c r="CM48" s="173">
        <f>IF(CdTrp2!M76=1,1,IF(CdTrp2!M76=2,2,IF(CdTrp2!M76=3,2,0)))</f>
        <v>1</v>
      </c>
      <c r="CN48" s="173">
        <f>IF(CdTrp2!N76=1,1,IF(CdTrp2!N76=2,2,IF(CdTrp2!N76=3,2,0)))</f>
        <v>1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2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22</v>
      </c>
      <c r="C55" s="190">
        <f>IF(B55&gt;[1]Trav!E121,[1]Trav!C121,[1]Trav!B121)</f>
        <v>7.2</v>
      </c>
      <c r="D55"/>
      <c r="E55" s="172"/>
      <c r="F55" s="173">
        <f t="shared" si="32"/>
        <v>158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15.6</v>
      </c>
      <c r="C56" s="190">
        <f>IF(B56&gt;[1]Trav!E121,[1]Trav!C121,[1]Trav!B121)</f>
        <v>7.2</v>
      </c>
      <c r="D56"/>
      <c r="E56" s="172"/>
      <c r="F56" s="173">
        <f t="shared" si="32"/>
        <v>112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211</v>
      </c>
      <c r="CM60" s="173">
        <f>IF(CM15=0,0,IF(CM37=3,0,VALUE(CONCATENATE(Travail!CM26,Travail!CM37,Travail!CM48))))</f>
        <v>211</v>
      </c>
      <c r="CN60" s="173">
        <f>IF(CN15=0,0,IF(CN37=3,0,VALUE(CONCATENATE(Travail!CN26,Travail!CN37,Travail!CN48))))</f>
        <v>211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212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170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278.5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13.5</v>
      </c>
      <c r="AA77" s="46">
        <f t="shared" si="43"/>
        <v>8.5</v>
      </c>
      <c r="AB77" s="46">
        <f t="shared" si="43"/>
        <v>8.5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0.86</v>
      </c>
      <c r="C81" s="190">
        <f>[1]Protect!$B$10</f>
        <v>4</v>
      </c>
      <c r="D81" s="172"/>
      <c r="E81" s="172"/>
      <c r="F81" s="173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8.2210000000000001</v>
      </c>
      <c r="C83" s="190">
        <f>[1]Protect!$B$24+[1]Protect!$B$26</f>
        <v>0.33</v>
      </c>
      <c r="D83" s="172"/>
      <c r="E83" s="172"/>
      <c r="F83" s="173">
        <f>ROUND(B83*C83,1)</f>
        <v>2.7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6.6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3.5</v>
      </c>
      <c r="C86" s="176"/>
      <c r="D86" s="176"/>
      <c r="E86" s="176"/>
      <c r="F86" s="173">
        <f>B86*[1]Eco!$B$108*[1]Eco!$B$109</f>
        <v>840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1593.1012391304353</v>
      </c>
      <c r="C91" s="5"/>
      <c r="D91" s="202">
        <f>B91/Troupeau!$B$17</f>
        <v>4.462468456947998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29.491304347826087</v>
      </c>
      <c r="AW91" s="173">
        <f t="shared" si="60"/>
        <v>29.491304347826087</v>
      </c>
      <c r="AX91" s="173">
        <f t="shared" si="60"/>
        <v>29.491304347826087</v>
      </c>
      <c r="AY91" s="173">
        <f t="shared" si="60"/>
        <v>29.491304347826087</v>
      </c>
      <c r="AZ91" s="173">
        <f t="shared" si="60"/>
        <v>29.491304347826087</v>
      </c>
      <c r="BA91" s="173">
        <f t="shared" si="60"/>
        <v>29.491304347826087</v>
      </c>
      <c r="BB91" s="173">
        <f t="shared" si="60"/>
        <v>29.491304347826087</v>
      </c>
      <c r="BC91" s="173">
        <f t="shared" si="60"/>
        <v>29.491304347826087</v>
      </c>
      <c r="BD91" s="173">
        <f t="shared" si="60"/>
        <v>29.491304347826087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29.491304347826087</v>
      </c>
      <c r="BP91" s="173">
        <f t="shared" si="60"/>
        <v>29.491304347826087</v>
      </c>
      <c r="BQ91" s="173">
        <f t="shared" si="60"/>
        <v>29.491304347826087</v>
      </c>
      <c r="BR91" s="173">
        <f t="shared" si="60"/>
        <v>29.491304347826087</v>
      </c>
      <c r="BS91" s="173">
        <f t="shared" si="60"/>
        <v>29.491304347826087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685.65</v>
      </c>
      <c r="C92" s="5"/>
      <c r="D92" s="202">
        <f>IF(B92=0,0,B92/Troupeau!$C$17)</f>
        <v>32.65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9.3130434782608695</v>
      </c>
      <c r="AW93" s="173">
        <f t="shared" si="60"/>
        <v>9.3130434782608695</v>
      </c>
      <c r="AX93" s="173">
        <f t="shared" si="60"/>
        <v>9.3130434782608695</v>
      </c>
      <c r="AY93" s="173">
        <f t="shared" si="60"/>
        <v>9.3130434782608695</v>
      </c>
      <c r="AZ93" s="173">
        <f t="shared" si="60"/>
        <v>9.3130434782608695</v>
      </c>
      <c r="BA93" s="173">
        <f t="shared" si="60"/>
        <v>9.3130434782608695</v>
      </c>
      <c r="BB93" s="173">
        <f t="shared" si="60"/>
        <v>9.3130434782608695</v>
      </c>
      <c r="BC93" s="173">
        <f t="shared" si="60"/>
        <v>9.3130434782608695</v>
      </c>
      <c r="BD93" s="173">
        <f t="shared" si="60"/>
        <v>9.3130434782608695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9.3130434782608695</v>
      </c>
      <c r="BP93" s="173">
        <f t="shared" si="60"/>
        <v>9.3130434782608695</v>
      </c>
      <c r="BQ93" s="173">
        <f t="shared" si="60"/>
        <v>9.3130434782608695</v>
      </c>
      <c r="BR93" s="173">
        <f t="shared" si="60"/>
        <v>9.3130434782608695</v>
      </c>
      <c r="BS93" s="173">
        <f t="shared" si="60"/>
        <v>9.3130434782608695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2278.7512391304354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784</v>
      </c>
      <c r="C95" s="5"/>
      <c r="D95" s="202">
        <f>B95/Troupeau!$B$17</f>
        <v>2.1960784313725492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784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429.95217391304345</v>
      </c>
      <c r="AW99" s="62">
        <f t="shared" ref="AW99:BS99" si="68">SUM(AW90:AW98)</f>
        <v>426.8478260869565</v>
      </c>
      <c r="AX99" s="62">
        <f t="shared" si="68"/>
        <v>423.74347826086955</v>
      </c>
      <c r="AY99" s="62">
        <f t="shared" si="68"/>
        <v>422.19130434782608</v>
      </c>
      <c r="AZ99" s="62">
        <f t="shared" si="68"/>
        <v>420.6391304347826</v>
      </c>
      <c r="BA99" s="62">
        <f t="shared" si="68"/>
        <v>419.08695652173913</v>
      </c>
      <c r="BB99" s="62">
        <f t="shared" si="68"/>
        <v>417.53478260869565</v>
      </c>
      <c r="BC99" s="62">
        <f t="shared" si="68"/>
        <v>415.98260869565217</v>
      </c>
      <c r="BD99" s="62">
        <f t="shared" si="68"/>
        <v>412.87826086956522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80.713043478260872</v>
      </c>
      <c r="BH99" s="62">
        <f t="shared" si="68"/>
        <v>80.713043478260872</v>
      </c>
      <c r="BI99" s="62">
        <f t="shared" si="68"/>
        <v>80.713043478260872</v>
      </c>
      <c r="BJ99" s="62">
        <f t="shared" si="68"/>
        <v>80.713043478260872</v>
      </c>
      <c r="BK99" s="62">
        <f t="shared" si="68"/>
        <v>80.713043478260872</v>
      </c>
      <c r="BL99" s="62">
        <f t="shared" si="68"/>
        <v>80.713043478260872</v>
      </c>
      <c r="BM99" s="62">
        <f t="shared" si="68"/>
        <v>80.713043478260872</v>
      </c>
      <c r="BN99" s="62">
        <f t="shared" si="68"/>
        <v>380.28260869565219</v>
      </c>
      <c r="BO99" s="62">
        <f t="shared" si="68"/>
        <v>366.31304347826085</v>
      </c>
      <c r="BP99" s="62">
        <f t="shared" si="68"/>
        <v>366.31304347826085</v>
      </c>
      <c r="BQ99" s="62">
        <f t="shared" si="68"/>
        <v>429.95217391304345</v>
      </c>
      <c r="BR99" s="62">
        <f t="shared" si="68"/>
        <v>429.95217391304345</v>
      </c>
      <c r="BS99" s="62">
        <f t="shared" si="68"/>
        <v>429.95217391304345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8.5990434782608691</v>
      </c>
      <c r="AW100" s="173">
        <f t="shared" ref="AW100:BS100" si="71">IF($AT$2="OL",AW99/50,AW99/10)</f>
        <v>8.5369565217391301</v>
      </c>
      <c r="AX100" s="173">
        <f t="shared" si="71"/>
        <v>8.4748695652173911</v>
      </c>
      <c r="AY100" s="173">
        <f t="shared" si="71"/>
        <v>8.4438260869565216</v>
      </c>
      <c r="AZ100" s="173">
        <f t="shared" si="71"/>
        <v>8.4127826086956521</v>
      </c>
      <c r="BA100" s="173">
        <f t="shared" si="71"/>
        <v>8.3817391304347826</v>
      </c>
      <c r="BB100" s="173">
        <f t="shared" si="71"/>
        <v>8.3506956521739131</v>
      </c>
      <c r="BC100" s="173">
        <f t="shared" si="71"/>
        <v>8.3196521739130436</v>
      </c>
      <c r="BD100" s="173">
        <f t="shared" si="71"/>
        <v>8.2575652173913046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1.6142608695652174</v>
      </c>
      <c r="BH100" s="173">
        <f t="shared" si="71"/>
        <v>1.6142608695652174</v>
      </c>
      <c r="BI100" s="173">
        <f t="shared" si="71"/>
        <v>1.6142608695652174</v>
      </c>
      <c r="BJ100" s="173">
        <f t="shared" si="71"/>
        <v>1.6142608695652174</v>
      </c>
      <c r="BK100" s="173">
        <f t="shared" si="71"/>
        <v>1.6142608695652174</v>
      </c>
      <c r="BL100" s="173">
        <f t="shared" si="71"/>
        <v>1.6142608695652174</v>
      </c>
      <c r="BM100" s="173">
        <f t="shared" si="71"/>
        <v>1.6142608695652174</v>
      </c>
      <c r="BN100" s="173">
        <f t="shared" si="71"/>
        <v>7.605652173913044</v>
      </c>
      <c r="BO100" s="173">
        <f t="shared" si="71"/>
        <v>7.3262608695652167</v>
      </c>
      <c r="BP100" s="173">
        <f t="shared" si="71"/>
        <v>7.3262608695652167</v>
      </c>
      <c r="BQ100" s="173">
        <f t="shared" si="71"/>
        <v>8.5990434782608691</v>
      </c>
      <c r="BR100" s="173">
        <f t="shared" si="71"/>
        <v>8.5990434782608691</v>
      </c>
      <c r="BS100" s="173">
        <f t="shared" si="71"/>
        <v>8.5990434782608691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7.5990434782608691</v>
      </c>
      <c r="AW101" s="173">
        <f t="shared" ref="AW101:BS101" si="74">IF(AW100&gt;1,AW100-1,0)</f>
        <v>7.5369565217391301</v>
      </c>
      <c r="AX101" s="173">
        <f t="shared" si="74"/>
        <v>7.4748695652173911</v>
      </c>
      <c r="AY101" s="173">
        <f t="shared" si="74"/>
        <v>7.4438260869565216</v>
      </c>
      <c r="AZ101" s="173">
        <f t="shared" si="74"/>
        <v>7.4127826086956521</v>
      </c>
      <c r="BA101" s="173">
        <f t="shared" si="74"/>
        <v>7.3817391304347826</v>
      </c>
      <c r="BB101" s="173">
        <f t="shared" si="74"/>
        <v>7.3506956521739131</v>
      </c>
      <c r="BC101" s="173">
        <f t="shared" si="74"/>
        <v>7.3196521739130436</v>
      </c>
      <c r="BD101" s="173">
        <f t="shared" si="74"/>
        <v>7.2575652173913046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0.61426086956521742</v>
      </c>
      <c r="BH101" s="173">
        <f t="shared" si="74"/>
        <v>0.61426086956521742</v>
      </c>
      <c r="BI101" s="173">
        <f t="shared" si="74"/>
        <v>0.61426086956521742</v>
      </c>
      <c r="BJ101" s="173">
        <f t="shared" si="74"/>
        <v>0.61426086956521742</v>
      </c>
      <c r="BK101" s="173">
        <f t="shared" si="74"/>
        <v>0.61426086956521742</v>
      </c>
      <c r="BL101" s="173">
        <f t="shared" si="74"/>
        <v>0.61426086956521742</v>
      </c>
      <c r="BM101" s="173">
        <f t="shared" si="74"/>
        <v>0.61426086956521742</v>
      </c>
      <c r="BN101" s="173">
        <f t="shared" si="74"/>
        <v>6.605652173913044</v>
      </c>
      <c r="BO101" s="173">
        <f t="shared" si="74"/>
        <v>6.3262608695652167</v>
      </c>
      <c r="BP101" s="173">
        <f t="shared" si="74"/>
        <v>6.3262608695652167</v>
      </c>
      <c r="BQ101" s="173">
        <f t="shared" si="74"/>
        <v>7.5990434782608691</v>
      </c>
      <c r="BR101" s="173">
        <f t="shared" si="74"/>
        <v>7.5990434782608691</v>
      </c>
      <c r="BS101" s="173">
        <f t="shared" si="74"/>
        <v>7.5990434782608691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55.298326086956521</v>
      </c>
      <c r="AW102" s="62">
        <f t="shared" ref="AW102:BS102" si="77">AW86+AW87*AW101</f>
        <v>55.189673913043478</v>
      </c>
      <c r="AX102" s="62">
        <f t="shared" si="77"/>
        <v>55.081021739130435</v>
      </c>
      <c r="AY102" s="62">
        <f t="shared" si="77"/>
        <v>55.026695652173913</v>
      </c>
      <c r="AZ102" s="62">
        <f t="shared" si="77"/>
        <v>54.972369565217392</v>
      </c>
      <c r="BA102" s="62">
        <f t="shared" si="77"/>
        <v>54.91804347826087</v>
      </c>
      <c r="BB102" s="62">
        <f t="shared" si="77"/>
        <v>54.863717391304348</v>
      </c>
      <c r="BC102" s="62">
        <f t="shared" si="77"/>
        <v>54.809391304347827</v>
      </c>
      <c r="BD102" s="62">
        <f t="shared" si="77"/>
        <v>54.700739130434783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22.074956521739132</v>
      </c>
      <c r="BH102" s="62">
        <f t="shared" si="77"/>
        <v>22.074956521739132</v>
      </c>
      <c r="BI102" s="62">
        <f t="shared" si="77"/>
        <v>22.074956521739132</v>
      </c>
      <c r="BJ102" s="62">
        <f t="shared" si="77"/>
        <v>22.074956521739132</v>
      </c>
      <c r="BK102" s="62">
        <f t="shared" si="77"/>
        <v>22.074956521739132</v>
      </c>
      <c r="BL102" s="62">
        <f t="shared" si="77"/>
        <v>22.074956521739132</v>
      </c>
      <c r="BM102" s="62">
        <f t="shared" si="77"/>
        <v>22.074956521739132</v>
      </c>
      <c r="BN102" s="62">
        <f t="shared" si="77"/>
        <v>32.559891304347829</v>
      </c>
      <c r="BO102" s="62">
        <f t="shared" si="77"/>
        <v>53.070956521739127</v>
      </c>
      <c r="BP102" s="62">
        <f t="shared" si="77"/>
        <v>53.070956521739127</v>
      </c>
      <c r="BQ102" s="62">
        <f t="shared" si="77"/>
        <v>55.298326086956521</v>
      </c>
      <c r="BR102" s="62">
        <f t="shared" si="77"/>
        <v>55.298326086956521</v>
      </c>
      <c r="BS102" s="62">
        <f t="shared" si="77"/>
        <v>55.298326086956521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3.5</v>
      </c>
      <c r="CM106" s="190">
        <f>IF(CM60&gt;0,HLOOKUP(CM60,[1]Trav!$C$11:$O$31,$CA$105),0)</f>
        <v>3.5</v>
      </c>
      <c r="CN106" s="190">
        <f>IF(CN60&gt;0,HLOOKUP(CN60,[1]Trav!$C$11:$O$31,$CA$105),0)</f>
        <v>3.5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5.25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367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170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170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9.3000000000000007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840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21</v>
      </c>
      <c r="AW117" s="173">
        <f t="shared" ref="AW117:BS117" si="83">SUM(AW106:AW115)</f>
        <v>21</v>
      </c>
      <c r="AX117" s="173">
        <f t="shared" si="83"/>
        <v>21</v>
      </c>
      <c r="AY117" s="173">
        <f t="shared" si="83"/>
        <v>35</v>
      </c>
      <c r="AZ117" s="173">
        <f t="shared" si="83"/>
        <v>35</v>
      </c>
      <c r="BA117" s="173">
        <f t="shared" si="83"/>
        <v>35</v>
      </c>
      <c r="BB117" s="173">
        <f t="shared" si="83"/>
        <v>35</v>
      </c>
      <c r="BC117" s="173">
        <f t="shared" si="83"/>
        <v>35</v>
      </c>
      <c r="BD117" s="173">
        <f t="shared" si="83"/>
        <v>35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35</v>
      </c>
      <c r="BP117" s="173">
        <f t="shared" si="83"/>
        <v>21</v>
      </c>
      <c r="BQ117" s="173">
        <f t="shared" si="83"/>
        <v>21</v>
      </c>
      <c r="BR117" s="173">
        <f t="shared" si="83"/>
        <v>21</v>
      </c>
      <c r="BS117" s="173">
        <f t="shared" si="83"/>
        <v>21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12.25</v>
      </c>
      <c r="CM117" s="173">
        <f t="shared" si="84"/>
        <v>12.25</v>
      </c>
      <c r="CN117" s="173">
        <f t="shared" si="84"/>
        <v>12.25</v>
      </c>
      <c r="CO117" s="173">
        <f t="shared" si="84"/>
        <v>12.25</v>
      </c>
      <c r="CP117" s="173">
        <f t="shared" si="84"/>
        <v>12.25</v>
      </c>
      <c r="CQ117" s="173">
        <f t="shared" si="84"/>
        <v>14</v>
      </c>
      <c r="CR117" s="173">
        <f t="shared" si="84"/>
        <v>14</v>
      </c>
      <c r="CS117" s="173">
        <f t="shared" si="84"/>
        <v>14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3972.8245724637686</v>
      </c>
      <c r="D118" s="202">
        <f>B118/Troupeau!$B$17</f>
        <v>11.128360146957336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787.65</v>
      </c>
      <c r="D119" s="202">
        <f>IF(B119=0,0,B119/Troupeau!$C$17)</f>
        <v>37.507142857142853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4760.4745724637687</v>
      </c>
    </row>
    <row r="123" spans="1:132" x14ac:dyDescent="0.25">
      <c r="A123" s="2" t="s">
        <v>856</v>
      </c>
      <c r="B123" s="30">
        <f>B108</f>
        <v>367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194.5</v>
      </c>
    </row>
    <row r="126" spans="1:132" x14ac:dyDescent="0.25">
      <c r="A126" s="2" t="s">
        <v>872</v>
      </c>
      <c r="B126" s="30">
        <f>B114+B115+B116</f>
        <v>877.3</v>
      </c>
    </row>
    <row r="128" spans="1:132" x14ac:dyDescent="0.25">
      <c r="A128" s="2" t="s">
        <v>873</v>
      </c>
      <c r="B128" s="201">
        <f>SUM(B122:B126)</f>
        <v>6799.2745724637689</v>
      </c>
    </row>
    <row r="129" spans="1:2" x14ac:dyDescent="0.25">
      <c r="A129" s="2" t="s">
        <v>874</v>
      </c>
      <c r="B129" s="30">
        <f>IF(Scénario!K129=1,Travail!F77+Travail!F86,F86)</f>
        <v>1118.5</v>
      </c>
    </row>
    <row r="130" spans="1:2" x14ac:dyDescent="0.25">
      <c r="A130" s="2" t="s">
        <v>875</v>
      </c>
      <c r="B130" s="201">
        <f>ROUND((B128-B129)/(Scénario!K4+Scénario!K6),0)</f>
        <v>3787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32" zoomScale="90" zoomScaleNormal="90" workbookViewId="0">
      <selection activeCell="S51" sqref="S5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0.74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107.44999999999999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107.44999999999999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107.44999999999999</v>
      </c>
      <c r="C42" s="215">
        <f>[1]Eco!$B$24</f>
        <v>97</v>
      </c>
      <c r="J42" s="173">
        <f>B42*C42</f>
        <v>10422.65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107.44999999999999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7199.15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69.089999999999989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12500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107.44999999999999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134487.9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147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147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69.089999999999989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52.792879999999997</v>
      </c>
      <c r="C118" s="190">
        <f>IF(Scénario!$K$12="BV",[1]Eco!$B$78,IF(Scénario!$K$12="BL",[1]Eco!$B$77,[1]Eco!$B$76))</f>
        <v>223</v>
      </c>
      <c r="J118" s="173">
        <f>B118*C118</f>
        <v>11772.812239999999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53.915000000000006</v>
      </c>
      <c r="C119" s="190">
        <f>[1]Eco!$B$79</f>
        <v>80</v>
      </c>
      <c r="J119" s="173">
        <f>B119*C119</f>
        <v>4313.2000000000007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11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396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6.4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397.82400000000001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6.6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441.14400000000001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5426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939.89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66101.83024000001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22</v>
      </c>
      <c r="X153" t="s">
        <v>52</v>
      </c>
      <c r="Y153" s="173">
        <f>W153-Scénario!K28</f>
        <v>-8</v>
      </c>
      <c r="Z153" s="173">
        <f>Y153-Y156</f>
        <v>-8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15.6</v>
      </c>
      <c r="X154" t="s">
        <v>52</v>
      </c>
      <c r="Y154" s="173">
        <f>W154-Scénario!K29</f>
        <v>1.5999999999999996</v>
      </c>
      <c r="Z154" s="173">
        <f>Y154</f>
        <v>1.5999999999999996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-8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-289.60000000000002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1.5999999999999996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47.999999999999986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310</v>
      </c>
      <c r="S164" s="173">
        <f>Alim_Surf!R7</f>
        <v>5.4</v>
      </c>
      <c r="T164" s="173">
        <f>VLOOKUP($R164,[1]MEP!$A$4:$M$300,13)</f>
        <v>1</v>
      </c>
      <c r="U164" s="173">
        <f>IF($T164&gt;0,$S164,0)</f>
        <v>5.4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5.4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5.4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840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8929.2000000000007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8.5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8.5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8.5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291.3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3096.5190000000002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1</v>
      </c>
      <c r="T167" s="173">
        <f>VLOOKUP(R167,[1]MEP!$A$4:$M$300,13)</f>
        <v>1</v>
      </c>
      <c r="U167" s="173">
        <f t="shared" si="72"/>
        <v>1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1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1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47491.619000000006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0</v>
      </c>
      <c r="T170" s="173">
        <f>VLOOKUP(R170,[1]MEP!$A$4:$M$300,13)</f>
        <v>1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226</v>
      </c>
      <c r="S171" s="173">
        <f>Alim_Surf!R14</f>
        <v>0.6</v>
      </c>
      <c r="T171" s="173">
        <f>VLOOKUP(R171,[1]MEP!$A$4:$M$300,13)</f>
        <v>2</v>
      </c>
      <c r="U171" s="173">
        <f t="shared" si="72"/>
        <v>0.6</v>
      </c>
      <c r="V171" s="173">
        <f t="shared" si="73"/>
        <v>0.6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0.6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0.6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225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20894.450759999978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13930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4417.0213715714708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3477.4293884285071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2318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2.5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2.5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2.5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0</v>
      </c>
      <c r="T188" s="173">
        <f>VLOOKUP(R188,[1]MEP!$A$4:$M$300,13)</f>
        <v>1</v>
      </c>
      <c r="U188" s="173">
        <f t="shared" si="72"/>
        <v>0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1.5</v>
      </c>
      <c r="T189" s="173">
        <f>VLOOKUP(R189,[1]MEP!$A$4:$M$300,13)</f>
        <v>2</v>
      </c>
      <c r="U189" s="173">
        <f t="shared" si="72"/>
        <v>1.5</v>
      </c>
      <c r="V189" s="173">
        <f t="shared" si="73"/>
        <v>1.5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1.5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1.5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226</v>
      </c>
      <c r="S191" s="173">
        <f>Alim_Surf!R34</f>
        <v>1.5</v>
      </c>
      <c r="T191" s="173">
        <f>VLOOKUP(R191,[1]MEP!$A$4:$M$300,13)</f>
        <v>2</v>
      </c>
      <c r="U191" s="173">
        <f t="shared" si="72"/>
        <v>1.5</v>
      </c>
      <c r="V191" s="173">
        <f t="shared" si="73"/>
        <v>1.5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1.5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1.5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22</v>
      </c>
      <c r="V228" s="62">
        <f t="shared" ref="V228:W228" si="84">SUM(V164:V227)</f>
        <v>15.6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11</v>
      </c>
      <c r="AI228" s="62">
        <f t="shared" si="86"/>
        <v>6.4</v>
      </c>
      <c r="AJ228" s="62">
        <f t="shared" si="86"/>
        <v>6.6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8221</v>
      </c>
      <c r="U234" t="s">
        <v>1101</v>
      </c>
      <c r="V234" s="173"/>
      <c r="W234" s="173">
        <f>[1]Protect!$B$4</f>
        <v>6</v>
      </c>
      <c r="X234" s="173">
        <f>T234*W234</f>
        <v>49326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1</v>
      </c>
      <c r="W235" s="173">
        <f>[1]Protect!$B$83</f>
        <v>2000</v>
      </c>
      <c r="X235" s="173">
        <f t="shared" ref="X235:X236" si="87">T235*W235</f>
        <v>2000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51326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35826</v>
      </c>
      <c r="AB237" s="30">
        <f>(Scénario!K127/100)*AA237</f>
        <v>0</v>
      </c>
      <c r="AC237" s="30">
        <f>AA237-AB237</f>
        <v>35826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4417.0213715714708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6</v>
      </c>
      <c r="X245" s="173">
        <f>ROUND((([1]Protect!$B$5/[1]Protect!$B$11)+[1]Protect!$B$8)*T245,0)</f>
        <v>5426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3.5</v>
      </c>
      <c r="W246" s="173">
        <f>[1]Eco!$B$106*[1]Eco!$B$108*[1]Eco!$B$109</f>
        <v>2551.2000000000003</v>
      </c>
      <c r="X246" s="173">
        <f>T246*W246</f>
        <v>8929.2000000000007</v>
      </c>
    </row>
    <row r="247" spans="17:31" x14ac:dyDescent="0.25">
      <c r="S247" s="14" t="s">
        <v>1116</v>
      </c>
      <c r="T247" s="30">
        <f>Travail!F16/8</f>
        <v>98</v>
      </c>
      <c r="W247" s="173">
        <f>[1]Eco!$B$111</f>
        <v>28.3</v>
      </c>
      <c r="X247" s="173">
        <f>T247*W247</f>
        <v>2773.4</v>
      </c>
    </row>
    <row r="248" spans="17:31" x14ac:dyDescent="0.25">
      <c r="W248" s="14" t="s">
        <v>1117</v>
      </c>
      <c r="X248" s="173">
        <f>SUM(X245:X247)</f>
        <v>17128.600000000002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17128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280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3">
        <f>IF(T257=0,0,[1]Protect!$B77)</f>
        <v>12500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12500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123.315</v>
      </c>
      <c r="U272" s="173"/>
      <c r="V272" s="173"/>
      <c r="W272" s="173">
        <f>W234</f>
        <v>6</v>
      </c>
      <c r="X272" s="173">
        <f>T272*W272</f>
        <v>739.89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2</v>
      </c>
      <c r="U274" s="173"/>
      <c r="V274" s="173"/>
      <c r="W274" s="173">
        <f>W271</f>
        <v>100</v>
      </c>
      <c r="X274" s="173">
        <f>T274*W274</f>
        <v>200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Z3_OLBV_T3_M1s2</v>
      </c>
      <c r="D1" s="275" t="str">
        <f>CONCATENATE(C1,"_corr")</f>
        <v>Z3_OLBV_T3_M1s2_corr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42</v>
      </c>
      <c r="D24" s="177">
        <f t="shared" si="0"/>
        <v>42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2</v>
      </c>
      <c r="D51" s="177">
        <f t="shared" si="0"/>
        <v>2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22</v>
      </c>
      <c r="D85" s="261">
        <f>ROUND(C85*$D$82/$C$82,3)</f>
        <v>20.861999999999998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15.6</v>
      </c>
      <c r="D86" s="261">
        <f t="shared" ref="D86:D97" si="14">ROUND(C86*$D$82/$C$82,3)</f>
        <v>14.792999999999999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2</v>
      </c>
      <c r="X105" s="30">
        <f>CdTrp2!R76</f>
        <v>2</v>
      </c>
      <c r="Y105" s="30">
        <f>CdTrp2!S76</f>
        <v>2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48.5</v>
      </c>
      <c r="D109" s="173">
        <f t="shared" si="25"/>
        <v>48.5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1</v>
      </c>
      <c r="CM109" s="173">
        <f>IF(CdTrp2!M76=1,1,IF(CdTrp2!M76=2,2,IF(CdTrp2!M76=3,2,IF(CdTrp2!M76=4,4,0))))</f>
        <v>1</v>
      </c>
      <c r="CN109" s="173">
        <f>IF(CdTrp2!N76=1,1,IF(CdTrp2!N76=2,2,IF(CdTrp2!N76=3,2,IF(CdTrp2!N76=4,4,0))))</f>
        <v>1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2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10</v>
      </c>
      <c r="D110" s="173">
        <f t="shared" si="25"/>
        <v>10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14.5</v>
      </c>
      <c r="D111" s="173">
        <f t="shared" si="25"/>
        <v>14.5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7</v>
      </c>
      <c r="D113" s="173">
        <f t="shared" si="25"/>
        <v>7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13.5</v>
      </c>
      <c r="D114" s="173">
        <f t="shared" si="25"/>
        <v>13.5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211</v>
      </c>
      <c r="CM121" s="173">
        <f>IF(CM75=0,0,VALUE(CONCATENATE(Travail!CM26,Travail!CM37,Travail!CM48)))</f>
        <v>211</v>
      </c>
      <c r="CN121" s="173">
        <f>IF(CN75=0,0,VALUE(CONCATENATE(Travail!CN26,Travail!CN37,Travail!CN48)))</f>
        <v>211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212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3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0.58823529411764708</v>
      </c>
      <c r="D133" s="262">
        <f t="shared" si="25"/>
        <v>0.58823529411764708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0.5178571428571429</v>
      </c>
      <c r="D134" s="262">
        <f t="shared" si="25"/>
        <v>0.5178571428571429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0.5444444444444444</v>
      </c>
      <c r="D136" s="262">
        <f t="shared" si="25"/>
        <v>0.5444444444444444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27.965892053973015</v>
      </c>
      <c r="AW152" s="173">
        <f t="shared" si="74"/>
        <v>27.965892053973015</v>
      </c>
      <c r="AX152" s="173">
        <f t="shared" si="74"/>
        <v>27.965892053973015</v>
      </c>
      <c r="AY152" s="173">
        <f t="shared" si="74"/>
        <v>27.965892053973015</v>
      </c>
      <c r="AZ152" s="173">
        <f t="shared" si="74"/>
        <v>27.965892053973015</v>
      </c>
      <c r="BA152" s="173">
        <f t="shared" si="74"/>
        <v>27.965892053973015</v>
      </c>
      <c r="BB152" s="173">
        <f t="shared" si="74"/>
        <v>27.965892053973015</v>
      </c>
      <c r="BC152" s="173">
        <f t="shared" si="74"/>
        <v>27.965892053973015</v>
      </c>
      <c r="BD152" s="173">
        <f t="shared" si="74"/>
        <v>27.965892053973015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27.965892053973015</v>
      </c>
      <c r="BP152" s="173">
        <f t="shared" si="74"/>
        <v>27.965892053973015</v>
      </c>
      <c r="BQ152" s="173">
        <f t="shared" si="74"/>
        <v>27.965892053973015</v>
      </c>
      <c r="BR152" s="173">
        <f t="shared" si="74"/>
        <v>27.965892053973015</v>
      </c>
      <c r="BS152" s="173">
        <f t="shared" si="74"/>
        <v>27.965892053973015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8.8313343328335829</v>
      </c>
      <c r="AW154" s="173">
        <f t="shared" si="74"/>
        <v>8.8313343328335829</v>
      </c>
      <c r="AX154" s="173">
        <f t="shared" si="74"/>
        <v>8.8313343328335829</v>
      </c>
      <c r="AY154" s="173">
        <f t="shared" si="74"/>
        <v>8.8313343328335829</v>
      </c>
      <c r="AZ154" s="173">
        <f t="shared" si="74"/>
        <v>8.8313343328335829</v>
      </c>
      <c r="BA154" s="173">
        <f t="shared" si="74"/>
        <v>8.8313343328335829</v>
      </c>
      <c r="BB154" s="173">
        <f t="shared" si="74"/>
        <v>8.8313343328335829</v>
      </c>
      <c r="BC154" s="173">
        <f t="shared" si="74"/>
        <v>8.8313343328335829</v>
      </c>
      <c r="BD154" s="173">
        <f t="shared" si="74"/>
        <v>8.8313343328335829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8.8313343328335829</v>
      </c>
      <c r="BP154" s="173">
        <f t="shared" si="74"/>
        <v>8.8313343328335829</v>
      </c>
      <c r="BQ154" s="173">
        <f t="shared" si="74"/>
        <v>8.8313343328335829</v>
      </c>
      <c r="BR154" s="173">
        <f t="shared" si="74"/>
        <v>8.8313343328335829</v>
      </c>
      <c r="BS154" s="173">
        <f t="shared" si="74"/>
        <v>8.8313343328335829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407.71326836581704</v>
      </c>
      <c r="AW160" s="62">
        <f t="shared" ref="AW160:BS160" si="83">SUM(AW151:AW159)</f>
        <v>404.76949025487255</v>
      </c>
      <c r="AX160" s="62">
        <f t="shared" si="83"/>
        <v>401.825712143928</v>
      </c>
      <c r="AY160" s="62">
        <f t="shared" si="83"/>
        <v>400.35382308845573</v>
      </c>
      <c r="AZ160" s="62">
        <f t="shared" si="83"/>
        <v>398.88193403298351</v>
      </c>
      <c r="BA160" s="62">
        <f t="shared" si="83"/>
        <v>397.41004497751123</v>
      </c>
      <c r="BB160" s="62">
        <f t="shared" si="83"/>
        <v>395.93815592203896</v>
      </c>
      <c r="BC160" s="62">
        <f t="shared" si="83"/>
        <v>394.46626686656668</v>
      </c>
      <c r="BD160" s="62">
        <f t="shared" si="83"/>
        <v>391.52248875562219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76.53823088455772</v>
      </c>
      <c r="BH160" s="62">
        <f t="shared" si="83"/>
        <v>76.53823088455772</v>
      </c>
      <c r="BI160" s="62">
        <f t="shared" si="83"/>
        <v>76.53823088455772</v>
      </c>
      <c r="BJ160" s="62">
        <f t="shared" si="83"/>
        <v>76.53823088455772</v>
      </c>
      <c r="BK160" s="62">
        <f t="shared" si="83"/>
        <v>76.53823088455772</v>
      </c>
      <c r="BL160" s="62">
        <f t="shared" si="83"/>
        <v>76.53823088455772</v>
      </c>
      <c r="BM160" s="62">
        <f t="shared" si="83"/>
        <v>76.53823088455772</v>
      </c>
      <c r="BN160" s="62">
        <f t="shared" si="83"/>
        <v>360.61281859070465</v>
      </c>
      <c r="BO160" s="62">
        <f t="shared" si="83"/>
        <v>347.36581709145429</v>
      </c>
      <c r="BP160" s="62">
        <f t="shared" si="83"/>
        <v>347.36581709145429</v>
      </c>
      <c r="BQ160" s="62">
        <f t="shared" si="83"/>
        <v>407.71326836581704</v>
      </c>
      <c r="BR160" s="62">
        <f t="shared" si="83"/>
        <v>407.71326836581704</v>
      </c>
      <c r="BS160" s="62">
        <f t="shared" si="83"/>
        <v>407.71326836581704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113.37981807691305</v>
      </c>
      <c r="D161" s="263">
        <f t="shared" si="50"/>
        <v>107.51534472810721</v>
      </c>
      <c r="AT161" s="189" t="s">
        <v>844</v>
      </c>
      <c r="AV161" s="173">
        <f>IF($AT$62="OL",AV160/50,AV160/10)</f>
        <v>8.1542653673163414</v>
      </c>
      <c r="AW161" s="173">
        <f t="shared" ref="AW161:BS161" si="86">IF($AT$62="OL",AW160/50,AW160/10)</f>
        <v>8.0953898050974509</v>
      </c>
      <c r="AX161" s="173">
        <f t="shared" si="86"/>
        <v>8.0365142428785603</v>
      </c>
      <c r="AY161" s="173">
        <f t="shared" si="86"/>
        <v>8.007076461769115</v>
      </c>
      <c r="AZ161" s="173">
        <f t="shared" si="86"/>
        <v>7.9776386806596697</v>
      </c>
      <c r="BA161" s="173">
        <f t="shared" si="86"/>
        <v>7.9482008995502245</v>
      </c>
      <c r="BB161" s="173">
        <f t="shared" si="86"/>
        <v>7.9187631184407792</v>
      </c>
      <c r="BC161" s="173">
        <f t="shared" si="86"/>
        <v>7.8893253373313339</v>
      </c>
      <c r="BD161" s="173">
        <f t="shared" si="86"/>
        <v>7.8304497751124442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1.5307646176911545</v>
      </c>
      <c r="BH161" s="173">
        <f t="shared" si="86"/>
        <v>1.5307646176911545</v>
      </c>
      <c r="BI161" s="173">
        <f t="shared" si="86"/>
        <v>1.5307646176911545</v>
      </c>
      <c r="BJ161" s="173">
        <f t="shared" si="86"/>
        <v>1.5307646176911545</v>
      </c>
      <c r="BK161" s="173">
        <f t="shared" si="86"/>
        <v>1.5307646176911545</v>
      </c>
      <c r="BL161" s="173">
        <f t="shared" si="86"/>
        <v>1.5307646176911545</v>
      </c>
      <c r="BM161" s="173">
        <f t="shared" si="86"/>
        <v>1.5307646176911545</v>
      </c>
      <c r="BN161" s="173">
        <f t="shared" si="86"/>
        <v>7.2122563718140933</v>
      </c>
      <c r="BO161" s="173">
        <f t="shared" si="86"/>
        <v>6.9473163418290858</v>
      </c>
      <c r="BP161" s="173">
        <f t="shared" si="86"/>
        <v>6.9473163418290858</v>
      </c>
      <c r="BQ161" s="173">
        <f t="shared" si="86"/>
        <v>8.1542653673163414</v>
      </c>
      <c r="BR161" s="173">
        <f t="shared" si="86"/>
        <v>8.1542653673163414</v>
      </c>
      <c r="BS161" s="173">
        <f t="shared" si="86"/>
        <v>8.1542653673163414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139.70804136687397</v>
      </c>
      <c r="D162" s="263">
        <f t="shared" si="50"/>
        <v>132.4817633651391</v>
      </c>
      <c r="AT162" s="189" t="s">
        <v>846</v>
      </c>
      <c r="AV162" s="173">
        <f>IF(AV161&gt;1,AV161-1,0)</f>
        <v>7.1542653673163414</v>
      </c>
      <c r="AW162" s="173">
        <f t="shared" ref="AW162:BS162" si="89">IF(AW161&gt;1,AW161-1,0)</f>
        <v>7.0953898050974509</v>
      </c>
      <c r="AX162" s="173">
        <f t="shared" si="89"/>
        <v>7.0365142428785603</v>
      </c>
      <c r="AY162" s="173">
        <f t="shared" si="89"/>
        <v>7.007076461769115</v>
      </c>
      <c r="AZ162" s="173">
        <f t="shared" si="89"/>
        <v>6.9776386806596697</v>
      </c>
      <c r="BA162" s="173">
        <f t="shared" si="89"/>
        <v>6.9482008995502245</v>
      </c>
      <c r="BB162" s="173">
        <f t="shared" si="89"/>
        <v>6.9187631184407792</v>
      </c>
      <c r="BC162" s="173">
        <f t="shared" si="89"/>
        <v>6.8893253373313339</v>
      </c>
      <c r="BD162" s="173">
        <f t="shared" si="89"/>
        <v>6.8304497751124442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0.53076461769115446</v>
      </c>
      <c r="BH162" s="173">
        <f t="shared" si="89"/>
        <v>0.53076461769115446</v>
      </c>
      <c r="BI162" s="173">
        <f t="shared" si="89"/>
        <v>0.53076461769115446</v>
      </c>
      <c r="BJ162" s="173">
        <f t="shared" si="89"/>
        <v>0.53076461769115446</v>
      </c>
      <c r="BK162" s="173">
        <f t="shared" si="89"/>
        <v>0.53076461769115446</v>
      </c>
      <c r="BL162" s="173">
        <f t="shared" si="89"/>
        <v>0.53076461769115446</v>
      </c>
      <c r="BM162" s="173">
        <f t="shared" si="89"/>
        <v>0.53076461769115446</v>
      </c>
      <c r="BN162" s="173">
        <f t="shared" si="89"/>
        <v>6.2122563718140933</v>
      </c>
      <c r="BO162" s="173">
        <f t="shared" si="89"/>
        <v>5.9473163418290858</v>
      </c>
      <c r="BP162" s="173">
        <f t="shared" si="89"/>
        <v>5.9473163418290858</v>
      </c>
      <c r="BQ162" s="173">
        <f t="shared" si="89"/>
        <v>7.1542653673163414</v>
      </c>
      <c r="BR162" s="173">
        <f t="shared" si="89"/>
        <v>7.1542653673163414</v>
      </c>
      <c r="BS162" s="173">
        <f t="shared" si="89"/>
        <v>7.1542653673163414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54.519964392803601</v>
      </c>
      <c r="AW163" s="62">
        <f t="shared" ref="AW163:BS163" si="92">AW147+AW148*AW162</f>
        <v>54.416932158920538</v>
      </c>
      <c r="AX163" s="62">
        <f t="shared" si="92"/>
        <v>54.313899925037482</v>
      </c>
      <c r="AY163" s="62">
        <f t="shared" si="92"/>
        <v>54.262383808095947</v>
      </c>
      <c r="AZ163" s="62">
        <f t="shared" si="92"/>
        <v>54.210867691154419</v>
      </c>
      <c r="BA163" s="62">
        <f t="shared" si="92"/>
        <v>54.159351574212891</v>
      </c>
      <c r="BB163" s="62">
        <f t="shared" si="92"/>
        <v>54.107835457271364</v>
      </c>
      <c r="BC163" s="62">
        <f t="shared" si="92"/>
        <v>54.056319340329836</v>
      </c>
      <c r="BD163" s="62">
        <f t="shared" si="92"/>
        <v>53.95328710644678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21.928838080959519</v>
      </c>
      <c r="BH163" s="62">
        <f t="shared" si="92"/>
        <v>21.928838080959519</v>
      </c>
      <c r="BI163" s="62">
        <f t="shared" si="92"/>
        <v>21.928838080959519</v>
      </c>
      <c r="BJ163" s="62">
        <f t="shared" si="92"/>
        <v>21.928838080959519</v>
      </c>
      <c r="BK163" s="62">
        <f t="shared" si="92"/>
        <v>21.928838080959519</v>
      </c>
      <c r="BL163" s="62">
        <f t="shared" si="92"/>
        <v>21.928838080959519</v>
      </c>
      <c r="BM163" s="62">
        <f t="shared" si="92"/>
        <v>21.928838080959519</v>
      </c>
      <c r="BN163" s="62">
        <f t="shared" si="92"/>
        <v>31.871448650674665</v>
      </c>
      <c r="BO163" s="62">
        <f t="shared" si="92"/>
        <v>52.4078035982009</v>
      </c>
      <c r="BP163" s="62">
        <f t="shared" si="92"/>
        <v>52.4078035982009</v>
      </c>
      <c r="BQ163" s="62">
        <f t="shared" si="92"/>
        <v>54.519964392803601</v>
      </c>
      <c r="BR163" s="62">
        <f t="shared" si="92"/>
        <v>54.519964392803601</v>
      </c>
      <c r="BS163" s="62">
        <f t="shared" si="92"/>
        <v>54.519964392803601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61.430435325000026</v>
      </c>
      <c r="D165" s="263">
        <f t="shared" si="50"/>
        <v>58.252999015086225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43.594451642909995</v>
      </c>
      <c r="D166" s="263">
        <f t="shared" si="50"/>
        <v>41.339566213104305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21</v>
      </c>
      <c r="CM167" s="190">
        <f>IF(CM121&gt;0,HLOOKUP(CM121,[1]Trav!$C$11:$O$31,$AU$166),0)</f>
        <v>21</v>
      </c>
      <c r="CN167" s="190">
        <f>IF(CN121&gt;0,HLOOKUP(CN121,[1]Trav!$C$11:$O$31,$AU$166),0)</f>
        <v>21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28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136.10990000000001</v>
      </c>
      <c r="D169" s="263">
        <f t="shared" si="50"/>
        <v>129.06973275862069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125.86736665147825</v>
      </c>
      <c r="D170" s="263">
        <f t="shared" si="50"/>
        <v>119.35698561778111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117.30712</v>
      </c>
      <c r="D171" s="263">
        <f t="shared" si="50"/>
        <v>111.23951034482759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170.1</v>
      </c>
      <c r="D172" s="263">
        <f t="shared" si="50"/>
        <v>161.30172413793102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10.242533348521761</v>
      </c>
      <c r="D173" s="263">
        <f t="shared" si="50"/>
        <v>9.7127471408395998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92.5</v>
      </c>
      <c r="D174" s="263">
        <f t="shared" si="50"/>
        <v>87.715517241379303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-52.792879999999997</v>
      </c>
      <c r="D175" s="263">
        <f>C175*$D$82/$C$82</f>
        <v>-50.062213793103446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52.792879999999997</v>
      </c>
      <c r="D176" s="263">
        <f>C176*$D$82/$C$82</f>
        <v>50.062213793103446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82</v>
      </c>
      <c r="D178" s="173">
        <f>ROUND((D170+D171)/(D170+D172),2)*100</f>
        <v>82</v>
      </c>
      <c r="AT178" s="40" t="s">
        <v>865</v>
      </c>
      <c r="AV178" s="173">
        <f>SUM(AV167:AV176)</f>
        <v>21</v>
      </c>
      <c r="AW178" s="173">
        <f t="shared" ref="AW178:BS178" si="98">SUM(AW167:AW176)</f>
        <v>21</v>
      </c>
      <c r="AX178" s="173">
        <f t="shared" si="98"/>
        <v>21</v>
      </c>
      <c r="AY178" s="173">
        <f t="shared" si="98"/>
        <v>35</v>
      </c>
      <c r="AZ178" s="173">
        <f t="shared" si="98"/>
        <v>35</v>
      </c>
      <c r="BA178" s="173">
        <f t="shared" si="98"/>
        <v>35</v>
      </c>
      <c r="BB178" s="173">
        <f t="shared" si="98"/>
        <v>35</v>
      </c>
      <c r="BC178" s="173">
        <f t="shared" si="98"/>
        <v>35</v>
      </c>
      <c r="BD178" s="173">
        <f t="shared" si="98"/>
        <v>35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35</v>
      </c>
      <c r="BP178" s="173">
        <f t="shared" si="98"/>
        <v>21</v>
      </c>
      <c r="BQ178" s="173">
        <f t="shared" si="98"/>
        <v>21</v>
      </c>
      <c r="BR178" s="173">
        <f t="shared" si="98"/>
        <v>21</v>
      </c>
      <c r="BS178" s="173">
        <f t="shared" si="98"/>
        <v>21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49</v>
      </c>
      <c r="CM178" s="173">
        <f t="shared" si="99"/>
        <v>49</v>
      </c>
      <c r="CN178" s="173">
        <f t="shared" si="99"/>
        <v>49</v>
      </c>
      <c r="CO178" s="173">
        <f t="shared" si="99"/>
        <v>49</v>
      </c>
      <c r="CP178" s="173">
        <f t="shared" si="99"/>
        <v>49</v>
      </c>
      <c r="CQ178" s="173">
        <f t="shared" si="99"/>
        <v>56</v>
      </c>
      <c r="CR178" s="173">
        <f t="shared" si="99"/>
        <v>56</v>
      </c>
      <c r="CS178" s="173">
        <f t="shared" si="99"/>
        <v>56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8221</v>
      </c>
      <c r="D183" s="264">
        <f>ROUND(D184*D185,0)</f>
        <v>7792</v>
      </c>
      <c r="E183" s="17" t="s">
        <v>1295</v>
      </c>
    </row>
    <row r="184" spans="1:132" x14ac:dyDescent="0.25">
      <c r="B184" s="14" t="s">
        <v>1296</v>
      </c>
      <c r="C184" s="173">
        <f>Protection!AK26</f>
        <v>33</v>
      </c>
      <c r="D184" s="265">
        <f>C184*D82/C82</f>
        <v>31.293103448275861</v>
      </c>
    </row>
    <row r="185" spans="1:132" x14ac:dyDescent="0.25">
      <c r="B185" s="14" t="s">
        <v>1297</v>
      </c>
      <c r="C185" s="173">
        <f>IF(C183=0,0,ROUND(C183/C184,0))</f>
        <v>249</v>
      </c>
      <c r="D185" s="173">
        <f>C185</f>
        <v>249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1</v>
      </c>
      <c r="D187" s="173">
        <f>C187</f>
        <v>1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6</v>
      </c>
      <c r="D189" s="173">
        <f t="shared" si="101"/>
        <v>6</v>
      </c>
      <c r="AH189" s="15"/>
      <c r="AJ189" s="14" t="s">
        <v>1114</v>
      </c>
      <c r="AK189" s="30">
        <f>D189</f>
        <v>6</v>
      </c>
      <c r="AO189" s="173">
        <f>ROUND((([1]Protect!$B$5/[1]Protect!$B$11)+[1]Protect!$B$8)*AK189,0)</f>
        <v>5426</v>
      </c>
    </row>
    <row r="190" spans="1:132" x14ac:dyDescent="0.25">
      <c r="B190" s="14" t="s">
        <v>1302</v>
      </c>
      <c r="C190" s="173">
        <f>'Calcul éco'!T246*(30)</f>
        <v>105</v>
      </c>
      <c r="D190" s="173">
        <f>C190</f>
        <v>105</v>
      </c>
      <c r="AH190" s="15"/>
      <c r="AJ190" s="14" t="s">
        <v>1115</v>
      </c>
      <c r="AK190" s="30">
        <f>D190/30</f>
        <v>3.5</v>
      </c>
      <c r="AN190" s="173">
        <f>[1]Eco!$B$106*[1]Eco!$B$108*[1]Eco!$B$109</f>
        <v>2551.2000000000003</v>
      </c>
      <c r="AO190" s="173">
        <f>AK190*AN190</f>
        <v>8929.2000000000007</v>
      </c>
    </row>
    <row r="191" spans="1:132" x14ac:dyDescent="0.25">
      <c r="B191" s="14" t="s">
        <v>1303</v>
      </c>
      <c r="C191" s="198">
        <f>ROUND(SUM(Travail!F69:F74)/8,1)</f>
        <v>21.3</v>
      </c>
      <c r="D191" s="173">
        <f>C191</f>
        <v>21.3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98</v>
      </c>
      <c r="AN191" s="173">
        <f>[1]Eco!$B$111</f>
        <v>28.3</v>
      </c>
      <c r="AO191" s="173">
        <f>AK191*AN191</f>
        <v>2773.4</v>
      </c>
    </row>
    <row r="192" spans="1:132" x14ac:dyDescent="0.25">
      <c r="B192" s="14" t="s">
        <v>1307</v>
      </c>
      <c r="C192" s="173">
        <f>(Travail!F83+Travail!F84)/8</f>
        <v>1.1625000000000001</v>
      </c>
      <c r="D192" s="266">
        <f>ROUND((D183/1000)*([1]Protect!$B$25*8/10+[1]Protect!$B$26),2)/8</f>
        <v>1.1000000000000001</v>
      </c>
      <c r="E192" s="17" t="s">
        <v>1308</v>
      </c>
      <c r="I192" s="5"/>
      <c r="AN192" s="14" t="s">
        <v>1117</v>
      </c>
      <c r="AO192" s="173">
        <f>SUM(AO189:AO191)</f>
        <v>17128.600000000002</v>
      </c>
    </row>
    <row r="193" spans="1:43" x14ac:dyDescent="0.25">
      <c r="B193" s="14" t="s">
        <v>1309</v>
      </c>
      <c r="C193" s="173">
        <f>(Travail!F75+Travail!F76+Travail!F81)/8</f>
        <v>17.0625</v>
      </c>
      <c r="D193" s="173">
        <f>C193</f>
        <v>17.0625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265.51724137931035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1</v>
      </c>
      <c r="AK201" s="173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10423</v>
      </c>
      <c r="D206" s="261">
        <f>ROUND(C206*D$82/C$82,0)</f>
        <v>9884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7199</v>
      </c>
      <c r="D208" s="261">
        <f>ROUND(C208*D$82/C$82,0)</f>
        <v>6827</v>
      </c>
      <c r="S208" s="14" t="s">
        <v>978</v>
      </c>
      <c r="T208" s="30">
        <f>L212</f>
        <v>101.89237931034484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12500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12500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65.516379310344831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60249.1</v>
      </c>
      <c r="D211" s="264">
        <f>ROUND(SUM(D201:D210),0)</f>
        <v>56209</v>
      </c>
      <c r="E211" s="17" t="s">
        <v>1331</v>
      </c>
      <c r="K211" s="40" t="s">
        <v>995</v>
      </c>
      <c r="L211" s="62">
        <f>L209+L210</f>
        <v>101.89237931034484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101.89237931034484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147</v>
      </c>
      <c r="J216" s="48">
        <f>I216*D$82/C$82</f>
        <v>139.39655172413794</v>
      </c>
      <c r="K216" s="223"/>
      <c r="L216" s="223"/>
      <c r="AF216" s="5"/>
      <c r="AI216" s="14" t="s">
        <v>1140</v>
      </c>
      <c r="AJ216" s="173">
        <f>D183*[1]Protect!$B$17/100</f>
        <v>116.88</v>
      </c>
      <c r="AK216" s="173"/>
      <c r="AL216" s="173"/>
      <c r="AM216" s="173">
        <f>'Calcul éco'!W272</f>
        <v>6</v>
      </c>
      <c r="AN216" s="173">
        <f>AJ216*AM216</f>
        <v>701.28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3427.1279999999997</v>
      </c>
      <c r="D217" s="261">
        <f t="shared" si="106"/>
        <v>3250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16086.01224</v>
      </c>
      <c r="D218" s="261">
        <f t="shared" si="106"/>
        <v>15254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2</v>
      </c>
      <c r="AK218" s="173"/>
      <c r="AL218" s="173"/>
      <c r="AM218" s="173">
        <f>'Calcul éco'!W274</f>
        <v>100</v>
      </c>
      <c r="AN218" s="173">
        <f>AJ218*AM218</f>
        <v>200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5426</v>
      </c>
      <c r="D219" s="261">
        <f t="shared" si="106"/>
        <v>5145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939.89</v>
      </c>
      <c r="D220" s="264">
        <f>SUM(AN215:AN219)</f>
        <v>901.28</v>
      </c>
      <c r="E220" s="17" t="s">
        <v>1345</v>
      </c>
      <c r="H220" s="14" t="s">
        <v>1000</v>
      </c>
      <c r="I220" s="30">
        <f>SUM(I216:I219)</f>
        <v>147</v>
      </c>
      <c r="J220" s="30">
        <f>SUM(J216:J219)</f>
        <v>139.39655172413794</v>
      </c>
    </row>
    <row r="221" spans="1:43" x14ac:dyDescent="0.25">
      <c r="B221" s="14" t="s">
        <v>1346</v>
      </c>
      <c r="C221" s="173">
        <f>ROUND(SUM(C216:C220),0)</f>
        <v>66102</v>
      </c>
      <c r="D221" s="264">
        <f>ROUND(SUM(D216:D220),0)</f>
        <v>62693</v>
      </c>
      <c r="E221" s="17" t="s">
        <v>1345</v>
      </c>
      <c r="H221" s="14" t="s">
        <v>1001</v>
      </c>
      <c r="I221" s="30">
        <f>I220*[1]Eco!$B$25</f>
        <v>69.089999999999989</v>
      </c>
      <c r="J221" s="30">
        <f>J220*[1]Eco!$B$25</f>
        <v>65.516379310344831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280</v>
      </c>
      <c r="L223" s="30">
        <f>K223*'Synthèse résultats'!D$82/'Synthèse résultats'!C$82</f>
        <v>265.51724137931035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7792</v>
      </c>
      <c r="AL225" t="s">
        <v>1101</v>
      </c>
      <c r="AM225" s="173"/>
      <c r="AN225" s="173">
        <f>[1]Protect!$B$4</f>
        <v>6</v>
      </c>
      <c r="AO225" s="173">
        <f>AK225*AN225</f>
        <v>46752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1</v>
      </c>
      <c r="AN226" s="173">
        <f>[1]Protect!$B$83</f>
        <v>2000</v>
      </c>
      <c r="AO226" s="173">
        <f t="shared" ref="AO226:AO227" si="108">AK226*AN226</f>
        <v>2000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48752</v>
      </c>
      <c r="AQ228" s="30">
        <f>IF(Scénario!K84=1,MIN(0.8*AO228,[1]Protect!$B$68),IF(Scénario!K84=2,MIN(0.8*AO228,[1]Protect!$B$67),0))</f>
        <v>15500</v>
      </c>
      <c r="AR228" s="30">
        <f>AO228-AQ228</f>
        <v>33252</v>
      </c>
      <c r="AS228" s="30">
        <f>(1-Scénario!K127/100)*AR228</f>
        <v>33252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-289.60000000000002</v>
      </c>
      <c r="D230" s="261">
        <f t="shared" si="109"/>
        <v>-275</v>
      </c>
    </row>
    <row r="231" spans="1:49" x14ac:dyDescent="0.25">
      <c r="B231" s="14" t="s">
        <v>1083</v>
      </c>
      <c r="C231" s="173">
        <f>'Calcul éco'!J159</f>
        <v>47.999999999999986</v>
      </c>
      <c r="D231" s="261">
        <f t="shared" si="109"/>
        <v>46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8929.2000000000007</v>
      </c>
      <c r="D234" s="173">
        <f>C234</f>
        <v>8929.2000000000007</v>
      </c>
    </row>
    <row r="235" spans="1:49" x14ac:dyDescent="0.25">
      <c r="B235" s="14" t="s">
        <v>1353</v>
      </c>
      <c r="C235" s="173">
        <f>'Calcul éco'!J167</f>
        <v>3096.5190000000002</v>
      </c>
      <c r="D235" s="264">
        <f>(D191+D192)*8*[1]Eco!$B$106</f>
        <v>1904.8960000000004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47492</v>
      </c>
      <c r="D236" s="264">
        <f>ROUND(SUM(D222:D235),0)</f>
        <v>44783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20894.100000000006</v>
      </c>
      <c r="D237" s="264">
        <f>D194+D211-D221-D236</f>
        <v>19132</v>
      </c>
    </row>
    <row r="238" spans="1:49" x14ac:dyDescent="0.25">
      <c r="B238" s="211" t="s">
        <v>1090</v>
      </c>
      <c r="C238" s="173">
        <f>ROUND(C237/Scénario!$K$4,0)</f>
        <v>13929</v>
      </c>
      <c r="D238" s="264">
        <f>ROUND(D237/D83,0)</f>
        <v>9566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4417.0213715714708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3477</v>
      </c>
      <c r="D241" s="268">
        <f>ROUND(D237-D239-D240,0)</f>
        <v>6132</v>
      </c>
    </row>
    <row r="242" spans="1:15" x14ac:dyDescent="0.25">
      <c r="B242" s="211" t="s">
        <v>1094</v>
      </c>
      <c r="C242" s="173">
        <f>ROUND(C241/Scénario!K4,0)</f>
        <v>2318</v>
      </c>
      <c r="D242" s="264">
        <f>ROUND(D241/D83,0)</f>
        <v>3066</v>
      </c>
    </row>
    <row r="243" spans="1:15" x14ac:dyDescent="0.25">
      <c r="B243" s="211" t="s">
        <v>1357</v>
      </c>
      <c r="C243" s="173">
        <f>'Calcul éco'!X237+'Calcul éco'!X240</f>
        <v>51326</v>
      </c>
      <c r="D243" s="173">
        <f>C243</f>
        <v>51326</v>
      </c>
    </row>
    <row r="244" spans="1:15" x14ac:dyDescent="0.25">
      <c r="B244" s="211" t="s">
        <v>1358</v>
      </c>
      <c r="C244" s="173">
        <f>'Calcul éco'!AA237+'Calcul éco'!AA240</f>
        <v>35826</v>
      </c>
      <c r="D244" s="173">
        <f>C244</f>
        <v>35826</v>
      </c>
    </row>
    <row r="245" spans="1:15" x14ac:dyDescent="0.25">
      <c r="A245" s="2" t="s">
        <v>1359</v>
      </c>
      <c r="B245" s="14" t="s">
        <v>568</v>
      </c>
      <c r="C245" s="270">
        <f>Travail!F5</f>
        <v>574</v>
      </c>
      <c r="D245" s="173">
        <f>C245</f>
        <v>574</v>
      </c>
    </row>
    <row r="246" spans="1:15" x14ac:dyDescent="0.25">
      <c r="B246" s="14" t="s">
        <v>601</v>
      </c>
      <c r="C246" s="270">
        <f>Travail!F6</f>
        <v>181.65</v>
      </c>
      <c r="D246" s="173">
        <f t="shared" ref="D246:D247" si="112">C246</f>
        <v>181.65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1019.1012391304353</v>
      </c>
      <c r="D248" s="264">
        <f>ROUND(SUM(AV163:BS163),1)</f>
        <v>1005.5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784</v>
      </c>
      <c r="D251" s="173">
        <f>C251</f>
        <v>784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20.861999999999998</v>
      </c>
      <c r="L258" s="190">
        <f>IF(K258&gt;[1]Trav!E121,[1]Trav!C121,[1]Trav!B121)</f>
        <v>7.2</v>
      </c>
      <c r="N258" s="274"/>
      <c r="O258">
        <f t="shared" si="114"/>
        <v>150.2064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14.792999999999999</v>
      </c>
      <c r="L259" s="190">
        <f>IF(K259&gt;[1]Trav!E121,[1]Trav!C121,[1]Trav!B121)</f>
        <v>7.2</v>
      </c>
      <c r="N259" s="274"/>
      <c r="O259">
        <f t="shared" si="114"/>
        <v>106.50959999999999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158</v>
      </c>
      <c r="D267" s="264">
        <f t="shared" si="116"/>
        <v>150</v>
      </c>
    </row>
    <row r="268" spans="1:15" x14ac:dyDescent="0.25">
      <c r="B268" s="32" t="s">
        <v>791</v>
      </c>
      <c r="C268" s="270">
        <f>Travail!F56</f>
        <v>112</v>
      </c>
      <c r="D268" s="264">
        <f t="shared" si="116"/>
        <v>107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170.4</v>
      </c>
      <c r="D275" s="173">
        <f>C275</f>
        <v>170.4</v>
      </c>
    </row>
    <row r="276" spans="1:4" x14ac:dyDescent="0.25">
      <c r="A276" s="23"/>
      <c r="B276" s="32" t="s">
        <v>1369</v>
      </c>
      <c r="C276" s="270">
        <f>C192*8</f>
        <v>9.3000000000000007</v>
      </c>
      <c r="D276" s="264">
        <f>D192*8</f>
        <v>8.8000000000000007</v>
      </c>
    </row>
    <row r="277" spans="1:4" x14ac:dyDescent="0.25">
      <c r="B277" s="32" t="s">
        <v>1418</v>
      </c>
      <c r="C277" s="270">
        <f>Travail!F75+Travail!F81</f>
        <v>112</v>
      </c>
      <c r="D277" s="173">
        <f>C277</f>
        <v>112</v>
      </c>
    </row>
    <row r="278" spans="1:4" x14ac:dyDescent="0.25">
      <c r="B278" s="32" t="s">
        <v>1419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1385</v>
      </c>
      <c r="C279" s="270">
        <f>Travail!F86</f>
        <v>840</v>
      </c>
      <c r="D279" s="270">
        <f>C279</f>
        <v>840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3972</v>
      </c>
      <c r="D281" s="264">
        <f>ROUND(D245+D248+D251+D254+D257+D260+D261,0)</f>
        <v>3888</v>
      </c>
    </row>
    <row r="282" spans="1:4" x14ac:dyDescent="0.25">
      <c r="B282" s="14" t="s">
        <v>1372</v>
      </c>
      <c r="C282" s="173">
        <f>ROUND(C246+C249+C252+C255+C258,0)</f>
        <v>788</v>
      </c>
      <c r="D282" s="264">
        <f>ROUND(D246+D249+D252+D255+D258,0)</f>
        <v>783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11.13</v>
      </c>
      <c r="D284" s="173">
        <f>ROUND(D281/(Troupeau!$B$17*G63),2)</f>
        <v>11.48</v>
      </c>
    </row>
    <row r="285" spans="1:4" x14ac:dyDescent="0.25">
      <c r="B285" s="14" t="s">
        <v>1375</v>
      </c>
      <c r="C285" s="173">
        <f>IF(Troupeau!$C$17=0,0,ROUND(C282/Troupeau!$C$17,2))</f>
        <v>37.520000000000003</v>
      </c>
      <c r="D285" s="173">
        <f>IF(Troupeau!$C$17=0,0,ROUND(D282/Troupeau!$C$17*G63,2))</f>
        <v>35.36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4760</v>
      </c>
      <c r="D287" s="264">
        <f>SUM(D281:D283)</f>
        <v>4671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367</v>
      </c>
      <c r="D289" s="264">
        <f>SUM(D262:D271)</f>
        <v>355</v>
      </c>
    </row>
    <row r="290" spans="2:4" x14ac:dyDescent="0.25">
      <c r="B290" s="14" t="s">
        <v>1420</v>
      </c>
      <c r="C290" s="270">
        <f>C275+C276+C277</f>
        <v>291.70000000000005</v>
      </c>
      <c r="D290" s="277">
        <f>D275+D276+D277</f>
        <v>291.20000000000005</v>
      </c>
    </row>
    <row r="291" spans="2:4" x14ac:dyDescent="0.25">
      <c r="B291" s="14" t="s">
        <v>1421</v>
      </c>
      <c r="C291" s="270">
        <f>C278+C279+C280</f>
        <v>864.5</v>
      </c>
      <c r="D291" s="270">
        <f>D278+D279+D280</f>
        <v>864.5</v>
      </c>
    </row>
    <row r="292" spans="2:4" x14ac:dyDescent="0.25">
      <c r="B292" s="14" t="s">
        <v>873</v>
      </c>
      <c r="C292" s="173">
        <f>ROUND(SUM(C287:C291),0)</f>
        <v>6883</v>
      </c>
      <c r="D292" s="264">
        <f>ROUND(SUM(D287:D291),0)</f>
        <v>6782</v>
      </c>
    </row>
    <row r="293" spans="2:4" x14ac:dyDescent="0.25">
      <c r="B293" s="14" t="s">
        <v>874</v>
      </c>
      <c r="C293" s="173">
        <f>ROUND(IF(Scénario!$K$129=1,SUM(C275:C280),SUM(C278:C280)),0)</f>
        <v>1156</v>
      </c>
      <c r="D293" s="173">
        <f>ROUND(IF(Scénario!$K$129=1,SUM(D275:D280),SUM(D278:D280)),0)</f>
        <v>1156</v>
      </c>
    </row>
    <row r="294" spans="2:4" x14ac:dyDescent="0.25">
      <c r="B294" s="14" t="s">
        <v>875</v>
      </c>
      <c r="C294" s="173">
        <f>ROUND((C292-C293)/C83,0)</f>
        <v>3818</v>
      </c>
      <c r="D294" s="173">
        <f>ROUND((D292-D293)/D83,0)</f>
        <v>2813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64.436931326478245</v>
      </c>
    </row>
    <row r="299" spans="2:4" x14ac:dyDescent="0.25">
      <c r="B299" s="14" t="s">
        <v>1453</v>
      </c>
      <c r="C299" s="173">
        <f>IF(Troupeau!$B$3="OL",CdTrp1!AA221,0)</f>
        <v>45.189649515652185</v>
      </c>
    </row>
    <row r="300" spans="2:4" x14ac:dyDescent="0.25">
      <c r="B300" s="14" t="s">
        <v>1454</v>
      </c>
      <c r="C300" s="173">
        <f>IF(Troupeau!$B$3="BV",CdTrp1!AA220,0)+IF(Troupeau!$C$3="BV",CdTrp2!AA220,0)</f>
        <v>61.430435324999998</v>
      </c>
    </row>
    <row r="301" spans="2:4" x14ac:dyDescent="0.25">
      <c r="B301" s="14" t="s">
        <v>1455</v>
      </c>
      <c r="C301" s="173">
        <f>IF(Troupeau!$B$3="BV",CdTrp1!AA221,0)+IF(Troupeau!$C$3="BV",CdTrp2!AA221,0)</f>
        <v>0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49326</v>
      </c>
    </row>
    <row r="308" spans="2:3" x14ac:dyDescent="0.25">
      <c r="B308" s="14" t="s">
        <v>1462</v>
      </c>
      <c r="C308" s="173">
        <f>'Calcul éco'!X235</f>
        <v>2000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45" activePane="bottomLeft" state="frozen"/>
      <selection pane="bottomLeft" activeCell="U53" sqref="U53:Y53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47.215000000000003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31.998065217391304</v>
      </c>
      <c r="C64" s="61">
        <f t="shared" si="19"/>
        <v>31.998065217391304</v>
      </c>
      <c r="D64" s="61">
        <f t="shared" si="19"/>
        <v>28.901478260869567</v>
      </c>
      <c r="E64" s="61">
        <f t="shared" si="19"/>
        <v>28.901478260869567</v>
      </c>
      <c r="F64" s="61">
        <f t="shared" si="19"/>
        <v>31.998065217391304</v>
      </c>
      <c r="G64" s="61">
        <f t="shared" si="19"/>
        <v>31.998065217391304</v>
      </c>
      <c r="H64" s="61">
        <f t="shared" si="19"/>
        <v>30.965869565217393</v>
      </c>
      <c r="I64" s="61">
        <f t="shared" si="19"/>
        <v>30.965869565217393</v>
      </c>
      <c r="J64" s="61">
        <f t="shared" si="19"/>
        <v>31.998065217391304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31.998065217391304</v>
      </c>
      <c r="V64" s="61">
        <f t="shared" si="19"/>
        <v>30.965869565217393</v>
      </c>
      <c r="W64" s="61">
        <f t="shared" si="19"/>
        <v>30.965869565217393</v>
      </c>
      <c r="X64" s="61">
        <f t="shared" si="19"/>
        <v>31.998065217391304</v>
      </c>
      <c r="Y64" s="61">
        <f t="shared" si="19"/>
        <v>31.998065217391304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35.029460869565213</v>
      </c>
      <c r="H65" s="61">
        <f t="shared" si="20"/>
        <v>33.899478260869564</v>
      </c>
      <c r="I65" s="61">
        <f t="shared" si="20"/>
        <v>33.899478260869564</v>
      </c>
      <c r="J65" s="61">
        <f t="shared" si="20"/>
        <v>87.573652173913061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20.209304347826091</v>
      </c>
      <c r="C66" s="61">
        <f t="shared" si="21"/>
        <v>20.209304347826091</v>
      </c>
      <c r="D66" s="61">
        <f t="shared" si="21"/>
        <v>18.253565217391305</v>
      </c>
      <c r="E66" s="61">
        <f t="shared" si="21"/>
        <v>18.253565217391305</v>
      </c>
      <c r="F66" s="61">
        <f t="shared" si="21"/>
        <v>20.209304347826091</v>
      </c>
      <c r="G66" s="61">
        <f t="shared" si="21"/>
        <v>20.209304347826091</v>
      </c>
      <c r="H66" s="61">
        <f t="shared" si="21"/>
        <v>19.557391304347828</v>
      </c>
      <c r="I66" s="61">
        <f t="shared" si="21"/>
        <v>19.557391304347828</v>
      </c>
      <c r="J66" s="61">
        <f t="shared" si="21"/>
        <v>20.209304347826091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20.209304347826091</v>
      </c>
      <c r="V66" s="61">
        <f t="shared" si="21"/>
        <v>19.557391304347828</v>
      </c>
      <c r="W66" s="61">
        <f t="shared" si="21"/>
        <v>19.557391304347828</v>
      </c>
      <c r="X66" s="61">
        <f t="shared" si="21"/>
        <v>20.209304347826091</v>
      </c>
      <c r="Y66" s="61">
        <f t="shared" si="21"/>
        <v>20.209304347826091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761</v>
      </c>
      <c r="C73" s="64">
        <f t="shared" ref="C73:Y73" si="28">ROUND(SUM(C63:C72),0)</f>
        <v>754</v>
      </c>
      <c r="D73" s="64">
        <f t="shared" si="28"/>
        <v>675</v>
      </c>
      <c r="E73" s="64">
        <f t="shared" si="28"/>
        <v>375</v>
      </c>
      <c r="F73" s="64">
        <f t="shared" si="28"/>
        <v>414</v>
      </c>
      <c r="G73" s="64">
        <f t="shared" si="28"/>
        <v>412</v>
      </c>
      <c r="H73" s="64">
        <f t="shared" si="28"/>
        <v>397</v>
      </c>
      <c r="I73" s="64">
        <f t="shared" si="28"/>
        <v>396</v>
      </c>
      <c r="J73" s="64">
        <f t="shared" si="28"/>
        <v>458</v>
      </c>
      <c r="K73" s="64">
        <f t="shared" si="28"/>
        <v>369</v>
      </c>
      <c r="L73" s="64">
        <f t="shared" si="28"/>
        <v>357</v>
      </c>
      <c r="M73" s="64">
        <f t="shared" si="28"/>
        <v>42</v>
      </c>
      <c r="N73" s="64">
        <f t="shared" si="28"/>
        <v>44</v>
      </c>
      <c r="O73" s="64">
        <f t="shared" si="28"/>
        <v>44</v>
      </c>
      <c r="P73" s="64">
        <f t="shared" si="28"/>
        <v>44</v>
      </c>
      <c r="Q73" s="64">
        <f t="shared" si="28"/>
        <v>44</v>
      </c>
      <c r="R73" s="64">
        <f t="shared" si="28"/>
        <v>42</v>
      </c>
      <c r="S73" s="64">
        <f t="shared" si="28"/>
        <v>42</v>
      </c>
      <c r="T73" s="64">
        <f t="shared" si="28"/>
        <v>369</v>
      </c>
      <c r="U73" s="64">
        <f t="shared" si="28"/>
        <v>408</v>
      </c>
      <c r="V73" s="64">
        <f t="shared" si="28"/>
        <v>738</v>
      </c>
      <c r="W73" s="64">
        <f t="shared" si="28"/>
        <v>736</v>
      </c>
      <c r="X73" s="64">
        <f t="shared" si="28"/>
        <v>761</v>
      </c>
      <c r="Y73" s="64">
        <f t="shared" si="28"/>
        <v>761</v>
      </c>
      <c r="Z73" s="52"/>
      <c r="AA73" s="56">
        <f>ROUND(SUM(B73:Y73),0)</f>
        <v>9443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10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7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0.76276651043478261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3.0249916930434781</v>
      </c>
    </row>
    <row r="139" spans="1:31" x14ac:dyDescent="0.25">
      <c r="A139" s="127" t="str">
        <f>A$18</f>
        <v>beliers</v>
      </c>
      <c r="B139" s="61">
        <f t="shared" si="52"/>
        <v>0.26272095652173921</v>
      </c>
      <c r="C139" s="61">
        <f t="shared" si="52"/>
        <v>0.26272095652173921</v>
      </c>
      <c r="D139" s="61">
        <f t="shared" si="52"/>
        <v>0.23729634782608697</v>
      </c>
      <c r="E139" s="61">
        <f t="shared" si="52"/>
        <v>0.23729634782608697</v>
      </c>
      <c r="F139" s="61">
        <f t="shared" si="52"/>
        <v>0.26272095652173921</v>
      </c>
      <c r="G139" s="61">
        <f t="shared" si="52"/>
        <v>0.26272095652173921</v>
      </c>
      <c r="H139" s="61">
        <f t="shared" si="52"/>
        <v>0.25424608695652179</v>
      </c>
      <c r="I139" s="61">
        <f t="shared" si="52"/>
        <v>0.25424608695652179</v>
      </c>
      <c r="J139" s="61">
        <f t="shared" si="52"/>
        <v>0.26272095652173921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0.26272095652173921</v>
      </c>
      <c r="V139" s="61">
        <f t="shared" si="52"/>
        <v>0.25424608695652179</v>
      </c>
      <c r="W139" s="61">
        <f t="shared" si="52"/>
        <v>0.25424608695652179</v>
      </c>
      <c r="X139" s="61">
        <f t="shared" si="52"/>
        <v>0.26272095652173921</v>
      </c>
      <c r="Y139" s="61">
        <f t="shared" si="52"/>
        <v>0.26272095652173921</v>
      </c>
      <c r="AA139" s="61">
        <f t="shared" si="53"/>
        <v>3.5933446956521742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127.00731033352179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139.70804136687397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0.41131366956521737</v>
      </c>
      <c r="E151" s="61">
        <f t="shared" si="57"/>
        <v>0.41131366956521737</v>
      </c>
      <c r="F151" s="61">
        <f t="shared" si="57"/>
        <v>0.45538299130434778</v>
      </c>
      <c r="G151" s="61">
        <f t="shared" si="57"/>
        <v>0.45538299130434778</v>
      </c>
      <c r="H151" s="61">
        <f t="shared" si="57"/>
        <v>0.44069321739130435</v>
      </c>
      <c r="I151" s="61">
        <f t="shared" si="57"/>
        <v>0.44069321739130435</v>
      </c>
      <c r="J151" s="61">
        <f t="shared" si="57"/>
        <v>1.1384574782608696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0.37569096782608702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113.37981807691305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0.37569096782608702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0</v>
      </c>
      <c r="G172" s="61">
        <f t="shared" si="75"/>
        <v>6.314740701652175</v>
      </c>
      <c r="H172" s="61">
        <f t="shared" si="75"/>
        <v>6.0793759721739136</v>
      </c>
      <c r="I172" s="61">
        <f t="shared" si="75"/>
        <v>6.0477125556521765</v>
      </c>
      <c r="J172" s="61">
        <f t="shared" si="75"/>
        <v>6.1838652466956523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1.1017330434782608</v>
      </c>
      <c r="N172" s="61">
        <f t="shared" si="75"/>
        <v>1.1384574782608696</v>
      </c>
      <c r="O172" s="61">
        <f t="shared" si="75"/>
        <v>1.1384574782608696</v>
      </c>
      <c r="P172" s="61">
        <f t="shared" si="75"/>
        <v>1.1384574782608696</v>
      </c>
      <c r="Q172" s="61">
        <f t="shared" si="75"/>
        <v>1.1384574782608696</v>
      </c>
      <c r="R172" s="61">
        <f t="shared" si="75"/>
        <v>1.1017330434782608</v>
      </c>
      <c r="S172" s="61">
        <f t="shared" si="75"/>
        <v>1.1017330434782608</v>
      </c>
      <c r="T172" s="61">
        <f t="shared" si="75"/>
        <v>2.9467018258695652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53.058006456913056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0.83194969565217392</v>
      </c>
      <c r="C185" s="61">
        <f>SUM(CdTrp1!C175:C184)</f>
        <v>0.83194969565217392</v>
      </c>
      <c r="D185" s="61">
        <f>SUM(CdTrp1!D175:D184)</f>
        <v>0.75143843478260874</v>
      </c>
      <c r="E185" s="61">
        <f>SUM(CdTrp1!E175:E184)</f>
        <v>0.75143843478260874</v>
      </c>
      <c r="F185" s="61">
        <f>SUM(CdTrp1!F175:F184)</f>
        <v>0.83194969565217392</v>
      </c>
      <c r="G185" s="61">
        <f>SUM(CdTrp1!G175:G184)</f>
        <v>0.83194969565217392</v>
      </c>
      <c r="H185" s="61">
        <f>SUM(CdTrp1!H175:H184)</f>
        <v>0.80511260869565215</v>
      </c>
      <c r="I185" s="61">
        <f>SUM(CdTrp1!I175:I184)</f>
        <v>0.80511260869565215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0.83194969565217392</v>
      </c>
      <c r="V185" s="61">
        <f>SUM(CdTrp1!V175:V184)</f>
        <v>0.80511260869565215</v>
      </c>
      <c r="W185" s="61">
        <f>SUM(CdTrp1!W175:W184)</f>
        <v>0.80511260869565215</v>
      </c>
      <c r="X185" s="61">
        <f>SUM(CdTrp1!X175:X184)</f>
        <v>0.83194969565217392</v>
      </c>
      <c r="Y185" s="61">
        <f>SUM(CdTrp1!Y175:Y184)</f>
        <v>0.83194969565217392</v>
      </c>
      <c r="AA185" s="64">
        <f>SUM(B185:Y185)</f>
        <v>11.378924869565218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6.3349975956521751</v>
      </c>
      <c r="N201" s="61">
        <f t="shared" si="97"/>
        <v>6.5461641821739143</v>
      </c>
      <c r="O201" s="61">
        <f t="shared" si="97"/>
        <v>6.5461641821739143</v>
      </c>
      <c r="P201" s="61">
        <f t="shared" si="97"/>
        <v>6.5461641821739143</v>
      </c>
      <c r="Q201" s="61">
        <f t="shared" si="97"/>
        <v>6.5461641821739143</v>
      </c>
      <c r="R201" s="61">
        <f t="shared" si="97"/>
        <v>6.3349975956521751</v>
      </c>
      <c r="S201" s="61">
        <f t="shared" si="97"/>
        <v>6.3349975956521751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6.3349975956521751</v>
      </c>
      <c r="N211" s="61">
        <f t="shared" si="107"/>
        <v>6.5461641821739143</v>
      </c>
      <c r="O211" s="61">
        <f t="shared" si="107"/>
        <v>6.5461641821739143</v>
      </c>
      <c r="P211" s="61">
        <f t="shared" si="107"/>
        <v>6.5461641821739143</v>
      </c>
      <c r="Q211" s="61">
        <f t="shared" si="107"/>
        <v>6.5461641821739143</v>
      </c>
      <c r="R211" s="61">
        <f t="shared" si="107"/>
        <v>6.3349975956521751</v>
      </c>
      <c r="S211" s="61">
        <f t="shared" si="107"/>
        <v>6.3349975956521751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45.189649515652185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0</v>
      </c>
      <c r="G215" s="61">
        <f t="shared" si="108"/>
        <v>6.314740701652175</v>
      </c>
      <c r="H215" s="61">
        <f t="shared" si="108"/>
        <v>6.0793759721739136</v>
      </c>
      <c r="I215" s="61">
        <f t="shared" si="108"/>
        <v>6.0477125556521765</v>
      </c>
      <c r="J215" s="61">
        <f t="shared" si="108"/>
        <v>6.1838652466956523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1.1017330434782608</v>
      </c>
      <c r="N215" s="61">
        <f t="shared" si="108"/>
        <v>1.1384574782608696</v>
      </c>
      <c r="O215" s="61">
        <f t="shared" si="108"/>
        <v>1.1384574782608696</v>
      </c>
      <c r="P215" s="61">
        <f t="shared" si="108"/>
        <v>1.1384574782608696</v>
      </c>
      <c r="Q215" s="61">
        <f t="shared" si="108"/>
        <v>1.1384574782608696</v>
      </c>
      <c r="R215" s="61">
        <f t="shared" si="108"/>
        <v>1.1017330434782608</v>
      </c>
      <c r="S215" s="61">
        <f t="shared" si="108"/>
        <v>1.1017330434782608</v>
      </c>
      <c r="T215" s="61">
        <f t="shared" si="108"/>
        <v>2.9467018258695652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0.83194969565217392</v>
      </c>
      <c r="C216" s="61">
        <f t="shared" ref="C216:Y216" si="109">C185</f>
        <v>0.83194969565217392</v>
      </c>
      <c r="D216" s="61">
        <f t="shared" si="109"/>
        <v>0.75143843478260874</v>
      </c>
      <c r="E216" s="61">
        <f t="shared" si="109"/>
        <v>0.75143843478260874</v>
      </c>
      <c r="F216" s="61">
        <f t="shared" si="109"/>
        <v>0.83194969565217392</v>
      </c>
      <c r="G216" s="61">
        <f t="shared" si="109"/>
        <v>0.83194969565217392</v>
      </c>
      <c r="H216" s="61">
        <f t="shared" si="109"/>
        <v>0.80511260869565215</v>
      </c>
      <c r="I216" s="61">
        <f t="shared" si="109"/>
        <v>0.80511260869565215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0.83194969565217392</v>
      </c>
      <c r="V216" s="61">
        <f t="shared" si="109"/>
        <v>0.80511260869565215</v>
      </c>
      <c r="W216" s="61">
        <f t="shared" si="109"/>
        <v>0.80511260869565215</v>
      </c>
      <c r="X216" s="61">
        <f t="shared" si="109"/>
        <v>0.83194969565217392</v>
      </c>
      <c r="Y216" s="61">
        <f t="shared" si="109"/>
        <v>0.83194969565217392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6.3349975956521751</v>
      </c>
      <c r="N218" s="61">
        <f t="shared" si="111"/>
        <v>6.5461641821739143</v>
      </c>
      <c r="O218" s="61">
        <f t="shared" si="111"/>
        <v>6.5461641821739143</v>
      </c>
      <c r="P218" s="61">
        <f t="shared" si="111"/>
        <v>6.5461641821739143</v>
      </c>
      <c r="Q218" s="61">
        <f t="shared" si="111"/>
        <v>6.5461641821739143</v>
      </c>
      <c r="R218" s="61">
        <f t="shared" si="111"/>
        <v>6.3349975956521751</v>
      </c>
      <c r="S218" s="61">
        <f t="shared" si="111"/>
        <v>6.3349975956521751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109.62658084213039</v>
      </c>
      <c r="AB219" t="s">
        <v>222</v>
      </c>
    </row>
    <row r="220" spans="1:28" x14ac:dyDescent="0.25">
      <c r="AA220" s="30">
        <f>SUM(B215:Y217)</f>
        <v>64.436931326478245</v>
      </c>
      <c r="AB220" t="s">
        <v>223</v>
      </c>
    </row>
    <row r="221" spans="1:28" x14ac:dyDescent="0.25">
      <c r="AA221" s="30">
        <f>SUM(B218:Y218)</f>
        <v>45.189649515652185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08" activePane="bottomLeft" state="frozen"/>
      <selection pane="bottomLeft" activeCell="H123" sqref="H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2</v>
      </c>
      <c r="R76" s="60">
        <v>2</v>
      </c>
      <c r="S76" s="60">
        <v>2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13.5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0.8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0.7</v>
      </c>
      <c r="R123" s="60">
        <v>0.8</v>
      </c>
      <c r="S123" s="60">
        <v>0.8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0.50910803999999987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0.77275327500000024</v>
      </c>
      <c r="R136" s="61">
        <f t="shared" si="33"/>
        <v>0.42411599999999988</v>
      </c>
      <c r="S136" s="61">
        <f t="shared" si="33"/>
        <v>0.42411599999999988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31.127771574199997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41.518525374199996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43.594451642909995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2.0364321600000004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1.8030909749999999</v>
      </c>
      <c r="R149" s="61">
        <f t="shared" si="37"/>
        <v>1.696464</v>
      </c>
      <c r="S149" s="61">
        <f t="shared" si="37"/>
        <v>1.696464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61.430435325000026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2.4927524999999999</v>
      </c>
      <c r="M162" s="61">
        <f t="shared" si="47"/>
        <v>2.4927524999999999</v>
      </c>
      <c r="N162" s="61">
        <f t="shared" si="47"/>
        <v>2.5758442500000003</v>
      </c>
      <c r="O162" s="61">
        <f t="shared" si="47"/>
        <v>2.5758442500000003</v>
      </c>
      <c r="P162" s="61">
        <f t="shared" si="47"/>
        <v>2.5758442500000003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0.11466</v>
      </c>
      <c r="I163" s="61">
        <f t="shared" si="48"/>
        <v>0.17198999999999998</v>
      </c>
      <c r="J163" s="61">
        <f t="shared" si="48"/>
        <v>0.17772299999999996</v>
      </c>
      <c r="K163" s="61">
        <f t="shared" si="48"/>
        <v>0.17772299999999996</v>
      </c>
      <c r="L163" s="61">
        <f t="shared" si="48"/>
        <v>0.17198999999999998</v>
      </c>
      <c r="M163" s="61">
        <f t="shared" si="48"/>
        <v>0.17198999999999998</v>
      </c>
      <c r="N163" s="61">
        <f t="shared" si="48"/>
        <v>0.17772299999999996</v>
      </c>
      <c r="O163" s="61">
        <f t="shared" si="48"/>
        <v>0.17772299999999996</v>
      </c>
      <c r="P163" s="61">
        <f t="shared" si="48"/>
        <v>0.17772299999999996</v>
      </c>
      <c r="Q163" s="61">
        <f t="shared" si="48"/>
        <v>0.17772299999999996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2.7129879000000003</v>
      </c>
      <c r="I172" s="61">
        <f t="shared" si="57"/>
        <v>0.17198999999999998</v>
      </c>
      <c r="J172" s="61">
        <f t="shared" si="57"/>
        <v>0.17772299999999996</v>
      </c>
      <c r="K172" s="61">
        <f t="shared" si="57"/>
        <v>0.17772299999999996</v>
      </c>
      <c r="L172" s="61">
        <f t="shared" si="57"/>
        <v>2.6647425</v>
      </c>
      <c r="M172" s="61">
        <f t="shared" si="57"/>
        <v>2.6647425</v>
      </c>
      <c r="N172" s="61">
        <f t="shared" si="57"/>
        <v>2.7535672500000001</v>
      </c>
      <c r="O172" s="61">
        <f t="shared" si="57"/>
        <v>2.7535672500000001</v>
      </c>
      <c r="P172" s="61">
        <f t="shared" si="57"/>
        <v>2.7535672500000001</v>
      </c>
      <c r="Q172" s="61">
        <f t="shared" si="57"/>
        <v>0.17772299999999996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27.93547869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2.0364321600000004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1.8030909749999999</v>
      </c>
      <c r="R175" s="61">
        <f t="shared" si="58"/>
        <v>1.696464</v>
      </c>
      <c r="S175" s="61">
        <f t="shared" si="58"/>
        <v>1.696464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1.3759199999999998</v>
      </c>
      <c r="I185" s="61">
        <f>SUM(CdTrp2!I175:I184)</f>
        <v>3.4123521600000002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3.2248749749999996</v>
      </c>
      <c r="R185" s="61">
        <f>SUM(CdTrp2!R175:R184)</f>
        <v>3.0723839999999996</v>
      </c>
      <c r="S185" s="61">
        <f>SUM(CdTrp2!S175:S184)</f>
        <v>3.0723839999999996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33.494956634999994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2.7129879000000003</v>
      </c>
      <c r="I215" s="61">
        <f t="shared" si="90"/>
        <v>0.17198999999999998</v>
      </c>
      <c r="J215" s="61">
        <f t="shared" si="90"/>
        <v>0.17772299999999996</v>
      </c>
      <c r="K215" s="61">
        <f t="shared" si="90"/>
        <v>0.17772299999999996</v>
      </c>
      <c r="L215" s="61">
        <f t="shared" si="90"/>
        <v>2.6647425</v>
      </c>
      <c r="M215" s="61">
        <f t="shared" si="90"/>
        <v>2.6647425</v>
      </c>
      <c r="N215" s="61">
        <f t="shared" si="90"/>
        <v>2.7535672500000001</v>
      </c>
      <c r="O215" s="61">
        <f t="shared" si="90"/>
        <v>2.7535672500000001</v>
      </c>
      <c r="P215" s="61">
        <f t="shared" si="90"/>
        <v>2.7535672500000001</v>
      </c>
      <c r="Q215" s="61">
        <f t="shared" si="90"/>
        <v>0.17772299999999996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1.3759199999999998</v>
      </c>
      <c r="I216" s="61">
        <f t="shared" si="91"/>
        <v>3.4123521600000002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3.2248749749999996</v>
      </c>
      <c r="R216" s="61">
        <f t="shared" si="91"/>
        <v>3.0723839999999996</v>
      </c>
      <c r="S216" s="61">
        <f t="shared" si="91"/>
        <v>3.0723839999999996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61.430435324999998</v>
      </c>
      <c r="AB219" t="s">
        <v>222</v>
      </c>
    </row>
    <row r="220" spans="1:28" x14ac:dyDescent="0.25">
      <c r="AA220" s="30">
        <f>SUM(B215:Y217)</f>
        <v>61.430435324999998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2023-01-09T10:28:01Z</dcterms:modified>
</cp:coreProperties>
</file>