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8" r:id="rId19"/>
  </pivotCaches>
</workbook>
</file>

<file path=xl/calcChain.xml><?xml version="1.0" encoding="utf-8"?>
<calcChain xmlns="http://schemas.openxmlformats.org/spreadsheetml/2006/main">
  <c r="C20" i="29" l="1"/>
  <c r="C21" i="29"/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H9" i="29"/>
  <c r="G9" i="29"/>
  <c r="F9" i="29"/>
  <c r="E9" i="29"/>
  <c r="D9" i="29"/>
  <c r="C9" i="29"/>
  <c r="Z8" i="29"/>
  <c r="Y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AA171" i="31" s="1"/>
  <c r="T171" i="28"/>
  <c r="U171" i="28" s="1"/>
  <c r="Z171" i="28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AF188" i="31" s="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G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31"/>
  <c r="AC171" i="31"/>
  <c r="AC189" i="31"/>
  <c r="AA166" i="28"/>
  <c r="AC166" i="31"/>
  <c r="K113" i="31"/>
  <c r="AA186" i="28"/>
  <c r="AC187" i="31"/>
  <c r="AA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7" i="29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W108" i="30" l="1"/>
  <c r="CH108" i="30"/>
  <c r="CS107" i="30"/>
  <c r="CN107" i="30"/>
  <c r="CT106" i="30"/>
  <c r="CJ106" i="30"/>
  <c r="CO106" i="30"/>
  <c r="CJ108" i="30"/>
  <c r="CM107" i="30"/>
  <c r="CP107" i="30"/>
  <c r="CS106" i="30"/>
  <c r="CQ106" i="30"/>
  <c r="CV106" i="30"/>
  <c r="BB106" i="30"/>
  <c r="CR108" i="30"/>
  <c r="CK107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U108" i="30"/>
  <c r="CI108" i="30"/>
  <c r="CO107" i="30"/>
  <c r="CU106" i="30"/>
  <c r="CM108" i="30"/>
  <c r="CS108" i="30"/>
  <c r="CU107" i="30"/>
  <c r="CG107" i="30"/>
  <c r="CH106" i="30"/>
  <c r="CM106" i="30"/>
  <c r="CD108" i="30"/>
  <c r="CQ107" i="30"/>
  <c r="CR106" i="30"/>
  <c r="CW106" i="30"/>
  <c r="AJ173" i="31"/>
  <c r="V197" i="31"/>
  <c r="U173" i="31"/>
  <c r="V173" i="31"/>
  <c r="AF197" i="31"/>
  <c r="W173" i="31"/>
  <c r="U197" i="31"/>
  <c r="N7" i="29"/>
  <c r="N12" i="29" s="1"/>
  <c r="T72" i="30"/>
  <c r="P8" i="29"/>
  <c r="U8" i="29"/>
  <c r="Y72" i="30"/>
  <c r="X72" i="30"/>
  <c r="T8" i="29"/>
  <c r="T201" i="29" s="1"/>
  <c r="M8" i="29"/>
  <c r="M201" i="29" s="1"/>
  <c r="Q72" i="30"/>
  <c r="U72" i="30"/>
  <c r="Q8" i="29"/>
  <c r="V72" i="30"/>
  <c r="R8" i="29"/>
  <c r="R72" i="30"/>
  <c r="N8" i="29"/>
  <c r="N201" i="29" s="1"/>
  <c r="S72" i="30"/>
  <c r="O8" i="29"/>
  <c r="S8" i="29"/>
  <c r="W72" i="30"/>
  <c r="AF173" i="31"/>
  <c r="AC25" i="28"/>
  <c r="W25" i="28"/>
  <c r="W34" i="28" s="1"/>
  <c r="K34" i="28" s="1"/>
  <c r="C90" i="33" s="1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P201" i="29"/>
  <c r="Q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V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D81" i="30" l="1"/>
  <c r="F72" i="30"/>
  <c r="B109" i="30" s="1"/>
  <c r="B112" i="30" s="1"/>
  <c r="AJ171" i="28"/>
  <c r="AJ171" i="31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C275" i="33" s="1"/>
  <c r="D275" i="33" s="1"/>
  <c r="K48" i="28"/>
  <c r="BA85" i="30"/>
  <c r="BA86" i="30" s="1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A87" i="30" l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X248" i="31" l="1"/>
  <c r="J141" i="31"/>
  <c r="C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R185" i="24" l="1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O76" i="33" l="1"/>
  <c r="BO152" i="33"/>
  <c r="AV78" i="33"/>
  <c r="AV154" i="33"/>
  <c r="AV76" i="33"/>
  <c r="AV152" i="33"/>
  <c r="AY76" i="33"/>
  <c r="AY152" i="33"/>
  <c r="BD78" i="33"/>
  <c r="BD154" i="33"/>
  <c r="BP78" i="33"/>
  <c r="BP154" i="33"/>
  <c r="BS76" i="33"/>
  <c r="BS152" i="33"/>
  <c r="AX78" i="33"/>
  <c r="AX154" i="33"/>
  <c r="BR78" i="33"/>
  <c r="BR154" i="33"/>
  <c r="AW78" i="33"/>
  <c r="AW154" i="33"/>
  <c r="AY78" i="33"/>
  <c r="AY154" i="33"/>
  <c r="BB76" i="33"/>
  <c r="BB152" i="33"/>
  <c r="BA78" i="33"/>
  <c r="BA154" i="33"/>
  <c r="AW76" i="33"/>
  <c r="AW152" i="33"/>
  <c r="BR76" i="33"/>
  <c r="BR152" i="33"/>
  <c r="AZ76" i="33"/>
  <c r="AZ152" i="33"/>
  <c r="BP76" i="33"/>
  <c r="BP152" i="33"/>
  <c r="BO78" i="33"/>
  <c r="BO154" i="33"/>
  <c r="BA76" i="33"/>
  <c r="BA152" i="33"/>
  <c r="BB78" i="33"/>
  <c r="BB154" i="33"/>
  <c r="BC78" i="33"/>
  <c r="BC154" i="33"/>
  <c r="BD76" i="33"/>
  <c r="BD152" i="33"/>
  <c r="BQ78" i="33"/>
  <c r="BQ154" i="33"/>
  <c r="BC76" i="33"/>
  <c r="BC152" i="33"/>
  <c r="AX76" i="33"/>
  <c r="AX152" i="33"/>
  <c r="AZ78" i="33"/>
  <c r="AZ154" i="33"/>
  <c r="BQ76" i="33"/>
  <c r="BQ152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B146" i="33" l="1"/>
  <c r="CE146" i="33"/>
  <c r="CC146" i="33"/>
  <c r="BQ146" i="33"/>
  <c r="AW146" i="33"/>
  <c r="AW148" i="33" s="1"/>
  <c r="BP146" i="33"/>
  <c r="BP148" i="33" s="1"/>
  <c r="CD146" i="33"/>
  <c r="AY146" i="33"/>
  <c r="AY148" i="33" s="1"/>
  <c r="CX146" i="33"/>
  <c r="AZ146" i="33"/>
  <c r="AX146" i="33"/>
  <c r="BR146" i="33"/>
  <c r="BS146" i="33"/>
  <c r="BS147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7" i="33"/>
  <c r="CI146" i="33"/>
  <c r="DH147" i="33"/>
  <c r="DH148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P147" i="33" l="1"/>
  <c r="AV147" i="33"/>
  <c r="AY147" i="33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AK26" i="29"/>
  <c r="C184" i="33" s="1"/>
  <c r="T234" i="31"/>
  <c r="T272" i="31" s="1"/>
  <c r="X272" i="31" s="1"/>
  <c r="J142" i="31" s="1"/>
  <c r="C220" i="33" s="1"/>
  <c r="B83" i="30"/>
  <c r="D184" i="33"/>
  <c r="C185" i="33"/>
  <c r="F84" i="30"/>
  <c r="F83" i="30"/>
  <c r="B167" i="31" s="1"/>
  <c r="J167" i="31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X234" i="31"/>
  <c r="C235" i="33"/>
  <c r="C236" i="33" s="1"/>
  <c r="J170" i="31"/>
  <c r="D185" i="33"/>
  <c r="D183" i="33" s="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<sst xmlns="http://schemas.openxmlformats.org/spreadsheetml/2006/main" count="3128" uniqueCount="1467">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</sst>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61.760000000000005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179.49431037065355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178.27223761930432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4.4717108556521739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166.29999999999998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11.132106628695656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133.08258810365214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59.5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29</v>
      </c>
      <c r="H18" s="158">
        <f>G18/G17</f>
        <v>0.48739495798319327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0.45378151260504201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0"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11.132106628695656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11.132106628695656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61.164955800260884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61.760000000000005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61.760000000000005</v>
      </c>
      <c r="G9" s="81"/>
      <c r="H9" s="61">
        <f>SUM(L34:L43)</f>
        <v>9</v>
      </c>
      <c r="I9" s="81"/>
      <c r="J9" s="81"/>
      <c r="K9" s="93">
        <f>H9-F9</f>
        <v>-52.760000000000005</v>
      </c>
      <c r="L9" s="81"/>
      <c r="M9" s="100"/>
      <c r="P9">
        <v>3</v>
      </c>
      <c r="Q9" s="39">
        <v>228</v>
      </c>
      <c r="R9" s="39">
        <v>9.5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15.200000000000001</v>
      </c>
      <c r="AF9" s="61">
        <f t="shared" si="1"/>
        <v>13.299999999999999</v>
      </c>
      <c r="AG9" s="61">
        <f t="shared" si="2"/>
        <v>11.4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51.435150665347834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4.4717108556521739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42.678920053304353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61.756200000000007</v>
      </c>
      <c r="E24" s="61">
        <f t="shared" si="21"/>
        <v>21.227</v>
      </c>
      <c r="F24" s="61">
        <f t="shared" si="21"/>
        <v>56.06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113.71716000000001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61.164955800260884</v>
      </c>
      <c r="E25" s="61">
        <f>BR8</f>
        <v>20.482481638043474</v>
      </c>
      <c r="F25" s="61">
        <f>BR9</f>
        <v>51.435150665347834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166.29999999999998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0.59124419973912268</v>
      </c>
      <c r="E27" s="93">
        <f t="shared" si="23"/>
        <v>0.74451836195652632</v>
      </c>
      <c r="F27" s="93">
        <f t="shared" si="23"/>
        <v>4.6248493346521684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-52.582839999999976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42.280000000000008</v>
      </c>
      <c r="AF27" s="75">
        <f t="shared" ref="AF27:AJ27" si="24">SUM(AF7:AF26)</f>
        <v>13.78</v>
      </c>
      <c r="AG27" s="75">
        <f t="shared" si="24"/>
        <v>32.944000000000003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70.287999999999997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4.4717108556521739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18.486035746956521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22.228242521739134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42.280000000000008</v>
      </c>
      <c r="E72" s="61">
        <f t="shared" ref="E72:H72" si="69">AF27</f>
        <v>13.78</v>
      </c>
      <c r="F72" s="61">
        <f t="shared" si="69"/>
        <v>32.944000000000003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113.71716000000001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42.678920053304353</v>
      </c>
      <c r="E73" s="61">
        <f>BR20</f>
        <v>12.992254663043479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166.29999999999998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-0.39892005330434444</v>
      </c>
      <c r="E75" s="93">
        <f t="shared" ref="E75:I75" si="71">E72-E73</f>
        <v>0.7877453369565206</v>
      </c>
      <c r="F75" s="93">
        <f t="shared" si="71"/>
        <v>3.7370918563913023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-52.582839999999976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18.486035746956521</v>
      </c>
      <c r="E83" s="61">
        <f>BR28</f>
        <v>7.4902269749999988</v>
      </c>
      <c r="F83" s="61">
        <f>BR29</f>
        <v>22.228242521739134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0.99016425304348132</v>
      </c>
      <c r="E85" s="93">
        <f t="shared" ref="E85:H85" si="73">E82-E83</f>
        <v>-4.3226974999998724E-2</v>
      </c>
      <c r="F85" s="93">
        <f t="shared" si="73"/>
        <v>0.88775747826086615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8" sqref="O18:Q32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>
        <v>6</v>
      </c>
      <c r="P30" s="26"/>
      <c r="Q30" s="155">
        <v>3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>
        <v>6</v>
      </c>
      <c r="P31" s="26"/>
      <c r="Q31" s="155">
        <v>3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>
        <v>6</v>
      </c>
      <c r="P32" s="26"/>
      <c r="Q32" s="155">
        <v>3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5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ref="Q20:Q65" si="16">O33-P33</f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6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6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6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6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6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6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6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6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6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6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6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6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6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6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6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6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6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6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6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6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6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6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6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6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6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6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6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6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6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6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6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6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5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21.5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2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9.5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9.5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21.5</v>
      </c>
      <c r="V228" s="62">
        <f t="shared" ref="V228:W228" si="22">SUM(V164:V227)</f>
        <v>14.6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11.5</v>
      </c>
      <c r="AI228" s="62">
        <f t="shared" si="24"/>
        <v>6.9</v>
      </c>
      <c r="AJ228" s="62">
        <f t="shared" si="24"/>
        <v>5.6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3" sqref="A13:XFD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>N21</f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8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2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1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914.10123913043526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33.91804347826087</v>
      </c>
      <c r="M9" s="30">
        <f t="shared" si="4"/>
        <v>33.863717391304348</v>
      </c>
      <c r="N9" s="30">
        <f t="shared" si="4"/>
        <v>33.809391304347827</v>
      </c>
      <c r="O9" s="30">
        <f t="shared" si="4"/>
        <v>33.700739130434783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32.070956521739127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2637.8512391304334</v>
      </c>
      <c r="G13" s="30">
        <f>SUM(G5:G11)</f>
        <v>139.29832608695654</v>
      </c>
      <c r="H13" s="30">
        <f t="shared" ref="H13:AD13" si="8">SUM(H5:H11)</f>
        <v>139.18967391304346</v>
      </c>
      <c r="I13" s="30">
        <f t="shared" si="8"/>
        <v>144.33102173913045</v>
      </c>
      <c r="J13" s="30">
        <f t="shared" si="8"/>
        <v>158.27669565217391</v>
      </c>
      <c r="K13" s="30">
        <f t="shared" si="8"/>
        <v>158.22236956521738</v>
      </c>
      <c r="L13" s="30">
        <f t="shared" si="8"/>
        <v>156.41804347826087</v>
      </c>
      <c r="M13" s="30">
        <f t="shared" si="8"/>
        <v>144.11371739130436</v>
      </c>
      <c r="N13" s="30">
        <f t="shared" si="8"/>
        <v>147.55939130434783</v>
      </c>
      <c r="O13" s="30">
        <f t="shared" si="8"/>
        <v>140.45073913043478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140.57095652173913</v>
      </c>
      <c r="AB13" s="30">
        <f t="shared" si="8"/>
        <v>142.79832608695654</v>
      </c>
      <c r="AC13" s="30">
        <f t="shared" si="8"/>
        <v>139.29832608695654</v>
      </c>
      <c r="AD13" s="30">
        <f t="shared" si="8"/>
        <v>139.29832608695654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21.5</v>
      </c>
      <c r="C55" s="190">
        <f>IF(B55&gt;[1]Trav!E121,[1]Trav!C121,[1]Trav!B121)</f>
        <v>7.2</v>
      </c>
      <c r="D55"/>
      <c r="E55" s="172"/>
      <c r="F55" s="173">
        <f t="shared" si="32"/>
        <v>155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14.6</v>
      </c>
      <c r="C56" s="190">
        <f>IF(B56&gt;[1]Trav!E121,[1]Trav!C121,[1]Trav!B121)</f>
        <v>7.2</v>
      </c>
      <c r="D56"/>
      <c r="E56" s="172"/>
      <c r="F56" s="173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280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388.5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1.1399999999999999</v>
      </c>
      <c r="C81" s="190">
        <f>[1]Protect!$B$10</f>
        <v>4</v>
      </c>
      <c r="D81" s="172"/>
      <c r="E81" s="172"/>
      <c r="F81" s="173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1.1666666666666665</v>
      </c>
      <c r="C86" s="176"/>
      <c r="D86" s="176"/>
      <c r="E86" s="176"/>
      <c r="F86" s="173">
        <f>B86*[1]Eco!$B$108*[1]Eco!$B$109</f>
        <v>279.99999999999994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1831.1012391304353</v>
      </c>
      <c r="C91" s="5"/>
      <c r="D91" s="202">
        <f>B91/Troupeau!$B$17</f>
        <v>5.1291351236146649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2516.7512391304354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0.73202614379084963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33.91804347826087</v>
      </c>
      <c r="BB102" s="62">
        <f t="shared" si="77"/>
        <v>33.863717391304348</v>
      </c>
      <c r="BC102" s="62">
        <f t="shared" si="77"/>
        <v>33.809391304347827</v>
      </c>
      <c r="BD102" s="62">
        <f t="shared" si="77"/>
        <v>33.700739130434783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32.070956521739127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280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280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279.99999999999994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3688.1579057971021</v>
      </c>
      <c r="D118" s="202">
        <f>B118/Troupeau!$B$17</f>
        <v>10.330974526042302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4475.8079057971017</v>
      </c>
    </row>
    <row r="123" spans="1:132" x14ac:dyDescent="0.25">
      <c r="A123" s="2" t="s">
        <v>856</v>
      </c>
      <c r="B123" s="30">
        <f>B108</f>
        <v>357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304.5</v>
      </c>
    </row>
    <row r="126" spans="1:132" x14ac:dyDescent="0.25">
      <c r="A126" s="2" t="s">
        <v>872</v>
      </c>
      <c r="B126" s="30">
        <f>B114+B115+B116</f>
        <v>325.29999999999995</v>
      </c>
    </row>
    <row r="128" spans="1:132" x14ac:dyDescent="0.25">
      <c r="A128" s="2" t="s">
        <v>873</v>
      </c>
      <c r="B128" s="201">
        <f>SUM(B122:B126)</f>
        <v>6062.6079057971019</v>
      </c>
    </row>
    <row r="129" spans="1:2" x14ac:dyDescent="0.25">
      <c r="A129" s="2" t="s">
        <v>874</v>
      </c>
      <c r="B129" s="30">
        <f>IF(Scénario!K129=1,Travail!F77+Travail!F86,F86)</f>
        <v>668.5</v>
      </c>
    </row>
    <row r="130" spans="1:2" x14ac:dyDescent="0.25">
      <c r="A130" s="2" t="s">
        <v>875</v>
      </c>
      <c r="B130" s="201">
        <f>ROUND((B128-B129)/(Scénario!K4+Scénario!K6),0)</f>
        <v>3596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8908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130895.9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52.582839999999976</v>
      </c>
      <c r="C118" s="190">
        <f>IF(Scénario!$K$12="BV",[1]Eco!$B$78,IF(Scénario!$K$12="BL",[1]Eco!$B$77,[1]Eco!$B$76))</f>
        <v>223</v>
      </c>
      <c r="J118" s="173">
        <f>B118*C118</f>
        <v>11725.973319999996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52.760000000000005</v>
      </c>
      <c r="C119" s="190">
        <f>[1]Eco!$B$79</f>
        <v>80</v>
      </c>
      <c r="J119" s="173">
        <f>B119*C119</f>
        <v>4220.8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11.5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414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6.9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428.904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374.30399999999997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7234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67752.831320000012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21.5</v>
      </c>
      <c r="X153" t="s">
        <v>52</v>
      </c>
      <c r="Y153" s="173">
        <f>W153-Scénario!K28</f>
        <v>-8.5</v>
      </c>
      <c r="Z153" s="173">
        <f>Y153-Y156</f>
        <v>-8.5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14.6</v>
      </c>
      <c r="X154" t="s">
        <v>52</v>
      </c>
      <c r="Y154" s="173">
        <f>W154-Scénario!K29</f>
        <v>0.59999999999999964</v>
      </c>
      <c r="Z154" s="173">
        <f>Y154</f>
        <v>0.59999999999999964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-307.70000000000005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0.59999999999999964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17.999999999999989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279.99999999999994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2976.3999999999996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9.5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9.5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409.3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4350.8590000000004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42745.059000000008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20398.009679999974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13599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4540.3123159016077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2857.6973640983661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1905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21.5</v>
      </c>
      <c r="V228" s="62">
        <f t="shared" ref="V228:W228" si="84">SUM(V164:V227)</f>
        <v>14.6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11.5</v>
      </c>
      <c r="AI228" s="62">
        <f t="shared" si="86"/>
        <v>6.9</v>
      </c>
      <c r="AJ228" s="62">
        <f t="shared" si="86"/>
        <v>5.6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0.66666666666666663</v>
      </c>
      <c r="W235" s="173">
        <f>[1]Protect!$B$83</f>
        <v>2000</v>
      </c>
      <c r="X235" s="173">
        <f t="shared" ref="X235:X236" si="87">T235*W235</f>
        <v>1333.3333333333333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0.33333333333333331</v>
      </c>
      <c r="W236" s="173">
        <f>[1]Protect!$B$84</f>
        <v>5000</v>
      </c>
      <c r="X236" s="173">
        <f t="shared" si="87"/>
        <v>1666.6666666666665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52326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36826</v>
      </c>
      <c r="AB237" s="30">
        <f>(Scénario!K127/100)*AA237</f>
        <v>0</v>
      </c>
      <c r="AC237" s="30">
        <f>AA237-AB237</f>
        <v>36826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4540.3123159016077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8</v>
      </c>
      <c r="X245" s="173">
        <f>ROUND((([1]Protect!$B$5/[1]Protect!$B$11)+[1]Protect!$B$8)*T245,0)</f>
        <v>7234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1.1666666666666665</v>
      </c>
      <c r="W246" s="173">
        <f>[1]Eco!$B$106*[1]Eco!$B$108*[1]Eco!$B$109</f>
        <v>2551.2000000000003</v>
      </c>
      <c r="X246" s="173">
        <f>T246*W246</f>
        <v>2976.4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11134.866666666667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11135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840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8908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8908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1.3333333333333333</v>
      </c>
      <c r="U274" s="173"/>
      <c r="V274" s="173"/>
      <c r="W274" s="173">
        <f>W271</f>
        <v>100</v>
      </c>
      <c r="X274" s="173">
        <f>T274*W274</f>
        <v>133.33333333333331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0.33333333333333331</v>
      </c>
      <c r="U275" s="173"/>
      <c r="V275" s="173"/>
      <c r="W275" s="173">
        <f>[1]Protect!$B$42</f>
        <v>200</v>
      </c>
      <c r="X275" s="173">
        <f>T275*W275</f>
        <v>66.666666666666657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Z3_OLBV_T3_MC2s1</v>
      </c>
      <c r="D1" s="275" t="str">
        <f>CONCATENATE(C1,"_corr")</f>
        <v>Z3_OLBV_T3_MC2s1_corr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2</v>
      </c>
      <c r="D28" s="177">
        <f t="shared" si="0"/>
        <v>2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21.5</v>
      </c>
      <c r="D85" s="261">
        <f>ROUND(C85*$D$82/$C$82,3)</f>
        <v>20.388000000000002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14.6</v>
      </c>
      <c r="D86" s="261">
        <f t="shared" ref="D86:D97" si="14">ROUND(C86*$D$82/$C$82,3)</f>
        <v>13.845000000000001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59.5</v>
      </c>
      <c r="D109" s="173">
        <f t="shared" si="25"/>
        <v>59.5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13.5</v>
      </c>
      <c r="D113" s="173">
        <f t="shared" si="25"/>
        <v>13.5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0.5178571428571429</v>
      </c>
      <c r="D136" s="262">
        <f t="shared" si="25"/>
        <v>0.5178571428571429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33.159351574212891</v>
      </c>
      <c r="BB163" s="62">
        <f t="shared" si="92"/>
        <v>33.107835457271364</v>
      </c>
      <c r="BC163" s="62">
        <f t="shared" si="92"/>
        <v>33.056319340329836</v>
      </c>
      <c r="BD163" s="62">
        <f t="shared" si="92"/>
        <v>32.95328710644678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31.4078035982009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139.04320000000001</v>
      </c>
      <c r="D169" s="263">
        <f t="shared" si="50"/>
        <v>131.8513103448276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133.0825881036522</v>
      </c>
      <c r="D170" s="263">
        <f t="shared" si="50"/>
        <v>126.19900596035984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113.71716000000001</v>
      </c>
      <c r="D171" s="263">
        <f t="shared" si="50"/>
        <v>107.83523793103448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166.29999999999998</v>
      </c>
      <c r="D172" s="263">
        <f t="shared" si="50"/>
        <v>157.69827586206895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5.9606118963478139</v>
      </c>
      <c r="D173" s="263">
        <f t="shared" si="50"/>
        <v>5.6523043844677545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95.7</v>
      </c>
      <c r="D174" s="263">
        <f t="shared" si="50"/>
        <v>90.75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-52.582839999999976</v>
      </c>
      <c r="D175" s="263">
        <f>C175*$D$82/$C$82</f>
        <v>-49.863037931034455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52.582839999999976</v>
      </c>
      <c r="D176" s="263">
        <f>C176*$D$82/$C$82</f>
        <v>49.863037931034455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0.66666666666666663</v>
      </c>
      <c r="D187" s="173">
        <f>C187</f>
        <v>0.66666666666666663</v>
      </c>
    </row>
    <row r="188" spans="1:132" x14ac:dyDescent="0.25">
      <c r="B188" s="14" t="s">
        <v>1300</v>
      </c>
      <c r="C188" s="173">
        <f>'Calcul éco'!T236</f>
        <v>0.33333333333333331</v>
      </c>
      <c r="D188" s="173">
        <f t="shared" ref="D188:D189" si="101">C188</f>
        <v>0.33333333333333331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8</v>
      </c>
      <c r="D189" s="173">
        <f t="shared" si="101"/>
        <v>8</v>
      </c>
      <c r="AH189" s="15"/>
      <c r="AJ189" s="14" t="s">
        <v>1114</v>
      </c>
      <c r="AK189" s="30">
        <f>D189</f>
        <v>8</v>
      </c>
      <c r="AO189" s="173">
        <f>ROUND((([1]Protect!$B$5/[1]Protect!$B$11)+[1]Protect!$B$8)*AK189,0)</f>
        <v>7234</v>
      </c>
    </row>
    <row r="190" spans="1:132" x14ac:dyDescent="0.25">
      <c r="B190" s="14" t="s">
        <v>1302</v>
      </c>
      <c r="C190" s="173">
        <f>'Calcul éco'!T246*(30)</f>
        <v>34.999999999999993</v>
      </c>
      <c r="D190" s="173">
        <f>C190</f>
        <v>34.999999999999993</v>
      </c>
      <c r="AH190" s="15"/>
      <c r="AJ190" s="14" t="s">
        <v>1115</v>
      </c>
      <c r="AK190" s="30">
        <f>D190/30</f>
        <v>1.1666666666666665</v>
      </c>
      <c r="AN190" s="173">
        <f>[1]Eco!$B$106*[1]Eco!$B$108*[1]Eco!$B$109</f>
        <v>2551.2000000000003</v>
      </c>
      <c r="AO190" s="173">
        <f>AK190*AN190</f>
        <v>2976.4</v>
      </c>
    </row>
    <row r="191" spans="1:132" x14ac:dyDescent="0.25">
      <c r="B191" s="14" t="s">
        <v>1303</v>
      </c>
      <c r="C191" s="198">
        <f>ROUND(SUM(Travail!F69:F74)/8,1)</f>
        <v>35</v>
      </c>
      <c r="D191" s="173">
        <f>C191</f>
        <v>35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11134.866666666667</v>
      </c>
    </row>
    <row r="193" spans="1:43" x14ac:dyDescent="0.25">
      <c r="B193" s="14" t="s">
        <v>1309</v>
      </c>
      <c r="C193" s="173">
        <f>(Travail!F75+Travail!F76+Travail!F81)/8</f>
        <v>18.0625</v>
      </c>
      <c r="D193" s="173">
        <f>C193</f>
        <v>18.0625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796.55172413793105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11134.866666666667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8908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56657.1</v>
      </c>
      <c r="D211" s="264">
        <f>ROUND(SUM(D201:D210),0)</f>
        <v>56209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3409.3680000000004</v>
      </c>
      <c r="D217" s="261">
        <f t="shared" si="106"/>
        <v>3233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15946.773319999997</v>
      </c>
      <c r="D218" s="261">
        <f t="shared" si="106"/>
        <v>15122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1.3333333333333333</v>
      </c>
      <c r="AK218" s="173"/>
      <c r="AL218" s="173"/>
      <c r="AM218" s="173">
        <f>'Calcul éco'!W274</f>
        <v>100</v>
      </c>
      <c r="AN218" s="173">
        <f>AJ218*AM218</f>
        <v>133.33333333333331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7234</v>
      </c>
      <c r="D219" s="261">
        <f t="shared" si="106"/>
        <v>6860</v>
      </c>
      <c r="K219" s="4"/>
      <c r="AF219" s="5"/>
      <c r="AG219" s="247"/>
      <c r="AI219" s="14" t="s">
        <v>1103</v>
      </c>
      <c r="AJ219" s="173">
        <f>D188</f>
        <v>0.33333333333333331</v>
      </c>
      <c r="AK219" s="173"/>
      <c r="AL219" s="173"/>
      <c r="AM219" s="173">
        <f>'Calcul éco'!W275</f>
        <v>200</v>
      </c>
      <c r="AN219" s="173">
        <f>AJ219*AM219</f>
        <v>66.666666666666657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939.89</v>
      </c>
      <c r="D220" s="264">
        <f>SUM(AN215:AN219)</f>
        <v>901.27999999999986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67753</v>
      </c>
      <c r="D221" s="264">
        <f>ROUND(SUM(D216:D220),0)</f>
        <v>64259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0.66666666666666663</v>
      </c>
      <c r="AN226" s="173">
        <f>[1]Protect!$B$83</f>
        <v>2000</v>
      </c>
      <c r="AO226" s="173">
        <f t="shared" ref="AO226:AO227" si="108">AK226*AN226</f>
        <v>1333.3333333333333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0.33333333333333331</v>
      </c>
      <c r="AN227" s="173">
        <f>[1]Protect!$B$84</f>
        <v>5000</v>
      </c>
      <c r="AO227" s="173">
        <f t="shared" si="108"/>
        <v>1666.6666666666665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49752</v>
      </c>
      <c r="AQ228" s="30">
        <f>IF(Scénario!K84=1,MIN(0.8*AO228,[1]Protect!$B$68),IF(Scénario!K84=2,MIN(0.8*AO228,[1]Protect!$B$67),0))</f>
        <v>15500</v>
      </c>
      <c r="AR228" s="30">
        <f>AO228-AQ228</f>
        <v>34252</v>
      </c>
      <c r="AS228" s="30">
        <f>(1-Scénario!K127/100)*AR228</f>
        <v>34252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-307.70000000000005</v>
      </c>
      <c r="D230" s="261">
        <f t="shared" si="109"/>
        <v>-292</v>
      </c>
    </row>
    <row r="231" spans="1:49" x14ac:dyDescent="0.25">
      <c r="B231" s="14" t="s">
        <v>1083</v>
      </c>
      <c r="C231" s="173">
        <f>'Calcul éco'!J159</f>
        <v>17.999999999999989</v>
      </c>
      <c r="D231" s="261">
        <f t="shared" si="109"/>
        <v>17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2976.3999999999996</v>
      </c>
      <c r="D234" s="173">
        <f>C234</f>
        <v>2976.3999999999996</v>
      </c>
    </row>
    <row r="235" spans="1:49" x14ac:dyDescent="0.25">
      <c r="B235" s="14" t="s">
        <v>1353</v>
      </c>
      <c r="C235" s="173">
        <f>'Calcul éco'!J167</f>
        <v>4350.8590000000004</v>
      </c>
      <c r="D235" s="264">
        <f>(D191+D192)*8*[1]Eco!$B$106</f>
        <v>3069.9440000000004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42745</v>
      </c>
      <c r="D236" s="264">
        <f>ROUND(SUM(D222:D235),0)</f>
        <v>39949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20398.100000000006</v>
      </c>
      <c r="D237" s="264">
        <f>D194+D211-D221-D236</f>
        <v>22400</v>
      </c>
    </row>
    <row r="238" spans="1:49" x14ac:dyDescent="0.25">
      <c r="B238" s="211" t="s">
        <v>1090</v>
      </c>
      <c r="C238" s="173">
        <f>ROUND(C237/Scénario!$K$4,0)</f>
        <v>13599</v>
      </c>
      <c r="D238" s="264">
        <f>ROUND(D237/D83,0)</f>
        <v>11200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4540.3123159016077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2858</v>
      </c>
      <c r="D241" s="268">
        <f>ROUND(D237-D239-D240,0)</f>
        <v>9400</v>
      </c>
    </row>
    <row r="242" spans="1:15" x14ac:dyDescent="0.25">
      <c r="B242" s="211" t="s">
        <v>1094</v>
      </c>
      <c r="C242" s="173">
        <f>ROUND(C241/Scénario!K4,0)</f>
        <v>1905</v>
      </c>
      <c r="D242" s="264">
        <f>ROUND(D241/D83,0)</f>
        <v>4700</v>
      </c>
    </row>
    <row r="243" spans="1:15" x14ac:dyDescent="0.25">
      <c r="B243" s="211" t="s">
        <v>1357</v>
      </c>
      <c r="C243" s="173">
        <f>'Calcul éco'!X237+'Calcul éco'!X240</f>
        <v>52326</v>
      </c>
      <c r="D243" s="173">
        <f>C243</f>
        <v>52326</v>
      </c>
    </row>
    <row r="244" spans="1:15" x14ac:dyDescent="0.25">
      <c r="B244" s="211" t="s">
        <v>1358</v>
      </c>
      <c r="C244" s="173">
        <f>'Calcul éco'!AA237+'Calcul éco'!AA240</f>
        <v>36826</v>
      </c>
      <c r="D244" s="173">
        <f>C244</f>
        <v>36826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914.10123913043526</v>
      </c>
      <c r="D248" s="264">
        <f>ROUND(SUM(AV163:BS163),1)</f>
        <v>900.5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20.388000000000002</v>
      </c>
      <c r="L258" s="190">
        <f>IF(K258&gt;[1]Trav!E121,[1]Trav!C121,[1]Trav!B121)</f>
        <v>7.2</v>
      </c>
      <c r="N258" s="274"/>
      <c r="O258">
        <f t="shared" si="114"/>
        <v>146.79360000000003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13.845000000000001</v>
      </c>
      <c r="L259" s="190">
        <f>IF(K259&gt;[1]Trav!E121,[1]Trav!C121,[1]Trav!B121)</f>
        <v>7.2</v>
      </c>
      <c r="N259" s="274"/>
      <c r="O259">
        <f t="shared" si="114"/>
        <v>99.684000000000012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155</v>
      </c>
      <c r="D267" s="264">
        <f t="shared" si="116"/>
        <v>147</v>
      </c>
    </row>
    <row r="268" spans="1:15" x14ac:dyDescent="0.25">
      <c r="B268" s="32" t="s">
        <v>791</v>
      </c>
      <c r="C268" s="270">
        <f>Travail!F56</f>
        <v>105</v>
      </c>
      <c r="D268" s="264">
        <f t="shared" si="116"/>
        <v>100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280</v>
      </c>
      <c r="D275" s="173">
        <f>C275</f>
        <v>280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120</v>
      </c>
      <c r="D277" s="173">
        <f>C277</f>
        <v>120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279.99999999999994</v>
      </c>
      <c r="D279" s="270">
        <f>C279</f>
        <v>279.99999999999994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3688</v>
      </c>
      <c r="D281" s="264">
        <f>ROUND(D245+D248+D251+D254+D257+D260+D261,0)</f>
        <v>3603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10.33</v>
      </c>
      <c r="D284" s="173">
        <f>ROUND(D281/(Troupeau!$B$17*G63),2)</f>
        <v>10.64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4476</v>
      </c>
      <c r="D287" s="264">
        <f>SUM(D281:D283)</f>
        <v>4386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357</v>
      </c>
      <c r="D289" s="264">
        <f>SUM(D262:D271)</f>
        <v>345</v>
      </c>
    </row>
    <row r="290" spans="2:4" x14ac:dyDescent="0.25">
      <c r="B290" s="14" t="s">
        <v>1420</v>
      </c>
      <c r="C290" s="270">
        <f>C275+C276+C277</f>
        <v>409.3</v>
      </c>
      <c r="D290" s="277">
        <f>D275+D276+D277</f>
        <v>408.8</v>
      </c>
    </row>
    <row r="291" spans="2:4" x14ac:dyDescent="0.25">
      <c r="B291" s="14" t="s">
        <v>1421</v>
      </c>
      <c r="C291" s="270">
        <f>C278+C279+C280</f>
        <v>304.49999999999994</v>
      </c>
      <c r="D291" s="270">
        <f>D278+D279+D280</f>
        <v>304.49999999999994</v>
      </c>
    </row>
    <row r="292" spans="2:4" x14ac:dyDescent="0.25">
      <c r="B292" s="14" t="s">
        <v>873</v>
      </c>
      <c r="C292" s="173">
        <f>ROUND(SUM(C287:C291),0)</f>
        <v>6147</v>
      </c>
      <c r="D292" s="264">
        <f>ROUND(SUM(D287:D291),0)</f>
        <v>6044</v>
      </c>
    </row>
    <row r="293" spans="2:4" x14ac:dyDescent="0.25">
      <c r="B293" s="14" t="s">
        <v>874</v>
      </c>
      <c r="C293" s="173">
        <f>ROUND(IF(Scénario!$K$129=1,SUM(C275:C280),SUM(C278:C280)),0)</f>
        <v>714</v>
      </c>
      <c r="D293" s="173">
        <f>ROUND(IF(Scénario!$K$129=1,SUM(D275:D280),SUM(D278:D280)),0)</f>
        <v>713</v>
      </c>
    </row>
    <row r="294" spans="2:4" x14ac:dyDescent="0.25">
      <c r="B294" s="14" t="s">
        <v>875</v>
      </c>
      <c r="C294" s="173">
        <f>ROUND((C292-C293)/C83,0)</f>
        <v>3622</v>
      </c>
      <c r="D294" s="173">
        <f>ROUND((D292-D293)/D83,0)</f>
        <v>2666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1333.3333333333333</v>
      </c>
    </row>
    <row r="309" spans="2:3" x14ac:dyDescent="0.25">
      <c r="B309" s="14" t="s">
        <v>1463</v>
      </c>
      <c r="C309" s="173">
        <f>'Calcul éco'!X236</f>
        <v>1666.6666666666665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3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46.06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10.104652173913045</v>
      </c>
      <c r="C66" s="61">
        <f t="shared" si="21"/>
        <v>10.104652173913045</v>
      </c>
      <c r="D66" s="61">
        <f t="shared" si="21"/>
        <v>9.1267826086956525</v>
      </c>
      <c r="E66" s="61">
        <f t="shared" si="21"/>
        <v>9.1267826086956525</v>
      </c>
      <c r="F66" s="61">
        <f t="shared" si="21"/>
        <v>10.104652173913045</v>
      </c>
      <c r="G66" s="61">
        <f t="shared" si="21"/>
        <v>10.104652173913045</v>
      </c>
      <c r="H66" s="61">
        <f t="shared" si="21"/>
        <v>9.7786956521739139</v>
      </c>
      <c r="I66" s="61">
        <f t="shared" si="21"/>
        <v>9.7786956521739139</v>
      </c>
      <c r="J66" s="61">
        <f t="shared" si="21"/>
        <v>10.104652173913045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10.104652173913045</v>
      </c>
      <c r="V66" s="61">
        <f t="shared" si="21"/>
        <v>9.7786956521739139</v>
      </c>
      <c r="W66" s="61">
        <f t="shared" si="21"/>
        <v>9.7786956521739139</v>
      </c>
      <c r="X66" s="61">
        <f t="shared" si="21"/>
        <v>10.104652173913045</v>
      </c>
      <c r="Y66" s="61">
        <f t="shared" si="21"/>
        <v>10.104652173913045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751</v>
      </c>
      <c r="C73" s="64">
        <f t="shared" ref="C73:Y73" si="28">ROUND(SUM(C63:C72),0)</f>
        <v>744</v>
      </c>
      <c r="D73" s="64">
        <f t="shared" si="28"/>
        <v>666</v>
      </c>
      <c r="E73" s="64">
        <f t="shared" si="28"/>
        <v>366</v>
      </c>
      <c r="F73" s="64">
        <f t="shared" si="28"/>
        <v>404</v>
      </c>
      <c r="G73" s="64">
        <f t="shared" si="28"/>
        <v>385</v>
      </c>
      <c r="H73" s="64">
        <f t="shared" si="28"/>
        <v>371</v>
      </c>
      <c r="I73" s="64">
        <f t="shared" si="28"/>
        <v>369</v>
      </c>
      <c r="J73" s="64">
        <f t="shared" si="28"/>
        <v>404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397</v>
      </c>
      <c r="V73" s="64">
        <f t="shared" si="28"/>
        <v>729</v>
      </c>
      <c r="W73" s="64">
        <f t="shared" si="28"/>
        <v>727</v>
      </c>
      <c r="X73" s="64">
        <f t="shared" si="28"/>
        <v>751</v>
      </c>
      <c r="Y73" s="64">
        <f t="shared" si="28"/>
        <v>751</v>
      </c>
      <c r="Z73" s="52"/>
      <c r="AA73" s="56">
        <f>ROUND(SUM(B73:Y73),0)</f>
        <v>9212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2023-01-09T10:28:45Z</dcterms:modified>
</cp:coreProperties>
</file>